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vnd.openxmlformats-officedocument.spreadsheetml.chartsheet+xml" PartName="/xl/chartsheets/sheet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houdsopgave" sheetId="1" r:id="rId3"/>
    <sheet state="visible" name="TK Stemoverzicht" sheetId="2" r:id="rId4"/>
    <sheet state="visible" name="EK Stemoverzicht" sheetId="3" r:id="rId5"/>
    <sheet state="visible" name="Agenda" sheetId="4" r:id="rId6"/>
    <sheet state="hidden" name="Agenda Validatie" sheetId="5" r:id="rId7"/>
    <sheet state="hidden" name="Inhoudsopgave.oud" sheetId="6" r:id="rId8"/>
    <sheet state="hidden" name="Kopie van Inhoudsopgave oud" sheetId="7" r:id="rId9"/>
    <sheet state="hidden" name="RMTK Geschiedenis.2" sheetId="8" r:id="rId10"/>
    <sheet state="visible" name="Moties" sheetId="9" r:id="rId11"/>
    <sheet state="visible" name="Wetten &amp; Amendementen" sheetId="10" r:id="rId12"/>
    <sheet state="visible" name="Overige Kamerstukken" sheetId="11" r:id="rId13"/>
    <sheet state="visible" name="RMTK Geschiedenis" sheetId="12" r:id="rId14"/>
    <sheet state="visible" name="Parlementaire Geschiedenis" sheetId="13" r:id="rId15"/>
    <sheet state="visible" name="RMTK Kaart" sheetId="14" r:id="rId16"/>
    <sheet state="visible" name="Kabinetten Geschiedenis" sheetId="15" r:id="rId17"/>
    <sheet state="visible" name="Verkiezingen Geschiedenis" sheetId="16" r:id="rId18"/>
    <sheet state="hidden" name="Colofon" sheetId="17" r:id="rId19"/>
    <sheet state="visible" name="Hall of Fame" sheetId="18" r:id="rId20"/>
    <sheet state="visible" name="TK-th8-I" sheetId="19" r:id="rId21"/>
    <sheet state="visible" name="EK-th8-I" sheetId="20" r:id="rId22"/>
    <sheet state="visible" name="Agenda-House_of_Farts-I" sheetId="21" r:id="rId23"/>
    <sheet state="visible" name="TK-House_of_Farts-I" sheetId="22" r:id="rId24"/>
    <sheet state="visible" name="EK-House_of_Farts-I" sheetId="23" r:id="rId25"/>
    <sheet state="visible" name="Agenda-7Hielke-I" sheetId="24" r:id="rId26"/>
    <sheet state="visible" name="TK-7Hielke I" sheetId="25" r:id="rId27"/>
    <sheet state="visible" name="EK-7Hielke I" sheetId="26" r:id="rId28"/>
    <sheet state="visible" name="TK-HiddeVdV96 I" sheetId="27" r:id="rId29"/>
    <sheet state="visible" name="EK-HiddeVdV96 I" sheetId="28" r:id="rId30"/>
    <sheet state="visible" name="TK-Kohl II" sheetId="29" r:id="rId31"/>
    <sheet state="visible" name="EK-Kohl II" sheetId="30" r:id="rId32"/>
    <sheet state="visible" name="TK-Kohl I" sheetId="31" r:id="rId33"/>
    <sheet state="visible" name="EK-Kohl I" sheetId="32" r:id="rId34"/>
    <sheet state="visible" name="TK-graansmoothie-I" sheetId="33" r:id="rId35"/>
    <sheet state="visible" name="EK-Graansmoothie-I" sheetId="34" r:id="rId36"/>
    <sheet state="hidden" name="Opkomst TK" sheetId="35" r:id="rId37"/>
    <sheet state="hidden" name="Testke" sheetId="36" r:id="rId38"/>
  </sheets>
  <definedNames>
    <definedName hidden="1" localSheetId="3" name="Z_FD8A8E4D_B6BA_4AD3_B477_8F35105710E1_.wvu.FilterData">Agenda!$C$3:$C$1153</definedName>
    <definedName hidden="1" localSheetId="3" name="Z_527A0B77_B7B1_4D4C_BE5D_C05DA1F70CFA_.wvu.FilterData">Agenda!$C$4:$C$1153</definedName>
    <definedName hidden="1" localSheetId="3" name="Z_FA010777_0597_4B91_A6E5_51A95D5D29B7_.wvu.FilterData">Agenda!$C$3:$C$155</definedName>
    <definedName hidden="1" localSheetId="3" name="Z_563191C9_E199_43DA_99AD_1F2C3E2B443B_.wvu.FilterData">Agenda!$C$3:$C$1153</definedName>
    <definedName hidden="1" localSheetId="3" name="Z_7B4C6949_4C66_4E73_8AD3_11F94D6FEF48_.wvu.FilterData">Agenda!$C$3:$C$155</definedName>
    <definedName hidden="1" localSheetId="3" name="Z_01F820AF_17B4_4AB1_BBB9_CFEF631E15AA_.wvu.FilterData">Agenda!$C$3:$C$1153</definedName>
    <definedName hidden="1" localSheetId="3" name="Z_25168877_78B3_4E36_8EDD_918222010A74_.wvu.FilterData">Agenda!$B$159</definedName>
    <definedName hidden="1" localSheetId="3" name="Z_3A661417_35C1_467D_956C_A7DA8502F566_.wvu.FilterData">Agenda!$C$3:$C$155</definedName>
  </definedNames>
  <calcPr/>
  <customWorkbookViews>
    <customWorkbookView activeSheetId="0" maximized="1" tabRatio="600" windowHeight="0" windowWidth="0" guid="{FA010777-0597-4B91-A6E5-51A95D5D29B7}" name="Moties"/>
    <customWorkbookView activeSheetId="0" maximized="1" tabRatio="600" windowHeight="0" windowWidth="0" guid="{527A0B77-B7B1-4D4C-BE5D-C05DA1F70CFA}" name="Filter 4"/>
    <customWorkbookView activeSheetId="0" maximized="1" tabRatio="600" windowHeight="0" windowWidth="0" guid="{3A661417-35C1-467D-956C-A7DA8502F566}" name="Filter 2"/>
    <customWorkbookView activeSheetId="0" maximized="1" tabRatio="600" windowHeight="0" windowWidth="0" guid="{FD8A8E4D-B6BA-4AD3-B477-8F35105710E1}" name="Debatten"/>
    <customWorkbookView activeSheetId="0" maximized="1" tabRatio="600" windowHeight="0" windowWidth="0" guid="{7B4C6949-4C66-4E73-8AD3-11F94D6FEF48}" name="Wetsvoorstellen"/>
    <customWorkbookView activeSheetId="0" maximized="1" tabRatio="600" windowHeight="0" windowWidth="0" guid="{25168877-78B3-4E36-8EDD-918222010A74}" name="Filter 1"/>
    <customWorkbookView activeSheetId="0" maximized="1" tabRatio="600" windowHeight="0" windowWidth="0" guid="{563191C9-E199-43DA-99AD-1F2C3E2B443B}" name="Koninklijke Besluiten"/>
    <customWorkbookView activeSheetId="0" maximized="1" tabRatio="600" windowHeight="0" windowWidth="0" guid="{01F820AF-17B4-4AB1-BBB9-CFEF631E15AA}" name="Kamerbrieven"/>
  </customWorkbookViews>
</workbook>
</file>

<file path=xl/comments1.xml><?xml version="1.0" encoding="utf-8"?>
<comments xmlns:r="http://schemas.openxmlformats.org/officeDocument/2006/relationships" xmlns="http://schemas.openxmlformats.org/spreadsheetml/2006/main">
  <authors>
    <author/>
  </authors>
  <commentList>
    <comment authorId="0" ref="AW4">
      <text>
        <t xml:space="preserve">wegens de extera stemming de plus
</t>
      </text>
    </comment>
    <comment authorId="0" ref="I5">
      <text>
        <t xml:space="preserve">Stemming is anoniem gehouden door de Secretaris-Generaal. Wat individuele Kamerleden hebben gestemd is hierom niet in te zien.</t>
      </text>
    </comment>
  </commentList>
</comments>
</file>

<file path=xl/comments10.xml><?xml version="1.0" encoding="utf-8"?>
<comments xmlns:r="http://schemas.openxmlformats.org/officeDocument/2006/relationships" xmlns="http://schemas.openxmlformats.org/spreadsheetml/2006/main">
  <authors>
    <author/>
  </authors>
  <commentList>
    <comment authorId="0" ref="S29">
      <text>
        <t xml:space="preserve">Stem kwam te laat.</t>
      </text>
    </comment>
  </commentList>
</comments>
</file>

<file path=xl/comments2.xml><?xml version="1.0" encoding="utf-8"?>
<comments xmlns:r="http://schemas.openxmlformats.org/officeDocument/2006/relationships" xmlns="http://schemas.openxmlformats.org/spreadsheetml/2006/main">
  <authors>
    <author/>
  </authors>
  <commentList>
    <comment authorId="0" ref="N9">
      <text>
        <t xml:space="preserve">Ongeldig
</t>
      </text>
    </comment>
    <comment authorId="0" ref="P11">
      <text>
        <t xml:space="preserve">Ongeldig
</t>
      </text>
    </comment>
    <comment authorId="0" ref="N12">
      <text>
        <t xml:space="preserve">Ongeldig
</t>
      </text>
    </comment>
    <comment authorId="0" ref="O12">
      <text>
        <t xml:space="preserve">Ongeldig
</t>
      </text>
    </comment>
  </commentList>
</comments>
</file>

<file path=xl/comments3.xml><?xml version="1.0" encoding="utf-8"?>
<comments xmlns:r="http://schemas.openxmlformats.org/officeDocument/2006/relationships" xmlns="http://schemas.openxmlformats.org/spreadsheetml/2006/main">
  <authors>
    <author/>
  </authors>
  <commentList>
    <comment authorId="0" ref="F25">
      <text>
        <t xml:space="preserve">MeisterMees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3">
      <text>
        <t xml:space="preserve">Met steun van AEIÖU, CDA en DdK</t>
      </text>
    </comment>
    <comment authorId="0" ref="C4">
      <text>
        <t xml:space="preserve">Met steun van AEIÖU, CDA en DdK</t>
      </text>
    </comment>
    <comment authorId="0" ref="C6">
      <text>
        <t xml:space="preserve">Met steun van FSP en SP</t>
      </text>
    </comment>
    <comment authorId="0" ref="C7">
      <text>
        <t xml:space="preserve">Met steun van PGV</t>
      </text>
    </comment>
    <comment authorId="0" ref="C12">
      <text>
        <t xml:space="preserve">Met steun van SP, CDA en DdK</t>
      </text>
    </comment>
    <comment authorId="0" ref="C13">
      <text>
        <t xml:space="preserve">Met steun van CDA, SP</t>
      </text>
    </comment>
    <comment authorId="0" ref="C14">
      <text>
        <t xml:space="preserve">Met steun van SDC, FSP en D'18</t>
      </text>
    </comment>
    <comment authorId="0" ref="C15">
      <text>
        <t xml:space="preserve">Met steun van CDA en VVD</t>
      </text>
    </comment>
    <comment authorId="0" ref="C16">
      <text>
        <t xml:space="preserve">Met steun van CDA</t>
      </text>
    </comment>
    <comment authorId="0" ref="C17">
      <text>
        <t xml:space="preserve">Met steun van D'18, DdK en GR</t>
      </text>
    </comment>
    <comment authorId="0" ref="C19">
      <text>
        <t xml:space="preserve">Met steun van DdK en CDA</t>
      </text>
    </comment>
    <comment authorId="0" ref="C31">
      <text>
        <t xml:space="preserve">Met steun van SP</t>
      </text>
    </comment>
    <comment authorId="0" ref="C33">
      <text>
        <t xml:space="preserve">Met steun van STR
</t>
      </text>
    </comment>
    <comment authorId="0" ref="C38">
      <text>
        <t xml:space="preserve">Met steun van DdK, FSP en VVD
</t>
      </text>
    </comment>
    <comment authorId="0" ref="C40">
      <text>
        <t xml:space="preserve">Met steun van DA'19 en SDC</t>
      </text>
    </comment>
    <comment authorId="0" ref="C42">
      <text>
        <t xml:space="preserve">Met steun van CDA</t>
      </text>
    </comment>
    <comment authorId="0" ref="C60">
      <text>
        <t xml:space="preserve">Met steun van B-RV en Lijst Alfus</t>
      </text>
    </comment>
    <comment authorId="0" ref="C65">
      <text>
        <t xml:space="preserve">Met steun van B-RV, LPF, FSP en Lijst Alfus</t>
      </text>
    </comment>
    <comment authorId="0" ref="C72">
      <text>
        <t xml:space="preserve">Met steun van de LPF, FSP, B-RV en Lijst Alfus</t>
      </text>
    </comment>
    <comment authorId="0" ref="C74">
      <text>
        <t xml:space="preserve">Met steun van LPF, B-RV, CVG en EGP</t>
      </text>
    </comment>
    <comment authorId="0" ref="C76">
      <text>
        <t xml:space="preserve">Met steun van BRV en LPU</t>
      </text>
    </comment>
    <comment authorId="0" ref="C152">
      <text>
        <t xml:space="preserve">Met steun van de SP</t>
      </text>
    </comment>
    <comment authorId="0" ref="C187">
      <text>
        <t xml:space="preserve">Met steun van:
MerijnZ1 (ACAB)
Toukiedatak (LTD)
theguus (1NL)
Hans-Wiegel (1NL)
MTFD (GPA) </t>
      </text>
    </comment>
    <comment authorId="0" ref="C194">
      <text>
        <t xml:space="preserve">met steun van LucasV98 (1NL)</t>
      </text>
    </comment>
  </commentList>
</comments>
</file>

<file path=xl/comments5.xml><?xml version="1.0" encoding="utf-8"?>
<comments xmlns:r="http://schemas.openxmlformats.org/officeDocument/2006/relationships" xmlns="http://schemas.openxmlformats.org/spreadsheetml/2006/main">
  <authors>
    <author/>
  </authors>
  <commentList>
    <comment authorId="0" ref="D3">
      <text>
        <t xml:space="preserve">Met steun van CDA
</t>
      </text>
    </comment>
    <comment authorId="0" ref="G5">
      <text>
        <t xml:space="preserve">Door: JohanCAvdM (D'18)</t>
      </text>
    </comment>
    <comment authorId="0" ref="D6">
      <text>
        <t xml:space="preserve">Met steun van SP, VVD, FSP en DdK</t>
      </text>
    </comment>
    <comment authorId="0" ref="G7">
      <text>
        <t xml:space="preserve">Door: Dutchy54 (D'18)</t>
      </text>
    </comment>
    <comment authorId="0" ref="G8">
      <text>
        <t xml:space="preserve">Door: Keijeman (CDA)</t>
      </text>
    </comment>
    <comment authorId="0" ref="G10">
      <text>
        <t xml:space="preserve">Door: Alfus (MBE)</t>
      </text>
    </comment>
    <comment authorId="0" ref="G23">
      <text>
        <t xml:space="preserve">Door: TheJelleyFish (B-RV)</t>
      </text>
    </comment>
    <comment authorId="0" ref="G24">
      <text>
        <t xml:space="preserve">Door: supertanno (LPU)</t>
      </text>
    </comment>
    <comment authorId="0" ref="G29">
      <text>
        <t xml:space="preserve">Door: 7Hielke (SP)
</t>
      </text>
    </comment>
    <comment authorId="0" ref="G31">
      <text>
        <t xml:space="preserve">Door: 123ricardo210 (LPU)
</t>
      </text>
    </comment>
    <comment authorId="0" ref="D33">
      <text>
        <t xml:space="preserve">Met steun van de SP en de EGP
</t>
      </text>
    </comment>
    <comment authorId="0" ref="G40">
      <text>
        <t xml:space="preserve">Door: Deef204 (LL)</t>
      </text>
    </comment>
    <comment authorId="0" ref="D41">
      <text>
        <t xml:space="preserve">Met Kajtuu98
</t>
      </text>
    </comment>
    <comment authorId="0" ref="G42">
      <text>
        <t xml:space="preserve">Door: theguus (BRV)</t>
      </text>
    </comment>
    <comment authorId="0" ref="D43">
      <text>
        <t xml:space="preserve">Met theguus, Blaatic, Hans-Wiegel, HiddeVdV96, MerijnZ1, LordAverap, Alfus, supertanno, Der_Kohl en ToukieDatak</t>
      </text>
    </comment>
    <comment authorId="0" ref="D46">
      <text>
        <t xml:space="preserve">Met supertanno
</t>
      </text>
    </comment>
    <comment authorId="0" ref="G46">
      <text>
        <t xml:space="preserve">Door: 123ricardo210 (SP)</t>
      </text>
    </comment>
    <comment authorId="0" ref="D47">
      <text>
        <t xml:space="preserve">Met supertanno
</t>
      </text>
    </comment>
    <comment authorId="0" ref="G48">
      <text>
        <t xml:space="preserve">Door: RkRs21 (PPR)</t>
      </text>
    </comment>
    <comment authorId="0" ref="G49">
      <text>
        <t xml:space="preserve">Door: Keijeman (1NL)</t>
      </text>
    </comment>
    <comment authorId="0" ref="D53">
      <text>
        <t xml:space="preserve">met sushishine, RkRs21 en klaex</t>
      </text>
    </comment>
    <comment authorId="0" ref="D56">
      <text>
        <t xml:space="preserve">Met steun van de SP, BRV en de ACB</t>
      </text>
    </comment>
    <comment authorId="0" ref="G56">
      <text>
        <t xml:space="preserve">Door: Th8 (ACB)</t>
      </text>
    </comment>
    <comment authorId="0" ref="H56">
      <text>
        <t xml:space="preserve">Meerderheid van stemmen. Wegens tegenstrijdigheid met A-2 en minder stemmen dan deze is A-1 toch afgewezen</t>
      </text>
    </comment>
    <comment authorId="0" ref="G57">
      <text>
        <t xml:space="preserve">Door: Ethiowolf (DA'19)</t>
      </text>
    </comment>
    <comment authorId="0" ref="D59">
      <text>
        <t xml:space="preserve">Met House_of_Farts</t>
      </text>
    </comment>
    <comment authorId="0" ref="D71">
      <text>
        <t xml:space="preserve">Met steun van ACB en DA"19</t>
      </text>
    </comment>
    <comment authorId="0" ref="G79">
      <text>
        <t xml:space="preserve">Door: 7Hielke (SP)</t>
      </text>
    </comment>
    <comment authorId="0" ref="D80">
      <text>
        <t xml:space="preserve">Met steun van de PPR</t>
      </text>
    </comment>
    <comment authorId="0" ref="D81">
      <text>
        <t xml:space="preserve">met steun van ACAB</t>
      </text>
    </comment>
    <comment authorId="0" ref="G82">
      <text>
        <t xml:space="preserve">Door: 7Hielke (SP)
</t>
      </text>
    </comment>
    <comment authorId="0" ref="G83">
      <text>
        <t xml:space="preserve">Door: MerijnZ1 (ACAB)</t>
      </text>
    </comment>
    <comment authorId="0" ref="G87">
      <text>
        <t xml:space="preserve">Door 7Hielke (SP)</t>
      </text>
    </comment>
    <comment authorId="0" ref="G92">
      <text>
        <t xml:space="preserve">Door LucasV98 (1NL)</t>
      </text>
    </comment>
    <comment authorId="0" ref="G95">
      <text>
        <t xml:space="preserve">Door Der_Kohl (1NL)</t>
      </text>
    </comment>
    <comment authorId="0" ref="G99">
      <text>
        <t xml:space="preserve">Door LucasV98 (1NL)</t>
      </text>
    </comment>
  </commentList>
</comments>
</file>

<file path=xl/comments6.xml><?xml version="1.0" encoding="utf-8"?>
<comments xmlns:r="http://schemas.openxmlformats.org/officeDocument/2006/relationships" xmlns="http://schemas.openxmlformats.org/spreadsheetml/2006/main">
  <authors>
    <author/>
  </authors>
  <commentList>
    <comment authorId="0" ref="Q9">
      <text>
        <t xml:space="preserve">D66-GL-S&amp;V</t>
      </text>
    </comment>
    <comment authorId="0" ref="BE9">
      <text>
        <t xml:space="preserve">VVD-D66-CU (+ RPN)</t>
      </text>
    </comment>
    <comment authorId="0" ref="BJ9">
      <text>
        <t xml:space="preserve">VVD-D66-CU (+ FVD)</t>
      </text>
    </comment>
    <comment authorId="0" ref="AD10">
      <text>
        <t xml:space="preserve">Alpha_C (a.i.)</t>
      </text>
    </comment>
    <comment authorId="0" ref="AD11">
      <text>
        <t xml:space="preserve">Roemane</t>
      </text>
    </comment>
    <comment authorId="0" ref="AJ11">
      <text>
        <t xml:space="preserve">Waz_met_jou</t>
      </text>
    </comment>
    <comment authorId="0" ref="CQ11">
      <text>
        <t xml:space="preserve">123ricardo210</t>
      </text>
    </comment>
    <comment authorId="0" ref="Q12">
      <text>
        <t xml:space="preserve">Blackdutchie</t>
      </text>
    </comment>
    <comment authorId="0" ref="BW12">
      <text>
        <t xml:space="preserve">splcy_meme</t>
      </text>
    </comment>
    <comment authorId="0" ref="F15">
      <text>
        <t xml:space="preserve">TheDomCook (a.i.)</t>
      </text>
    </comment>
    <comment authorId="0" ref="K15">
      <text>
        <t xml:space="preserve">SabasNL (a.i.)</t>
      </text>
    </comment>
    <comment authorId="0" ref="V15">
      <text>
        <t xml:space="preserve">OKELEUK (a.i.)</t>
      </text>
    </comment>
    <comment authorId="0" ref="DL15">
      <text>
        <t xml:space="preserve">HiddeVdV96 (a.i.)</t>
      </text>
    </comment>
    <comment authorId="0" ref="AJ16">
      <text>
        <t xml:space="preserve">Koopabro (a.i.)</t>
      </text>
    </comment>
    <comment authorId="0" ref="AK16">
      <text>
        <t xml:space="preserve">Keijeman</t>
      </text>
    </comment>
    <comment authorId="0" ref="AL16">
      <text>
        <t xml:space="preserve">Koopabro (a.i.)</t>
      </text>
    </comment>
    <comment authorId="0" ref="AQ16">
      <text>
        <t xml:space="preserve">Roenmane (a.i.)</t>
      </text>
    </comment>
    <comment authorId="0" ref="BZ16">
      <text>
        <t xml:space="preserve">nickmanbear	</t>
      </text>
    </comment>
    <comment authorId="0" ref="CI16">
      <text>
        <t xml:space="preserve">th8 a.i.</t>
      </text>
    </comment>
    <comment authorId="0" ref="CV16">
      <text>
        <t xml:space="preserve">RkRs21 a.i.</t>
      </text>
    </comment>
    <comment authorId="0" ref="DI16">
      <text>
        <t xml:space="preserve">RkRs21 a.i.</t>
      </text>
    </comment>
    <comment authorId="0" ref="AM17">
      <text>
        <t xml:space="preserve">SabasNL</t>
      </text>
    </comment>
    <comment authorId="0" ref="AR17">
      <text>
        <t xml:space="preserve">Quintionus</t>
      </text>
    </comment>
    <comment authorId="0" ref="AK18">
      <text>
        <t xml:space="preserve">debestestuurlui</t>
      </text>
    </comment>
    <comment authorId="0" ref="AM18">
      <text>
        <t xml:space="preserve">Roenmane</t>
      </text>
    </comment>
    <comment authorId="0" ref="CR18">
      <text>
        <t xml:space="preserve">RkRs21 (a.i.)</t>
      </text>
    </comment>
    <comment authorId="0" ref="B21">
      <text>
        <t xml:space="preserve">Socialistische Partij</t>
      </text>
    </comment>
    <comment authorId="0" ref="B22">
      <text>
        <t xml:space="preserve">Anarcho Communistische Arbeiders Beweging 
(tot 20 januari Anarcho-Communistische Beweging ACB)</t>
      </text>
    </comment>
    <comment authorId="0" ref="B23">
      <text>
        <t xml:space="preserve">1Nederland</t>
      </text>
    </comment>
    <comment authorId="0" ref="B24">
      <text>
        <t xml:space="preserve">Lijst Toukiedatak</t>
      </text>
    </comment>
    <comment authorId="0" ref="B25">
      <text>
        <t xml:space="preserve">Groen-Progressieve Alliantie</t>
      </text>
    </comment>
    <comment authorId="0" ref="B26">
      <text>
        <t xml:space="preserve">Nieuw-Rechts Verbond</t>
      </text>
    </comment>
    <comment authorId="0" ref="DK26">
      <text>
        <t xml:space="preserve">Hans-Wiegel</t>
      </text>
    </comment>
    <comment authorId="0" ref="B28">
      <text>
        <t xml:space="preserve">Lijst Paddo_in_wonderland,
Stond ook kort bekend als Nedersaksisch Belang (NB)</t>
      </text>
    </comment>
    <comment authorId="0" ref="DL28">
      <text>
        <t xml:space="preserve">Paddo_in_wonderland</t>
      </text>
    </comment>
    <comment authorId="0" ref="B30">
      <text>
        <t xml:space="preserve">Groep Dekoul</t>
      </text>
    </comment>
    <comment authorId="0" ref="B31">
      <text>
        <t xml:space="preserve">Socialistische Partij, stond ook bekend als SP-CPN en MPN</t>
      </text>
    </comment>
    <comment authorId="0" ref="H31">
      <text>
        <t xml:space="preserve">SP-CPN fusiepartij</t>
      </text>
    </comment>
    <comment authorId="0" ref="B32">
      <text>
        <t xml:space="preserve">Communistische Partij Nederland</t>
      </text>
    </comment>
    <comment authorId="0" ref="B33">
      <text>
        <t xml:space="preserve">Marxistische Partij Nederland</t>
      </text>
    </comment>
    <comment authorId="0" ref="B34">
      <text>
        <t xml:space="preserve">PiratenPartij,
</t>
      </text>
    </comment>
    <comment authorId="0" ref="B35">
      <text>
        <t xml:space="preserve">Partij van de Arbeid</t>
      </text>
    </comment>
    <comment authorId="0" ref="B36">
      <text>
        <t xml:space="preserve">Christen-Democratisch Appèl</t>
      </text>
    </comment>
    <comment authorId="0" ref="B37">
      <text>
        <t xml:space="preserve">GroenLinks</t>
      </text>
    </comment>
    <comment authorId="0" ref="B38">
      <text>
        <t xml:space="preserve">Partij voor de Vrijheid</t>
      </text>
    </comment>
    <comment authorId="0" ref="AD38">
      <text>
        <t xml:space="preserve">kooienb</t>
      </text>
    </comment>
    <comment authorId="0" ref="B39">
      <text>
        <t xml:space="preserve">Piratenpartij van de Arbeid,
Gedwongen tot naamswijziging door de RMTK-Raad</t>
      </text>
    </comment>
    <comment authorId="0" ref="J39">
      <text>
        <t xml:space="preserve">Blackdutchie</t>
      </text>
    </comment>
    <comment authorId="0" ref="B40">
      <text>
        <t xml:space="preserve">Solidariteit &amp; Vrijheid,
</t>
      </text>
    </comment>
    <comment authorId="0" ref="B41">
      <text>
        <t xml:space="preserve">Lijst Pim Fortuyn</t>
      </text>
    </comment>
    <comment authorId="0" ref="B42">
      <text>
        <t xml:space="preserve">Groep Vylander/SabasNL</t>
      </text>
    </comment>
    <comment authorId="0" ref="B43">
      <text>
        <t xml:space="preserve">Liberale Unie</t>
      </text>
    </comment>
    <comment authorId="0" ref="B44">
      <text>
        <t xml:space="preserve">Germaanse Partij Nederland</t>
      </text>
    </comment>
    <comment authorId="0" ref="B45">
      <text>
        <t xml:space="preserve">De Nieuwe Lijn</t>
      </text>
    </comment>
    <comment authorId="0" ref="B46">
      <text>
        <t xml:space="preserve">Socialistische Volkspartij Nederland</t>
      </text>
    </comment>
    <comment authorId="0" ref="B47">
      <text>
        <t xml:space="preserve">Pacifistisch Socialistische Partij</t>
      </text>
    </comment>
    <comment authorId="0" ref="B48">
      <text>
        <t xml:space="preserve">EenmansFractieNaftafractieCoalitiePartij</t>
      </text>
    </comment>
    <comment authorId="0" ref="B49">
      <text>
        <t xml:space="preserve">Staats-Gereformeerde Partij</t>
      </text>
    </comment>
    <comment authorId="0" ref="B50">
      <text>
        <t xml:space="preserve">Links Progressieve Unie</t>
      </text>
    </comment>
    <comment authorId="0" ref="B51">
      <text>
        <t xml:space="preserve">Lijst Th8</t>
      </text>
    </comment>
    <comment authorId="0" ref="B52">
      <text>
        <t xml:space="preserve">GROEN</t>
      </text>
    </comment>
    <comment authorId="0" ref="B53">
      <text>
        <t xml:space="preserve">Volkspartij voor Vrijheid en Democratie</t>
      </text>
    </comment>
    <comment authorId="0" ref="B54">
      <text>
        <t xml:space="preserve">Democraten 66</t>
      </text>
    </comment>
    <comment authorId="0" ref="B55">
      <text>
        <t xml:space="preserve">Forum voor Democratie, stond eerst bekend als PVV</t>
      </text>
    </comment>
    <comment authorId="0" ref="B56">
      <text>
        <t xml:space="preserve">ChristenUnie</t>
      </text>
    </comment>
    <comment authorId="0" ref="B57">
      <text>
        <t xml:space="preserve">Sociaal-Democratische Arbeiderspartij, stond eerst bekend als LPU</t>
      </text>
    </comment>
    <comment authorId="0" ref="B58">
      <text>
        <t xml:space="preserve">Republikeins Progressief Nederland,
stond eerst bekend als Republikeinse Partij Nederland</t>
      </text>
    </comment>
    <comment authorId="0" ref="B59">
      <text>
        <t xml:space="preserve">Katholieke Volkspartij</t>
      </text>
    </comment>
    <comment authorId="0" ref="B60">
      <text>
        <t xml:space="preserve">Volautomatische Luxecommunistische Partij Nederland</t>
      </text>
    </comment>
    <comment authorId="0" ref="B61">
      <text>
        <t xml:space="preserve">Partij voor Europa</t>
      </text>
    </comment>
    <comment authorId="0" ref="B62">
      <text>
        <t xml:space="preserve">5-sterren beweging</t>
      </text>
    </comment>
    <comment authorId="0" ref="BM62">
      <text>
        <t xml:space="preserve">The_Superjew</t>
      </text>
    </comment>
    <comment authorId="0" ref="B63">
      <text>
        <t xml:space="preserve">Partij tegen de Burger</t>
      </text>
    </comment>
    <comment authorId="0" ref="B64">
      <text>
        <t xml:space="preserve">Groot Capelse Partij</t>
      </text>
    </comment>
    <comment authorId="0" ref="BM64">
      <text>
        <t xml:space="preserve">WalterJopla</t>
      </text>
    </comment>
    <comment authorId="0" ref="B65">
      <text>
        <t xml:space="preserve">MileniumBeweging</t>
      </text>
    </comment>
    <comment authorId="0" ref="B66">
      <text>
        <t xml:space="preserve">Democraten'18</t>
      </text>
    </comment>
    <comment authorId="0" ref="B67">
      <text>
        <t xml:space="preserve">Groen beetje Rechts, stond ook bekend als GroenRechts</t>
      </text>
    </comment>
    <comment authorId="0" ref="B68">
      <text>
        <t xml:space="preserve">Nieuwe Linkse Unie</t>
      </text>
    </comment>
    <comment authorId="0" ref="B69">
      <text>
        <t xml:space="preserve">STREEP! 
Stond eerst bekend als GroenRechts en kortstondig als !PEERTS</t>
      </text>
    </comment>
    <comment authorId="0" ref="B70">
      <text>
        <t xml:space="preserve">Volkspartij voor Vrijheid en Democratie</t>
      </text>
    </comment>
    <comment authorId="0" ref="B71">
      <text>
        <t xml:space="preserve">Nederlandsche Volkspartij</t>
      </text>
    </comment>
    <comment authorId="0" ref="B72">
      <text>
        <t xml:space="preserve">Christen-Democratisch Appèl</t>
      </text>
    </comment>
    <comment authorId="0" ref="BU72">
      <text>
        <t xml:space="preserve">Keijeman</t>
      </text>
    </comment>
    <comment authorId="0" ref="B73">
      <text>
        <t xml:space="preserve">LIJST BOLKESTEIN-HABSBURGERS TERUG-KROKETTEN MOETEN WEER TERUG IN DE CAFETARIA VAN VVV OLDEHOLTPADE</t>
      </text>
    </comment>
    <comment authorId="0" ref="B74">
      <text>
        <t xml:space="preserve">Lijst DolfDeKraai</t>
      </text>
    </comment>
    <comment authorId="0" ref="B75">
      <text>
        <t xml:space="preserve">Partij Gezond Verstand</t>
      </text>
    </comment>
    <comment authorId="0" ref="BZ75">
      <text>
        <t xml:space="preserve">timelapse00</t>
      </text>
    </comment>
    <comment authorId="0" ref="B76">
      <text>
        <t xml:space="preserve">Sociaal Democratisch Collectief</t>
      </text>
    </comment>
    <comment authorId="0" ref="B77">
      <text>
        <t xml:space="preserve">Simpel Nederland,
Voorheen Lijst /u/Keijeman</t>
      </text>
    </comment>
    <comment authorId="0" ref="B78">
      <text>
        <t xml:space="preserve">Collectief van Vrijzinnige Gelovigen</t>
      </text>
    </comment>
    <comment authorId="0" ref="B79">
      <text>
        <t xml:space="preserve">De Partij</t>
      </text>
    </comment>
    <comment authorId="0" ref="B80">
      <text>
        <t xml:space="preserve">Europa Groen en Progressief</t>
      </text>
    </comment>
    <comment authorId="0" ref="B81">
      <text>
        <t xml:space="preserve">Linkse Progressieve Unie,
Voorheen Sociaal-Democratisch Collectief (SDC) en Partij Goed Verstand (PGV)</t>
      </text>
    </comment>
    <comment authorId="0" ref="B82">
      <text>
        <t xml:space="preserve">Onafhankelijke Lijst 123Ricardo210</t>
      </text>
    </comment>
    <comment authorId="0" ref="CO82">
      <text>
        <t xml:space="preserve">123ricardo210</t>
      </text>
    </comment>
    <comment authorId="0" ref="B83">
      <text>
        <t xml:space="preserve">Friesche Seperatisten Partij</t>
      </text>
    </comment>
    <comment authorId="0" ref="B84">
      <text>
        <t xml:space="preserve">Lijst Pim Fortuyn
Voorheen Lijst /u/Keijeman en Simpel Nederland</t>
      </text>
    </comment>
    <comment authorId="0" ref="B85">
      <text>
        <t xml:space="preserve">Lijst /u/Alfus</t>
      </text>
    </comment>
    <comment authorId="0" ref="B86">
      <text>
        <t xml:space="preserve">Logisch Links</t>
      </text>
    </comment>
    <comment authorId="0" ref="B87">
      <text>
        <t xml:space="preserve">Democratische Alliantie'19
</t>
      </text>
    </comment>
    <comment authorId="0" ref="B88">
      <text>
        <t xml:space="preserve">Politieke Partij Radicalen</t>
      </text>
    </comment>
    <comment authorId="0" ref="B89">
      <text>
        <t xml:space="preserve">Breed-rechtse Volkspartij</t>
      </text>
    </comment>
  </commentList>
</comments>
</file>

<file path=xl/comments7.xml><?xml version="1.0" encoding="utf-8"?>
<comments xmlns:r="http://schemas.openxmlformats.org/officeDocument/2006/relationships" xmlns="http://schemas.openxmlformats.org/spreadsheetml/2006/main">
  <authors>
    <author/>
  </authors>
  <commentList>
    <comment authorId="0" ref="B1">
      <text>
        <t xml:space="preserve">PGV-SDC-MBE-SP</t>
      </text>
    </comment>
    <comment authorId="0" ref="I1">
      <text>
        <t xml:space="preserve">DA'19-PGV-SDC-STR</t>
      </text>
    </comment>
    <comment authorId="0" ref="O1">
      <text>
        <t xml:space="preserve">DA'19-SP</t>
      </text>
    </comment>
    <comment authorId="0" ref="S1">
      <text>
        <t xml:space="preserve">DA'19-LPU</t>
      </text>
    </comment>
    <comment authorId="0" ref="Y1">
      <text>
        <t xml:space="preserve">SP-DA'19-BRV-ALFUS</t>
      </text>
    </comment>
    <comment authorId="0" ref="AE1">
      <text>
        <t xml:space="preserve">PPR-LL-DA'19</t>
      </text>
    </comment>
    <comment authorId="0" ref="AJ1">
      <text>
        <t xml:space="preserve">1NL-PPR-ACAB</t>
      </text>
    </comment>
    <comment authorId="0" ref="AR1">
      <text>
        <t xml:space="preserve">GPA-ACAB
</t>
      </text>
    </comment>
  </commentList>
</comments>
</file>

<file path=xl/comments8.xml><?xml version="1.0" encoding="utf-8"?>
<comments xmlns:r="http://schemas.openxmlformats.org/officeDocument/2006/relationships" xmlns="http://schemas.openxmlformats.org/spreadsheetml/2006/main">
  <authors>
    <author/>
  </authors>
  <commentList>
    <comment authorId="0" ref="G42">
      <text>
        <t xml:space="preserve">House_of_Farts a.i.
</t>
      </text>
    </comment>
  </commentList>
</comments>
</file>

<file path=xl/comments9.xml><?xml version="1.0" encoding="utf-8"?>
<comments xmlns:r="http://schemas.openxmlformats.org/officeDocument/2006/relationships" xmlns="http://schemas.openxmlformats.org/spreadsheetml/2006/main">
  <authors>
    <author/>
  </authors>
  <commentList>
    <comment authorId="0" ref="C12">
      <text>
        <t xml:space="preserve">Democraten 66</t>
      </text>
    </comment>
    <comment authorId="0" ref="J12">
      <text>
        <t xml:space="preserve">Democraten 66</t>
      </text>
    </comment>
    <comment authorId="0" ref="P12">
      <text>
        <t xml:space="preserve">Democraten 66</t>
      </text>
    </comment>
    <comment authorId="0" ref="W12">
      <text>
        <t xml:space="preserve">Democraten 66</t>
      </text>
    </comment>
    <comment authorId="0" ref="AC12">
      <text>
        <t xml:space="preserve">Democraten 66</t>
      </text>
    </comment>
    <comment authorId="0" ref="AK12">
      <text>
        <t xml:space="preserve">Democraten 66</t>
      </text>
    </comment>
    <comment authorId="0" ref="AS12">
      <text>
        <t xml:space="preserve">Volkspartij voor Vrijheid en Democratie</t>
      </text>
    </comment>
    <comment authorId="0" ref="BA12">
      <text>
        <t xml:space="preserve">Sociaal Democratisch Collectief</t>
      </text>
    </comment>
    <comment authorId="0" ref="BG12">
      <text>
        <t xml:space="preserve">Democratische Alliantie'19</t>
      </text>
    </comment>
    <comment authorId="0" ref="BO12">
      <text>
        <t xml:space="preserve">1Nederland</t>
      </text>
    </comment>
    <comment authorId="0" ref="BV12">
      <text>
        <t xml:space="preserve">Groen-Progressieve Alliantie</t>
      </text>
    </comment>
    <comment authorId="0" ref="C13">
      <text>
        <t xml:space="preserve">Volkspartij voor Vrijheid en Democratie</t>
      </text>
    </comment>
    <comment authorId="0" ref="J13">
      <text>
        <t xml:space="preserve">GroenLinks</t>
      </text>
    </comment>
    <comment authorId="0" ref="K13">
      <text>
        <t xml:space="preserve">GroenLinks</t>
      </text>
    </comment>
    <comment authorId="0" ref="L13">
      <text>
        <t xml:space="preserve">GroenLinks</t>
      </text>
    </comment>
    <comment authorId="0" ref="M13">
      <text>
        <t xml:space="preserve">GroenLinks</t>
      </text>
    </comment>
    <comment authorId="0" ref="P13">
      <text>
        <t xml:space="preserve">GroenLinks</t>
      </text>
    </comment>
    <comment authorId="0" ref="W13">
      <text>
        <t xml:space="preserve">GroenLinks</t>
      </text>
    </comment>
    <comment authorId="0" ref="AC13">
      <text>
        <t xml:space="preserve">GroenLinks</t>
      </text>
    </comment>
    <comment authorId="0" ref="AK13">
      <text>
        <t xml:space="preserve">GROEN</t>
      </text>
    </comment>
    <comment authorId="0" ref="AS13">
      <text>
        <t xml:space="preserve">Sociaal-Democratische Arbeiderspartij, stond eerst bekend als LPU</t>
      </text>
    </comment>
    <comment authorId="0" ref="BA13">
      <text>
        <t xml:space="preserve">Partij Gezond Verstand</t>
      </text>
    </comment>
    <comment authorId="0" ref="BG13">
      <text>
        <t xml:space="preserve">Socialistische Partij</t>
      </text>
    </comment>
    <comment authorId="0" ref="BO13">
      <text>
        <t xml:space="preserve">Politieke Partij Radicalen</t>
      </text>
    </comment>
    <comment authorId="0" ref="BV13">
      <text>
        <t xml:space="preserve">Anarcho Communistische Arbeiders Beweging 
(tot 20 januari Anarcho-Communistische Beweging ACB)</t>
      </text>
    </comment>
    <comment authorId="0" ref="C14">
      <text>
        <t xml:space="preserve">GroenLinks</t>
      </text>
    </comment>
    <comment authorId="0" ref="J14">
      <text>
        <t xml:space="preserve">Volkspartij voor Vrijheid en Democratie</t>
      </text>
    </comment>
    <comment authorId="0" ref="K14">
      <text>
        <t xml:space="preserve">Volkspartij voor Vrijheid en Democratie</t>
      </text>
    </comment>
    <comment authorId="0" ref="L14">
      <text>
        <t xml:space="preserve">Volkspartij voor Vrijheid en Democratie</t>
      </text>
    </comment>
    <comment authorId="0" ref="M14">
      <text>
        <t xml:space="preserve">Volkspartij voor Vrijheid en Democratie</t>
      </text>
    </comment>
    <comment authorId="0" ref="P14">
      <text>
        <t xml:space="preserve">Communistische Partij Nederland</t>
      </text>
    </comment>
    <comment authorId="0" ref="W14">
      <text>
        <t xml:space="preserve">Communistische Partij Nederland</t>
      </text>
    </comment>
    <comment authorId="0" ref="AC14">
      <text>
        <t xml:space="preserve">Pacifistisch Socialistische Partij</t>
      </text>
    </comment>
    <comment authorId="0" ref="AK14">
      <text>
        <t xml:space="preserve">Links Progressieve Unie</t>
      </text>
    </comment>
    <comment authorId="0" ref="AS14">
      <text>
        <t xml:space="preserve">Democraten 66</t>
      </text>
    </comment>
    <comment authorId="0" ref="BA14">
      <text>
        <t xml:space="preserve">Democraten'18</t>
      </text>
    </comment>
    <comment authorId="0" ref="BG14">
      <text>
        <t xml:space="preserve">Sociaal Democratisch Collectief</t>
      </text>
    </comment>
    <comment authorId="0" ref="BO14">
      <text>
        <t xml:space="preserve">Logisch Links</t>
      </text>
    </comment>
    <comment authorId="0" ref="BV14">
      <text>
        <t xml:space="preserve">1Nederland</t>
      </text>
    </comment>
    <comment authorId="0" ref="C15">
      <text>
        <t xml:space="preserve">Partij van de Arbeid</t>
      </text>
    </comment>
    <comment authorId="0" ref="J15">
      <text>
        <t xml:space="preserve">Marxistische Partij Nederland</t>
      </text>
    </comment>
    <comment authorId="0" ref="P15">
      <text>
        <t xml:space="preserve">Volkspartij voor Vrijheid en Democratie</t>
      </text>
    </comment>
    <comment authorId="0" ref="W15">
      <text>
        <t xml:space="preserve">Volkspartij voor Vrijheid en Democratie</t>
      </text>
    </comment>
    <comment authorId="0" ref="AC15">
      <text>
        <t xml:space="preserve">Volkspartij voor Vrijheid en Democratie</t>
      </text>
    </comment>
    <comment authorId="0" ref="AK15">
      <text>
        <t xml:space="preserve">Forum voor Democratie, stond eerst bekend als PVV</t>
      </text>
    </comment>
    <comment authorId="0" ref="AS15">
      <text>
        <t xml:space="preserve">Forum voor Democratie, stond eerst bekend als PVV</t>
      </text>
    </comment>
    <comment authorId="0" ref="BA15">
      <text>
        <t xml:space="preserve">MileniumBeweging</t>
      </text>
    </comment>
    <comment authorId="0" ref="BG15">
      <text>
        <t xml:space="preserve">Breed-rechtse Volkspartij</t>
      </text>
    </comment>
    <comment authorId="0" ref="BO15">
      <text>
        <t xml:space="preserve">Socialistische Partij</t>
      </text>
    </comment>
    <comment authorId="0" ref="BV15">
      <text>
        <t xml:space="preserve">Socialistische Partij</t>
      </text>
    </comment>
    <comment authorId="0" ref="C16">
      <text>
        <t xml:space="preserve">Communistische Partij Nederland</t>
      </text>
    </comment>
    <comment authorId="0" ref="J16">
      <text>
        <t xml:space="preserve">Partij voor de Vrijheid</t>
      </text>
    </comment>
    <comment authorId="0" ref="P16">
      <text>
        <t xml:space="preserve">Partij voor de Vrijheid</t>
      </text>
    </comment>
    <comment authorId="0" ref="W16">
      <text>
        <t xml:space="preserve">Partij voor de Vrijheid</t>
      </text>
    </comment>
    <comment authorId="0" ref="AC16">
      <text>
        <t xml:space="preserve">Communistische Partij Nederland</t>
      </text>
    </comment>
    <comment authorId="0" ref="AK16">
      <text>
        <t xml:space="preserve">Volkspartij voor Vrijheid en Democratie</t>
      </text>
    </comment>
    <comment authorId="0" ref="AS16">
      <text>
        <t xml:space="preserve">ChristenUnie</t>
      </text>
    </comment>
    <comment authorId="0" ref="BA16">
      <text>
        <t xml:space="preserve">Socialistische Partij</t>
      </text>
    </comment>
    <comment authorId="0" ref="BG16">
      <text>
        <t xml:space="preserve">Partij Gezond Verstand</t>
      </text>
    </comment>
    <comment authorId="0" ref="BO16">
      <text>
        <t xml:space="preserve">Breed-rechtse Volkspartij</t>
      </text>
    </comment>
    <comment authorId="0" ref="BV16">
      <text>
        <t xml:space="preserve">Lijst Toukiedatak</t>
      </text>
    </comment>
    <comment authorId="0" ref="C17">
      <text>
        <t xml:space="preserve">Partij voor de Vrijheid</t>
      </text>
    </comment>
    <comment authorId="0" ref="J17">
      <text>
        <t xml:space="preserve">Solidariteit &amp; Vrijheid</t>
      </text>
    </comment>
    <comment authorId="0" ref="P17">
      <text>
        <t xml:space="preserve">Solidariteit &amp; Vrijheid</t>
      </text>
    </comment>
    <comment authorId="0" ref="W17">
      <text>
        <t xml:space="preserve">Germaanse Partij Nederland</t>
      </text>
    </comment>
    <comment authorId="0" ref="AC17">
      <text>
        <t xml:space="preserve">Partij voor de Vrijheid</t>
      </text>
    </comment>
    <comment authorId="0" ref="AK17">
      <text>
        <t xml:space="preserve">ChristenUnie</t>
      </text>
    </comment>
    <comment authorId="0" ref="AS17">
      <text>
        <t xml:space="preserve">Republikeins Progressief Nederland,
stond eerst bekend als Republikeinse Partij Nederland</t>
      </text>
    </comment>
    <comment authorId="0" ref="BA17">
      <text>
        <t xml:space="preserve">Christen-Democratisch Appèl</t>
      </text>
    </comment>
    <comment authorId="0" ref="BG17">
      <text>
        <t xml:space="preserve">Friesche Seperatisten Partij</t>
      </text>
    </comment>
    <comment authorId="0" ref="BO17">
      <text>
        <t xml:space="preserve">Anarcho-Communistische Beweging </t>
      </text>
    </comment>
    <comment authorId="0" ref="C18">
      <text>
        <t xml:space="preserve">Christen-Democratisch Appèl</t>
      </text>
    </comment>
    <comment authorId="0" ref="J18">
      <text>
        <t xml:space="preserve">Christen-Democratisch Appèl</t>
      </text>
    </comment>
    <comment authorId="0" ref="P18">
      <text>
        <t xml:space="preserve">De Nieuwe Lijn</t>
      </text>
    </comment>
    <comment authorId="0" ref="W18">
      <text>
        <t xml:space="preserve">De Nieuwe Lijn</t>
      </text>
    </comment>
    <comment authorId="0" ref="AC18">
      <text>
        <t xml:space="preserve">Socialistische Volkspartij Nederland</t>
      </text>
    </comment>
    <comment authorId="0" ref="AK18">
      <text>
        <t xml:space="preserve">Lijst Th8</t>
      </text>
    </comment>
    <comment authorId="0" ref="AS18">
      <text>
        <t xml:space="preserve">GROEN</t>
      </text>
    </comment>
    <comment authorId="0" ref="BA18">
      <text>
        <t xml:space="preserve">LIJST BOLKESTEIN-HABSBURGERS TERUG-KROKETTEN MOETEN WEER TERUG IN DE CAFETARIA VAN VVV OLDEHOLTPADE</t>
      </text>
    </comment>
    <comment authorId="0" ref="BG18">
      <text>
        <t xml:space="preserve">Lijst /u/Alfus</t>
      </text>
    </comment>
    <comment authorId="0" ref="BO18">
      <text>
        <t xml:space="preserve">Democratische Alliantie'19</t>
      </text>
    </comment>
    <comment authorId="0" ref="C19">
      <text>
        <t xml:space="preserve">Socialistische Partij, stond ook bekend als SP-CPN en MPN</t>
      </text>
    </comment>
    <comment authorId="0" ref="J19">
      <text>
        <t xml:space="preserve">PiratenPartij,</t>
      </text>
    </comment>
    <comment authorId="0" ref="P19">
      <text>
        <t xml:space="preserve">Christen-Democratisch Appèl</t>
      </text>
    </comment>
    <comment authorId="0" ref="W19">
      <text>
        <t xml:space="preserve">Pacifistisch Socialistische Partij</t>
      </text>
    </comment>
    <comment authorId="0" ref="BA19">
      <text>
        <t xml:space="preserve">Volkspartij voor Vrijheid en Democratie</t>
      </text>
    </comment>
    <comment authorId="0" ref="BG19">
      <text>
        <t xml:space="preserve">Lijst Pim Fortuyn
Voorheen Lijst /u/Keijeman en Simpel Nederland</t>
      </text>
    </comment>
    <comment authorId="0" ref="BO19">
      <text>
        <t xml:space="preserve">Lijst Toukiedatak</t>
      </text>
    </comment>
    <comment authorId="0" ref="C20">
      <text>
        <t xml:space="preserve">PiratenPartij,</t>
      </text>
    </comment>
    <comment authorId="0" ref="W20">
      <text>
        <t xml:space="preserve">Partij van de Arbeid</t>
      </text>
    </comment>
    <comment authorId="0" ref="BA20">
      <text>
        <t xml:space="preserve">Friesche Seperatisten Partij</t>
      </text>
    </comment>
    <comment authorId="0" ref="C21">
      <text>
        <t xml:space="preserve">Simpel Nederland
</t>
      </text>
    </comment>
    <comment authorId="0" ref="BA21">
      <text>
        <t xml:space="preserve">Groen beetje Rechts, stond ook bekend als GroenRechts</t>
      </text>
    </comment>
    <comment authorId="0" ref="C22">
      <text>
        <t xml:space="preserve">Groep Dekoul</t>
      </text>
    </comment>
    <comment authorId="0" ref="BA22">
      <text>
        <t xml:space="preserve">Lijst DolfDeKraai</t>
      </text>
    </comment>
  </commentList>
</comments>
</file>

<file path=xl/sharedStrings.xml><?xml version="1.0" encoding="utf-8"?>
<sst xmlns="http://schemas.openxmlformats.org/spreadsheetml/2006/main" count="18804" uniqueCount="1910">
  <si>
    <t>/r/RMTK</t>
  </si>
  <si>
    <t>Reddit Model Tweede Kamer</t>
  </si>
  <si>
    <t>Partijprogramma's
actieve partijen:</t>
  </si>
  <si>
    <t>Statuten
actieve
partijen:</t>
  </si>
  <si>
    <t>Actieve partijen in de Tweede Kamer en daarbuiten:</t>
  </si>
  <si>
    <t>Partijleider:</t>
  </si>
  <si>
    <t>Huidige
Regering:</t>
  </si>
  <si>
    <t>Moderatoren:</t>
  </si>
  <si>
    <t>Overzichten:</t>
  </si>
  <si>
    <t>Overige links:</t>
  </si>
  <si>
    <t>Logo</t>
  </si>
  <si>
    <t>Partijnaam</t>
  </si>
  <si>
    <t>Afkorting</t>
  </si>
  <si>
    <t>Zetels</t>
  </si>
  <si>
    <t>Groen-Progressieve Alliantie</t>
  </si>
  <si>
    <t>GPA</t>
  </si>
  <si>
    <t>House_of_Farts</t>
  </si>
  <si>
    <t>Kabinet HoF-II</t>
  </si>
  <si>
    <t>Secretaris-Generaal:</t>
  </si>
  <si>
    <t>Stemmingsoverzicht</t>
  </si>
  <si>
    <t>Overige RMTK-zaken</t>
  </si>
  <si>
    <t>Tweede Kamer</t>
  </si>
  <si>
    <t>Hall of Fame</t>
  </si>
  <si>
    <t>Anarcho Communistische Arbeiders Beweging</t>
  </si>
  <si>
    <t>ACAB</t>
  </si>
  <si>
    <t>MerijnZ1</t>
  </si>
  <si>
    <t>Partijen in Regering:</t>
  </si>
  <si>
    <t>/u/HiddeVdV96</t>
  </si>
  <si>
    <t>GPA (7 zetels)</t>
  </si>
  <si>
    <t>Eerste Kamer</t>
  </si>
  <si>
    <t>Socialistische Partij</t>
  </si>
  <si>
    <t>SP</t>
  </si>
  <si>
    <t>7Hielke</t>
  </si>
  <si>
    <t>Voorzitter:</t>
  </si>
  <si>
    <t>ACAB (6 zetels)</t>
  </si>
  <si>
    <t>1Nederland</t>
  </si>
  <si>
    <t>1NL</t>
  </si>
  <si>
    <t>LucasV98</t>
  </si>
  <si>
    <t>/u/theguus</t>
  </si>
  <si>
    <t>Geschiedenis</t>
  </si>
  <si>
    <t>Overige Informatie:</t>
  </si>
  <si>
    <t>RMTK Geschiedenis</t>
  </si>
  <si>
    <t>Nieuw-Rechts Verbond</t>
  </si>
  <si>
    <t>NRV</t>
  </si>
  <si>
    <t>Hans-Wiegel</t>
  </si>
  <si>
    <t>Regeerakkoord:</t>
  </si>
  <si>
    <t>Ondervoorzitter:</t>
  </si>
  <si>
    <t>RMTK Kaart</t>
  </si>
  <si>
    <t>Lijst Toukiedatak</t>
  </si>
  <si>
    <t>LTD</t>
  </si>
  <si>
    <t>toukiedatak</t>
  </si>
  <si>
    <t>/u/Keijeman</t>
  </si>
  <si>
    <t>/u/toukiedatak</t>
  </si>
  <si>
    <t>Kabinetten Geschiedenis</t>
  </si>
  <si>
    <t>Lijst Paddo_in_wonderland</t>
  </si>
  <si>
    <t>LP</t>
  </si>
  <si>
    <t>-</t>
  </si>
  <si>
    <t>Paddo_in_wonderland</t>
  </si>
  <si>
    <t>Parlementaire Geschiedenis</t>
  </si>
  <si>
    <t>RMTK-Raad:</t>
  </si>
  <si>
    <t>Oude Spreadsheets Pre-reset:</t>
  </si>
  <si>
    <t>Kamerstukken</t>
  </si>
  <si>
    <t>Overige Subreddits:</t>
  </si>
  <si>
    <t>/u/Hans-Wiegel</t>
  </si>
  <si>
    <t>Moties</t>
  </si>
  <si>
    <t>/u/Raaf___</t>
  </si>
  <si>
    <t>Wetten &amp; Amendementen</t>
  </si>
  <si>
    <t>Overige Kamerstukken</t>
  </si>
  <si>
    <t>Agenda</t>
  </si>
  <si>
    <t>Design by Der_Kohl</t>
  </si>
  <si>
    <t>Verkiezing XI</t>
  </si>
  <si>
    <t>Stemoverzicht
Tweede Kamer der Staten-Generaal</t>
  </si>
  <si>
    <t xml:space="preserve">Kabinet-House_of_Farts II
(GPA - ACAB)
</t>
  </si>
  <si>
    <t>TS0001</t>
  </si>
  <si>
    <t>TS0002</t>
  </si>
  <si>
    <t>TS0003</t>
  </si>
  <si>
    <t>TS0004</t>
  </si>
  <si>
    <t>TS0005</t>
  </si>
  <si>
    <t>TS0006</t>
  </si>
  <si>
    <t>TS0007+</t>
  </si>
  <si>
    <t>TS008</t>
  </si>
  <si>
    <t>TS009</t>
  </si>
  <si>
    <t>Coalitie</t>
  </si>
  <si>
    <t>Partij</t>
  </si>
  <si>
    <t>Kamerlid</t>
  </si>
  <si>
    <t>M0183</t>
  </si>
  <si>
    <t>M0172</t>
  </si>
  <si>
    <t>M0180</t>
  </si>
  <si>
    <t>M0185</t>
  </si>
  <si>
    <t>W0091</t>
  </si>
  <si>
    <t>W0092</t>
  </si>
  <si>
    <t>W0093</t>
  </si>
  <si>
    <t>M0173</t>
  </si>
  <si>
    <t>M0174</t>
  </si>
  <si>
    <t>M0175</t>
  </si>
  <si>
    <t>M0176</t>
  </si>
  <si>
    <t>M0177</t>
  </si>
  <si>
    <t>M0181</t>
  </si>
  <si>
    <t>M0194</t>
  </si>
  <si>
    <t>M0204</t>
  </si>
  <si>
    <t>W0094</t>
  </si>
  <si>
    <t>W0095</t>
  </si>
  <si>
    <t>W0096</t>
  </si>
  <si>
    <t>W0097-I</t>
  </si>
  <si>
    <t>W0098</t>
  </si>
  <si>
    <t>W0103</t>
  </si>
  <si>
    <t>Coalitie
(13)</t>
  </si>
  <si>
    <t>Ethiowolf</t>
  </si>
  <si>
    <t>NG</t>
  </si>
  <si>
    <t>Tegen</t>
  </si>
  <si>
    <t>Voor</t>
  </si>
  <si>
    <t xml:space="preserve">voor </t>
  </si>
  <si>
    <t>voor</t>
  </si>
  <si>
    <t>tegen</t>
  </si>
  <si>
    <t>rik079</t>
  </si>
  <si>
    <t>Sushishine</t>
  </si>
  <si>
    <t>JohanCAvdM</t>
  </si>
  <si>
    <t>SO</t>
  </si>
  <si>
    <t>Alfus</t>
  </si>
  <si>
    <t>NVT</t>
  </si>
  <si>
    <t>MTFD</t>
  </si>
  <si>
    <t>Koopabro</t>
  </si>
  <si>
    <t>HiddeVdV96</t>
  </si>
  <si>
    <t>th8</t>
  </si>
  <si>
    <t>Raaf___</t>
  </si>
  <si>
    <t>Sylviagony</t>
  </si>
  <si>
    <t>koelan_vds</t>
  </si>
  <si>
    <t>jlarti098</t>
  </si>
  <si>
    <t>basboord</t>
  </si>
  <si>
    <t>therealkovu</t>
  </si>
  <si>
    <t>Mhykol_E</t>
  </si>
  <si>
    <t>https://www.reddit.com/r/RMTK/comments/g7t5gv/m0167_motie_tot_verbieden_participatieverklaring/</t>
  </si>
  <si>
    <t>https://www.reddit.com/r/RMTK/comments/g9mrib</t>
  </si>
  <si>
    <t>https://www.reddit.com/r/RMTK/comments/ga90n1/m0168_zoeken_van_draagvlak_voor_de_participatie/</t>
  </si>
  <si>
    <t>https://www.reddit.com/r/RMTK/comments/gav8k0/m0169_motie_tot_aanschaf_betere_wapens_voor_het/</t>
  </si>
  <si>
    <t>https://www.reddit.com/r/RMTK/comments/gdvpgj/m0170_motie_tot_het_verhogen_van_salarissen_voor/</t>
  </si>
  <si>
    <t>https://www.reddit.com/r/RMTK/comments/g6i299/w0088_wetswijziging_tot_inkorting_aanpassing/</t>
  </si>
  <si>
    <t>https://www.reddit.com/r/RMTK/comments/gdxb1s/m0179_motie_tot_bevestiging_steun_voor_moties/</t>
  </si>
  <si>
    <t>https://www.reddit.com/r/RMTK/comments/gf4gid/m0171_motie_tot_vak_belastingaangifte/</t>
  </si>
  <si>
    <t>https://www.reddit.com/r/RMTK/comments/ghu0dd/m0182_motie_van_wantrouwen_jegens_de_minister_van/</t>
  </si>
  <si>
    <t>https://www.reddit.com/r/RMTK/comments/gkao3p/m0183_motie_tot_kwaliteit_bij_staatsrechtelijke/</t>
  </si>
  <si>
    <t>https://reddit.com/r/RMTK/comments/gi92kk</t>
  </si>
  <si>
    <t>https://reddit.com/r/RMTK/comments/gm7q2f</t>
  </si>
  <si>
    <t>https://reddit.com/r/RMTK/comments/gn9d57</t>
  </si>
  <si>
    <t>https://reddit.com/r/RMTK/comments/gfssqx</t>
  </si>
  <si>
    <t>https://reddit.com/r/RMTK/comments/ggf1z2</t>
  </si>
  <si>
    <t>https://reddit.com/r/RMTK/comments/ghp690</t>
  </si>
  <si>
    <t>Oppositie
(12)</t>
  </si>
  <si>
    <t>LordAverap</t>
  </si>
  <si>
    <t>TheRealJanSanono</t>
  </si>
  <si>
    <t>Dekks_Was_Taken</t>
  </si>
  <si>
    <t>yee_olde_Alberto</t>
  </si>
  <si>
    <t>Kajtuu98</t>
  </si>
  <si>
    <t>timelapse00</t>
  </si>
  <si>
    <t>theguus</t>
  </si>
  <si>
    <t>Keijeman</t>
  </si>
  <si>
    <t>SanderB2002</t>
  </si>
  <si>
    <t>Der_Kohl</t>
  </si>
  <si>
    <t>Statistieken</t>
  </si>
  <si>
    <t>Stem Onthouden (SO)</t>
  </si>
  <si>
    <t>Niet Gestemd (NG)</t>
  </si>
  <si>
    <t>Totaal</t>
  </si>
  <si>
    <t>Opkomst</t>
  </si>
  <si>
    <t>Opkomst (%)</t>
  </si>
  <si>
    <t> </t>
  </si>
  <si>
    <t>Stemoverzicht
Eerste Kamer der Staten-Generaal</t>
  </si>
  <si>
    <t>ES0001</t>
  </si>
  <si>
    <t>ES0002</t>
  </si>
  <si>
    <t>ES0003</t>
  </si>
  <si>
    <t>ES0004</t>
  </si>
  <si>
    <t>ES0005</t>
  </si>
  <si>
    <t>ES0006</t>
  </si>
  <si>
    <t>W0076</t>
  </si>
  <si>
    <t>Coalitie
(2)</t>
  </si>
  <si>
    <t>Oppositie
(2)</t>
  </si>
  <si>
    <t>tariklfc</t>
  </si>
  <si>
    <t>tocqueville95</t>
  </si>
  <si>
    <t>RMTK PARLEMENTAIRE AGENDA</t>
  </si>
  <si>
    <t>LEZING</t>
  </si>
  <si>
    <t>STEMMING</t>
  </si>
  <si>
    <t>OPMERKINGEN</t>
  </si>
  <si>
    <t>DAG</t>
  </si>
  <si>
    <t>DATUM</t>
  </si>
  <si>
    <t>KENMERK</t>
  </si>
  <si>
    <t>TYPE PUBLICATIE</t>
  </si>
  <si>
    <t>SPOED</t>
  </si>
  <si>
    <t>INGETROKKEN</t>
  </si>
  <si>
    <t>INDIENER</t>
  </si>
  <si>
    <t>TITEL</t>
  </si>
  <si>
    <t>BEGINDATUM</t>
  </si>
  <si>
    <t>EINDDATUM</t>
  </si>
  <si>
    <t>W0075</t>
  </si>
  <si>
    <t>WETSVOORSTEL</t>
  </si>
  <si>
    <t>Vaststelling van de begrotingsstaat van het Deltafonds voor het jaar 2020</t>
  </si>
  <si>
    <t>Vaststelling van de begrotingsstaat van het gemeentefonds (B) voor het jaar 2020</t>
  </si>
  <si>
    <t>Heeft amendement: W0076-I</t>
  </si>
  <si>
    <t>W0077</t>
  </si>
  <si>
    <t>Wet tot moratorium gezichtsherkennende software voor bepaalde doeleinden</t>
  </si>
  <si>
    <t>M0149</t>
  </si>
  <si>
    <t>MOTIE</t>
  </si>
  <si>
    <t>Toukiedatak</t>
  </si>
  <si>
    <t>Motie tot het uitvoeren van motie 0140 en motie 0144</t>
  </si>
  <si>
    <t>M0150</t>
  </si>
  <si>
    <t>7hielke</t>
  </si>
  <si>
    <t>Motie tot geven van Nederlanderschap aan Chun Sheng Yan</t>
  </si>
  <si>
    <t>W0078</t>
  </si>
  <si>
    <t>Intrekkingswet wet op de identificatieplicht</t>
  </si>
  <si>
    <t>M0151</t>
  </si>
  <si>
    <t>Motie tot oplossen liquiditeitsprobleem ten gevolge van de coronacrisis</t>
  </si>
  <si>
    <t>M0152</t>
  </si>
  <si>
    <t>Motie tot regeling overheidszaken via whatsappje</t>
  </si>
  <si>
    <t>KB0024</t>
  </si>
  <si>
    <t>KONINKLIJK BESLUIT</t>
  </si>
  <si>
    <t>Koninklijk Besluit, 4-1-2020, houdende de wijziging Regeling beheer rijkscollectie en subsidiëring museale instellingen teneinde het verstrekken van en leveren van subsidie voor gratis toegang voor personen tot en met het drieëntwintigste levensjaar</t>
  </si>
  <si>
    <t>M0154</t>
  </si>
  <si>
    <t>Motie tot regeling overheidszaken via email</t>
  </si>
  <si>
    <t xml:space="preserve">M0153 en M0154 zijn in volgorde verwisseld. </t>
  </si>
  <si>
    <t>W0079</t>
  </si>
  <si>
    <t>Wet om de accijns op tabak houdende producten te verhogen, om zo een afschrikkende werking te creëren bij de koop van tabak</t>
  </si>
  <si>
    <t>M0163</t>
  </si>
  <si>
    <t>Motie van Afkeuring jegens de voorzitter</t>
  </si>
  <si>
    <t>De stemming verloopt via de Secretaris-Generaal gedurende 72 uur na de begindatum van de lezing.</t>
  </si>
  <si>
    <t>M0153</t>
  </si>
  <si>
    <t>Motie tot regeling overheidszaken via papier</t>
  </si>
  <si>
    <t>W0080</t>
  </si>
  <si>
    <t>Wetswijziging ter afschaffing erfbelasting</t>
  </si>
  <si>
    <t>KS0052</t>
  </si>
  <si>
    <t>KAMERBRIEF</t>
  </si>
  <si>
    <t>Kamerbrief aangaande informeren over gemaakte fouten op het Ministerie van Financiën en Economische Zaken bij het opstellen van de nota's aangaande Verantwoordingsdag Begrotingsjaar II en III</t>
  </si>
  <si>
    <t>M0155</t>
  </si>
  <si>
    <t>Motie tot hernoeming Flevoland of Lelystad</t>
  </si>
  <si>
    <t>M0156</t>
  </si>
  <si>
    <t>Motie tot jaarlijkse cursus</t>
  </si>
  <si>
    <t>TK STEMMING</t>
  </si>
  <si>
    <t>W0075, W0077, M0149, M0150, W0078</t>
  </si>
  <si>
    <t>EK STEMMING</t>
  </si>
  <si>
    <t>W0072, W0073-I, W0074</t>
  </si>
  <si>
    <t>M0157</t>
  </si>
  <si>
    <t>Motie tot spelende kinderen blij maken</t>
  </si>
  <si>
    <t>W0076-I</t>
  </si>
  <si>
    <t>AMENDEMENT</t>
  </si>
  <si>
    <t>Amendement op W0076 tot volledige compensatie voor gemeenten</t>
  </si>
  <si>
    <t>TK UITSLAGEN</t>
  </si>
  <si>
    <t>EK UITSLAGEN</t>
  </si>
  <si>
    <t>W0081</t>
  </si>
  <si>
    <t>Wet op wijziging middelbaar onderwijs tot algemene lessen Fries.</t>
  </si>
  <si>
    <t>Heeft amendement: W0081-I</t>
  </si>
  <si>
    <t>M0158</t>
  </si>
  <si>
    <t>Motie tot versoepelen rijwetgeving beroepschauffeurs</t>
  </si>
  <si>
    <t>W0082</t>
  </si>
  <si>
    <t>Wet BTW-verhoging vleesproducten en samenvoeging van de wet op de omzetbelasting 1968 en de wet btw-verlaging op ecologisch-verantwoorde goederen</t>
  </si>
  <si>
    <t>M0159</t>
  </si>
  <si>
    <t>Motie tot uitleg politieke stromingen in het onderwijs</t>
  </si>
  <si>
    <t>W0083</t>
  </si>
  <si>
    <t>Wetswijziging ter afschaffing automatisch verlies Nederlanderschap</t>
  </si>
  <si>
    <t>M0160</t>
  </si>
  <si>
    <t>Motie tot erkenning van Taiwan als onafhankelijke staat</t>
  </si>
  <si>
    <t>W0084</t>
  </si>
  <si>
    <t>Vlootwet 2020</t>
  </si>
  <si>
    <t>Heeft amendement: W0084-I</t>
  </si>
  <si>
    <t>M0161</t>
  </si>
  <si>
    <t>Motie tot verhoging salaris militairen</t>
  </si>
  <si>
    <t>M0152, M0154, W0079, M0153, W0080, W0076-I</t>
  </si>
  <si>
    <t>W0075, W0077, W0078</t>
  </si>
  <si>
    <t>KB0025</t>
  </si>
  <si>
    <t>Koninklijk Besluit ter verlening Nederlanderschap aan Chun Sheng Yan</t>
  </si>
  <si>
    <t>W0085</t>
  </si>
  <si>
    <t>Wetswijziging van de Wet op de Kansspelen teneinde het invoeren van de verplichting om de consument te waarschuwen tijdens het aanbieden van kansspelen</t>
  </si>
  <si>
    <t>M0162</t>
  </si>
  <si>
    <t>Motie tot actief uitzetbeleid illegalen</t>
  </si>
  <si>
    <t>W0081-I</t>
  </si>
  <si>
    <t>Amendement tot wijziging van de Wet op wijziging middelbaar onderwijs tot algemene lessen Fries</t>
  </si>
  <si>
    <t>Amendement op W0081</t>
  </si>
  <si>
    <t>KS0053</t>
  </si>
  <si>
    <t>Kamerbrief naar aanleiding van motie 0053, sluiting Vreewijk lyceum</t>
  </si>
  <si>
    <t>W0084-I</t>
  </si>
  <si>
    <t>Amendement op W0084-I</t>
  </si>
  <si>
    <t>W0086</t>
  </si>
  <si>
    <t>Wet ter verlenging van de levensduur van elektrische en elektronische apparatuur</t>
  </si>
  <si>
    <t>M0164</t>
  </si>
  <si>
    <t>Motie tot meer aandacht voor de Nederlandse cultuur en tradities op scholen</t>
  </si>
  <si>
    <t>M0165</t>
  </si>
  <si>
    <t>Motie tot het goedkoper maken van vaccinaties buiten het Rijksvaccinatieprogramma</t>
  </si>
  <si>
    <t>W0087</t>
  </si>
  <si>
    <t>Wetswijziging van de algemene ouderdomswet teneinde het geleidelijk verhogen van de pensioengerechtigde leeftijd en het leggen van grondslag voor een zware beroepenlijst</t>
  </si>
  <si>
    <t>W0088</t>
  </si>
  <si>
    <t>Wetswijziging tot inkorting &amp; aanpassing Acteursrecht</t>
  </si>
  <si>
    <t>Heeft Amendement W0088-I</t>
  </si>
  <si>
    <t>M0166</t>
  </si>
  <si>
    <t>Motie tot verhoging Defensie budget</t>
  </si>
  <si>
    <t>M0155, M0156, M0157, M0158, W0082, W0076, W0081-I, W0084-I</t>
  </si>
  <si>
    <t>KS0054</t>
  </si>
  <si>
    <t>Kamerbrief aangaande uitvoering van diverse moties rondom de NPO</t>
  </si>
  <si>
    <t>M0167</t>
  </si>
  <si>
    <t>koopabro</t>
  </si>
  <si>
    <t>Motie tot verbieden participatieverklaring</t>
  </si>
  <si>
    <t>KB0026</t>
  </si>
  <si>
    <t>Verlengingsbesluit tijdelijk Bureau ICT-toetsing</t>
  </si>
  <si>
    <t>W0089</t>
  </si>
  <si>
    <t>TheJelleyFish</t>
  </si>
  <si>
    <t>Wetswijziging tot correctie van de huurtoeslagleeftijdsgrens</t>
  </si>
  <si>
    <t>M0168</t>
  </si>
  <si>
    <t>Zoeken van draagvlak voor de participatie van Taiwan in internationale organisaties</t>
  </si>
  <si>
    <t>M0169</t>
  </si>
  <si>
    <t>Motie tot aanschaf betere wapens voor het leger</t>
  </si>
  <si>
    <t>M0159, W0083, M0160, M0161, W0085, W0081, W0084</t>
  </si>
  <si>
    <t>W0088-I</t>
  </si>
  <si>
    <t>Amendement tot wijziging van de Wetswijziging tot inkorting &amp; aanpassing Acteursrecht</t>
  </si>
  <si>
    <t>M0178</t>
  </si>
  <si>
    <t>Motie tot het herbouwen van de voetbalkantine van VVV Oldeholtpade</t>
  </si>
  <si>
    <t>M0170</t>
  </si>
  <si>
    <t>M0179</t>
  </si>
  <si>
    <t>Motie tot bevestiging steun voor moties</t>
  </si>
  <si>
    <t>W0090</t>
  </si>
  <si>
    <t>Wet op aanvullende eisen ICT-projecten overheidsdiensten</t>
  </si>
  <si>
    <t>M0171</t>
  </si>
  <si>
    <t>Motie tot vak belastingaangifte</t>
  </si>
  <si>
    <t>M0162, W0086, M0164, M0165, W0087, M0166,  W0088-I, M01178, W0090</t>
  </si>
  <si>
    <t>Wet tot afschaffing legitieme portie in het Erfrecht</t>
  </si>
  <si>
    <t>Wetswijziging van het Wetboek van Strafrecht teneinde het strafbaar stellen van het bezitten van een pedohandboek</t>
  </si>
  <si>
    <t>KB0027</t>
  </si>
  <si>
    <t>Koninklijk Besluit ter toevoeging van het Friese Bevrijdingsleger aan de sanctieregeling terrorisme 2007-II.</t>
  </si>
  <si>
    <t>Intrekkingswet Wet op de vaste boekenprijs</t>
  </si>
  <si>
    <t>M0182</t>
  </si>
  <si>
    <t>Motie van wantrouwen jegens de minister van Binnenlandse Zaken, Koninkrijksrelaties en Justitie</t>
  </si>
  <si>
    <t>Motie tot belastingvrije voet voor alle nederlanders</t>
  </si>
  <si>
    <t>Wet voor afschaffing dwangsomregeling ter voorkoming van misbruik door asielzoekers</t>
  </si>
  <si>
    <t>Motie tot het vergroten van het aandeel door middel van kernenergie opgewekte elektriciteit</t>
  </si>
  <si>
    <t>Motie tot het aanpassen van het stemrecht op basis van belastingbetaling</t>
  </si>
  <si>
    <t>Wet tot invoering planbatenbelasting</t>
  </si>
  <si>
    <t>M0167, W0089, M0168, M0169, M0170, W0088, M0179, M0171, M0182</t>
  </si>
  <si>
    <t>W0081, W0083, W0085 (W0086, W0087, W0090)</t>
  </si>
  <si>
    <t>123Ricardo210</t>
  </si>
  <si>
    <t>Motie tot kwaliteit bij staatsrechtelijke moties naar aanleiding van recentelijk gebruik</t>
  </si>
  <si>
    <t>Motie tot afschaffen van de afvalstoffenheffing</t>
  </si>
  <si>
    <t>Motie tot het gratis maken van lidmaatschappen van sportverenigingen voor minderjarigen</t>
  </si>
  <si>
    <t>KS0055</t>
  </si>
  <si>
    <t>Kamerbrief aangaande de gesloten overeenkomst met Duitsland en Zweden over het stoppen van wapenhandel met landen die mensenrechten schenden</t>
  </si>
  <si>
    <t xml:space="preserve">Motie tot halveren wachtgeld </t>
  </si>
  <si>
    <t>Motie tot onderzoek naar de banden tussen het FBL en Iran</t>
  </si>
  <si>
    <t>Wet meerdere mogelijkheden voorzitterschap commissies</t>
  </si>
  <si>
    <t>W0097</t>
  </si>
  <si>
    <t>Wet tot invoering dagboetes</t>
  </si>
  <si>
    <t>TS0007</t>
  </si>
  <si>
    <t>M0170, M0171, M0172, W0090, W0091, W0092, W0093, M0180, M0185</t>
  </si>
  <si>
    <t>Motie tot erkenning van de genocide op Afrikaanse volkeren</t>
  </si>
  <si>
    <t>KV0002</t>
  </si>
  <si>
    <t>KAMERVRAGEN</t>
  </si>
  <si>
    <t>Kamervragen over aanpak van terreurorganisatie FBL</t>
  </si>
  <si>
    <t>Wet bescherming culturele evenementen</t>
  </si>
  <si>
    <t xml:space="preserve">Motie tot uitgebreide bestrijding Kislofel-virus </t>
  </si>
  <si>
    <t>Implementatiewet Europese afspraken omtrent het opschorten van de wapenhandel met een aantal landen</t>
  </si>
  <si>
    <t>Amendement tot wijziging van de Wet tot invoering dagboetes</t>
  </si>
  <si>
    <t>M0197</t>
  </si>
  <si>
    <t>Motie tot raadgevend referendum aangaande Friese onafhankelijkheid</t>
  </si>
  <si>
    <t>M0184</t>
  </si>
  <si>
    <t>Motie tot behoud luchtalarm</t>
  </si>
  <si>
    <t>Motie tot het onthouden van wapenembargo’s naar bondgenoten in het buitenlandse veiligheidsbeleid</t>
  </si>
  <si>
    <t xml:space="preserve">Motie tot instellen tuchtcommissie wachtgeld </t>
  </si>
  <si>
    <t>KS0028</t>
  </si>
  <si>
    <t xml:space="preserve">Kamerbrief aangaande aangenomen motie betreffende kantine VVV Oldeholtpade </t>
  </si>
  <si>
    <t>W0099</t>
  </si>
  <si>
    <t>Wetswijziging Mediawet</t>
  </si>
  <si>
    <t>M0186</t>
  </si>
  <si>
    <t>Motie om de hongerwinter als genocide te erkennen</t>
  </si>
  <si>
    <t>M0187</t>
  </si>
  <si>
    <t>Motie tot onderzoek naar drugshandel op scholen</t>
  </si>
  <si>
    <t>M0188</t>
  </si>
  <si>
    <t>Motie tot opkopen emissierechten</t>
  </si>
  <si>
    <t>KS0029</t>
  </si>
  <si>
    <t>Kamerbrief aangaande het Kislofel-weringsplan</t>
  </si>
  <si>
    <t>TS0008</t>
  </si>
  <si>
    <t>M0173, M0174, M0175, M0176, M0177,M0181,M0174, W0094, W0095, W0096,W0097,W0098</t>
  </si>
  <si>
    <t>M0189</t>
  </si>
  <si>
    <t>Motie tot limiteren topsalarissen</t>
  </si>
  <si>
    <t>M0195</t>
  </si>
  <si>
    <t>Motie tot een verbod op 'homogenezing'</t>
  </si>
  <si>
    <t>M0196</t>
  </si>
  <si>
    <t>-___-_</t>
  </si>
  <si>
    <t>Motie voor het beperken van klimaatschade veroorzaakt door online advertising</t>
  </si>
  <si>
    <t>W0101</t>
  </si>
  <si>
    <t>Wetsvoorstel tot oprichting Mata Hari fonds voor Friese zaken</t>
  </si>
  <si>
    <t>M0190</t>
  </si>
  <si>
    <t>Motie tot decriminaliseren drugs</t>
  </si>
  <si>
    <t>W0100</t>
  </si>
  <si>
    <t>Spoedwet ter wijziging van de begrotingsstaat van het Ministerie van Financiën en Economische Zaken voor begrotingsjaar V</t>
  </si>
  <si>
    <t>M0191</t>
  </si>
  <si>
    <t>Motie tot erkenning Bengaalse genocide</t>
  </si>
  <si>
    <t>W0102</t>
  </si>
  <si>
    <t>Wet Openbreken van de Telecommunicatiemarkt</t>
  </si>
  <si>
    <t>M0192</t>
  </si>
  <si>
    <t>Motie tot aanpassing van het vuurwerkbesluit</t>
  </si>
  <si>
    <t>M0198</t>
  </si>
  <si>
    <t>Motie tot creëren zelfbewoningsplicht</t>
  </si>
  <si>
    <t>M0193</t>
  </si>
  <si>
    <t>Motie tot verplichten van datacenters te investeren in groene zodoende het stroomnet slechts minimaal te belasten</t>
  </si>
  <si>
    <t>KS0030</t>
  </si>
  <si>
    <t>SimonScalary</t>
  </si>
  <si>
    <t>Kamerbrief aangaande peilingen onder weggebruikers</t>
  </si>
  <si>
    <t>TS0009</t>
  </si>
  <si>
    <t>W0099,W0100,W0101,M0184,M0186,M0187, M0188,M0189,M0190,M0195,M0196</t>
  </si>
  <si>
    <t>M0203</t>
  </si>
  <si>
    <t>Motie tot weghalen van de discretionaire bevoegdheid bij de Minister/Staatssecretaris van Asielzaken</t>
  </si>
  <si>
    <t>Wet afschaffing rekentoets VO</t>
  </si>
  <si>
    <t>M0199</t>
  </si>
  <si>
    <t>Motie aangaande het verzoek van de Griekse regering om 2500 minderjarige asielzoekers te herplaatsen</t>
  </si>
  <si>
    <t>M0205</t>
  </si>
  <si>
    <t>Motie tot het ondernemen van actie om de mensenrechten te beschermen</t>
  </si>
  <si>
    <t>DB0034</t>
  </si>
  <si>
    <t>DEBAT</t>
  </si>
  <si>
    <t>Debat omtrent institutioneel racisme en politiegeweld in de VS</t>
  </si>
  <si>
    <t>M0206</t>
  </si>
  <si>
    <t>-__-_</t>
  </si>
  <si>
    <t>Motie voor het beperken van klimaatschade veroorzaakt door online- en offline advertising</t>
  </si>
  <si>
    <t>KS0032</t>
  </si>
  <si>
    <t>Kamerbrief aangaande infomatie besluit budgettaire bepaling Stimuleringsfonds tegengaan segregatie in het Onderwijs</t>
  </si>
  <si>
    <t>M0200</t>
  </si>
  <si>
    <t>Motie tot opschorting export van plastic afval buiten de Europese Unie</t>
  </si>
  <si>
    <t>W0104</t>
  </si>
  <si>
    <t>M0207</t>
  </si>
  <si>
    <t>Motie tot nauwere samenwerking met niet-NAVO bondgenoten in Azië en Oceanië</t>
  </si>
  <si>
    <t>M0211</t>
  </si>
  <si>
    <t>Motie tot maatregelen tegen de Chinese agressie</t>
  </si>
  <si>
    <t>W0105</t>
  </si>
  <si>
    <t>Wetswijziging Waadi 2020</t>
  </si>
  <si>
    <t>TS0010</t>
  </si>
  <si>
    <t>M0201</t>
  </si>
  <si>
    <t>Motie tot een verkoopverbod op wegwerpbatterijen</t>
  </si>
  <si>
    <t>M0208</t>
  </si>
  <si>
    <t>Motie tot het oprichten van een Concert of Democracies</t>
  </si>
  <si>
    <t>M0202</t>
  </si>
  <si>
    <t>Motie tot intensivering aanleg hogesnelheidslijnen</t>
  </si>
  <si>
    <t>M0209</t>
  </si>
  <si>
    <t>Motie tot het tegengaan van de verkrachting van Hongkong</t>
  </si>
  <si>
    <t>TS0011</t>
  </si>
  <si>
    <t>M0212</t>
  </si>
  <si>
    <t>Motie tot terugdraaiing Wet passend onderwijs</t>
  </si>
  <si>
    <t>M0210</t>
  </si>
  <si>
    <t>Motie tot nauwere militaire samenwerking met Oekraïne</t>
  </si>
  <si>
    <t>Democratische Alliantie'19</t>
  </si>
  <si>
    <t>DA'19</t>
  </si>
  <si>
    <t>Kabinet-7Hielke</t>
  </si>
  <si>
    <t>Overige rMTK-zaken</t>
  </si>
  <si>
    <t>/u/th8</t>
  </si>
  <si>
    <r>
      <t>SP</t>
    </r>
    <r>
      <rPr/>
      <t xml:space="preserve"> </t>
    </r>
    <r>
      <rPr>
        <i/>
      </rPr>
      <t>(7 zetels)</t>
    </r>
  </si>
  <si>
    <t>Links-Progressieve Unie</t>
  </si>
  <si>
    <t>LPU</t>
  </si>
  <si>
    <r>
      <t xml:space="preserve">DA'19 </t>
    </r>
    <r>
      <rPr>
        <i/>
      </rPr>
      <t>(7 zetels)</t>
    </r>
  </si>
  <si>
    <t>Breed-rechtse Volkspartij</t>
  </si>
  <si>
    <t>BRV</t>
  </si>
  <si>
    <r>
      <t xml:space="preserve">B-RV </t>
    </r>
    <r>
      <rPr>
        <i/>
      </rPr>
      <t>(3 zetels)</t>
    </r>
  </si>
  <si>
    <t>Friesche Seperatisten Partij</t>
  </si>
  <si>
    <t>FSP</t>
  </si>
  <si>
    <t>Ondervoorzitters:</t>
  </si>
  <si>
    <r>
      <t xml:space="preserve">Lijst Alfus </t>
    </r>
    <r>
      <rPr>
        <i/>
      </rPr>
      <t>(1 zetel)</t>
    </r>
  </si>
  <si>
    <t>Lijst Alfus</t>
  </si>
  <si>
    <t>ALFUS</t>
  </si>
  <si>
    <t>Lijst Pim Fortuyn</t>
  </si>
  <si>
    <t>LPF</t>
  </si>
  <si>
    <t>/u/Kajtuu98</t>
  </si>
  <si>
    <t>Logisch Links</t>
  </si>
  <si>
    <t>LL</t>
  </si>
  <si>
    <t>/u/Alfus</t>
  </si>
  <si>
    <t>/u/House_of_Farts</t>
  </si>
  <si>
    <t>/u/Der_Kohl</t>
  </si>
  <si>
    <t>`</t>
  </si>
  <si>
    <t>Actieve partijen in de Tweede Kamer en daarbuiten</t>
  </si>
  <si>
    <t>Partijprogramma's
actieve partijen</t>
  </si>
  <si>
    <t>Huidige Regering</t>
  </si>
  <si>
    <t>Kabinet-Der_Kohl II</t>
  </si>
  <si>
    <t>DA'19-SP</t>
  </si>
  <si>
    <t>Verkiezingsprogramma</t>
  </si>
  <si>
    <t>Overige Informatie</t>
  </si>
  <si>
    <t>B-RV</t>
  </si>
  <si>
    <t>Simpel Nederland</t>
  </si>
  <si>
    <t>SN</t>
  </si>
  <si>
    <t>Collectief van Vrijzinnige Gelovigen</t>
  </si>
  <si>
    <t>CVG</t>
  </si>
  <si>
    <t>Overige Subreddits</t>
  </si>
  <si>
    <t>RMTK</t>
  </si>
  <si>
    <t>Verkiezing I</t>
  </si>
  <si>
    <t>Nov</t>
  </si>
  <si>
    <t>Dec</t>
  </si>
  <si>
    <t>Jan</t>
  </si>
  <si>
    <t>Feb</t>
  </si>
  <si>
    <t>Mrt</t>
  </si>
  <si>
    <t>Apr</t>
  </si>
  <si>
    <t>Mei</t>
  </si>
  <si>
    <t>Jun</t>
  </si>
  <si>
    <t>Jul</t>
  </si>
  <si>
    <t>Aug</t>
  </si>
  <si>
    <t>Sep</t>
  </si>
  <si>
    <t>Nummer Premier</t>
  </si>
  <si>
    <t>1e Premier</t>
  </si>
  <si>
    <t>Nummer Kabinet</t>
  </si>
  <si>
    <t>1e Kabinet</t>
  </si>
  <si>
    <t>Kabinetten</t>
  </si>
  <si>
    <t>Kabinet</t>
  </si>
  <si>
    <t>Kabinet-graansmoothie</t>
  </si>
  <si>
    <t>PGV-SDC-SP-MBE</t>
  </si>
  <si>
    <t>Minister-President</t>
  </si>
  <si>
    <t>graansmoothie</t>
  </si>
  <si>
    <t>1e Vice-Premier</t>
  </si>
  <si>
    <t>splcy_meme</t>
  </si>
  <si>
    <t>2e Vice-Premier</t>
  </si>
  <si>
    <t>Imperator_Pastollini</t>
  </si>
  <si>
    <t>3e Vice-Premier</t>
  </si>
  <si>
    <t>BrentTheAirvent</t>
  </si>
  <si>
    <t>Presidium</t>
  </si>
  <si>
    <t>Secretaris-Generaal</t>
  </si>
  <si>
    <t>Th8</t>
  </si>
  <si>
    <t>Voorzitter</t>
  </si>
  <si>
    <t>1e Ondervoorzitter</t>
  </si>
  <si>
    <t>roenmane</t>
  </si>
  <si>
    <t>2e Ondervoorzitter</t>
  </si>
  <si>
    <t>nickmanbear</t>
  </si>
  <si>
    <t>3e Ondervoorzitter</t>
  </si>
  <si>
    <t>Partijen
in de 
TK</t>
  </si>
  <si>
    <t>PGV</t>
  </si>
  <si>
    <t>SDC</t>
  </si>
  <si>
    <t>D'18</t>
  </si>
  <si>
    <t>Nickmanbear</t>
  </si>
  <si>
    <t>MBE</t>
  </si>
  <si>
    <t>...</t>
  </si>
  <si>
    <t>CDA</t>
  </si>
  <si>
    <t>Paddo_In_Wonderland</t>
  </si>
  <si>
    <t>AEIÖU</t>
  </si>
  <si>
    <t>kooienb</t>
  </si>
  <si>
    <t>VVD</t>
  </si>
  <si>
    <t>jespertjee</t>
  </si>
  <si>
    <t>ianwitten</t>
  </si>
  <si>
    <t>DdK</t>
  </si>
  <si>
    <t>DolfdeKraai</t>
  </si>
  <si>
    <t>GR</t>
  </si>
  <si>
    <t>Bergtop</t>
  </si>
  <si>
    <t>Actief maar
niet in Kamer</t>
  </si>
  <si>
    <t>NLU</t>
  </si>
  <si>
    <t>DutchKiwi</t>
  </si>
  <si>
    <t>Niet meer actief
op RMTK</t>
  </si>
  <si>
    <t>RMTK Moties (M)</t>
  </si>
  <si>
    <t>Stemming</t>
  </si>
  <si>
    <t>Ministeriele verantwoording</t>
  </si>
  <si>
    <t>Opmerkingen:</t>
  </si>
  <si>
    <t>Nummer:</t>
  </si>
  <si>
    <t>Namens
partij:</t>
  </si>
  <si>
    <t>Ingediend
door:</t>
  </si>
  <si>
    <t>Titel</t>
  </si>
  <si>
    <t>TK</t>
  </si>
  <si>
    <t>Verantw.
Ministerie</t>
  </si>
  <si>
    <t>Uitgevoerd
door
Minister?</t>
  </si>
  <si>
    <t>M0001</t>
  </si>
  <si>
    <t>Ingetrokken</t>
  </si>
  <si>
    <t>OCWS</t>
  </si>
  <si>
    <t>M0002</t>
  </si>
  <si>
    <t>Aangenomen</t>
  </si>
  <si>
    <t>Stond aangeduid als M0001 ipv M0002</t>
  </si>
  <si>
    <t>M0003</t>
  </si>
  <si>
    <t>Afgewezen</t>
  </si>
  <si>
    <t>M0004</t>
  </si>
  <si>
    <t>AZ</t>
  </si>
  <si>
    <t>M0005</t>
  </si>
  <si>
    <t>Def</t>
  </si>
  <si>
    <t>M0006</t>
  </si>
  <si>
    <t>F&amp;SZ</t>
  </si>
  <si>
    <t>Nee</t>
  </si>
  <si>
    <t>M0007</t>
  </si>
  <si>
    <t>BuZa</t>
  </si>
  <si>
    <t>M0008</t>
  </si>
  <si>
    <t>M0009</t>
  </si>
  <si>
    <t>J&amp;V</t>
  </si>
  <si>
    <t>M0010</t>
  </si>
  <si>
    <t>O&amp;I</t>
  </si>
  <si>
    <t>M0011</t>
  </si>
  <si>
    <t>M0012</t>
  </si>
  <si>
    <t>M0013</t>
  </si>
  <si>
    <t>M0014</t>
  </si>
  <si>
    <t>M0015</t>
  </si>
  <si>
    <t>M0016</t>
  </si>
  <si>
    <t>Dutchy54</t>
  </si>
  <si>
    <t>V&amp;J</t>
  </si>
  <si>
    <t>M0017</t>
  </si>
  <si>
    <t>M0018</t>
  </si>
  <si>
    <t>EZKW</t>
  </si>
  <si>
    <t>M0019</t>
  </si>
  <si>
    <t>M0020</t>
  </si>
  <si>
    <t>M0021</t>
  </si>
  <si>
    <t>Kabinet-Der_Kohl I</t>
  </si>
  <si>
    <t>M0022</t>
  </si>
  <si>
    <t>M0023</t>
  </si>
  <si>
    <t>M0024</t>
  </si>
  <si>
    <t>FEZ / BZKD</t>
  </si>
  <si>
    <t>M0025</t>
  </si>
  <si>
    <t>M0026</t>
  </si>
  <si>
    <t>OCW</t>
  </si>
  <si>
    <t>M0027</t>
  </si>
  <si>
    <t>FEZ</t>
  </si>
  <si>
    <t>M0028</t>
  </si>
  <si>
    <t>STR</t>
  </si>
  <si>
    <t>BZKD</t>
  </si>
  <si>
    <t>M0029</t>
  </si>
  <si>
    <t>M0030</t>
  </si>
  <si>
    <t>GWI</t>
  </si>
  <si>
    <t>M0031</t>
  </si>
  <si>
    <t>M0032</t>
  </si>
  <si>
    <t>M0033</t>
  </si>
  <si>
    <t>Vylander</t>
  </si>
  <si>
    <t>M0034</t>
  </si>
  <si>
    <t>M0035</t>
  </si>
  <si>
    <t>M0036</t>
  </si>
  <si>
    <t>M0037</t>
  </si>
  <si>
    <t>Blaatic</t>
  </si>
  <si>
    <t>I&amp;M</t>
  </si>
  <si>
    <t>M0038</t>
  </si>
  <si>
    <t>M0039</t>
  </si>
  <si>
    <t>M0040</t>
  </si>
  <si>
    <t>M0041</t>
  </si>
  <si>
    <t>M0042</t>
  </si>
  <si>
    <t>RkRs21</t>
  </si>
  <si>
    <t>M0043</t>
  </si>
  <si>
    <t>BZK</t>
  </si>
  <si>
    <t>M0044</t>
  </si>
  <si>
    <t>Arnie15</t>
  </si>
  <si>
    <t>K&amp;N</t>
  </si>
  <si>
    <t>M0045</t>
  </si>
  <si>
    <t>VSZ</t>
  </si>
  <si>
    <t>M0046</t>
  </si>
  <si>
    <t>M0047</t>
  </si>
  <si>
    <t>M0048</t>
  </si>
  <si>
    <t>M0049</t>
  </si>
  <si>
    <t>supertanno</t>
  </si>
  <si>
    <t>M0050</t>
  </si>
  <si>
    <t>disc777</t>
  </si>
  <si>
    <t>Kabinet-HiddeVdV96</t>
  </si>
  <si>
    <t>M0051</t>
  </si>
  <si>
    <t>M0052</t>
  </si>
  <si>
    <t>M0053</t>
  </si>
  <si>
    <t>Ja</t>
  </si>
  <si>
    <t>M0054</t>
  </si>
  <si>
    <t>M0055</t>
  </si>
  <si>
    <t>M0056</t>
  </si>
  <si>
    <t>M0057</t>
  </si>
  <si>
    <t>M0058</t>
  </si>
  <si>
    <t>M0059</t>
  </si>
  <si>
    <t>M0060</t>
  </si>
  <si>
    <t>R&amp;D</t>
  </si>
  <si>
    <t>M0061</t>
  </si>
  <si>
    <t>M0062</t>
  </si>
  <si>
    <t>BZK/I&amp;M</t>
  </si>
  <si>
    <t>M0063</t>
  </si>
  <si>
    <t>M0064</t>
  </si>
  <si>
    <t>JorenM</t>
  </si>
  <si>
    <t>M0065</t>
  </si>
  <si>
    <t>M0066</t>
  </si>
  <si>
    <t>M0067</t>
  </si>
  <si>
    <t>Vervallen</t>
  </si>
  <si>
    <t>Minister opgestapt voor stemming</t>
  </si>
  <si>
    <t>M0068</t>
  </si>
  <si>
    <t>M0069</t>
  </si>
  <si>
    <t>M0070</t>
  </si>
  <si>
    <t>M0071</t>
  </si>
  <si>
    <t>AZ/BuZa</t>
  </si>
  <si>
    <t>M0072</t>
  </si>
  <si>
    <t>123ricardo210</t>
  </si>
  <si>
    <t>M0073</t>
  </si>
  <si>
    <t>M0074</t>
  </si>
  <si>
    <t>M0075</t>
  </si>
  <si>
    <t>M0076</t>
  </si>
  <si>
    <t>M0077</t>
  </si>
  <si>
    <t>RkRs21/HiddeVdV96</t>
  </si>
  <si>
    <t>M0078</t>
  </si>
  <si>
    <t>M0079</t>
  </si>
  <si>
    <t>M0080</t>
  </si>
  <si>
    <t>EGP</t>
  </si>
  <si>
    <t>Deef204</t>
  </si>
  <si>
    <t>M0081</t>
  </si>
  <si>
    <t>Fin</t>
  </si>
  <si>
    <t>M0082</t>
  </si>
  <si>
    <t>OBB</t>
  </si>
  <si>
    <t>M0083</t>
  </si>
  <si>
    <t>M0084</t>
  </si>
  <si>
    <t>M0085</t>
  </si>
  <si>
    <t>M0086</t>
  </si>
  <si>
    <t>M0087</t>
  </si>
  <si>
    <t>M0088</t>
  </si>
  <si>
    <t>M0089</t>
  </si>
  <si>
    <t>M0090</t>
  </si>
  <si>
    <t>M0091</t>
  </si>
  <si>
    <t>V&amp;J/OCW</t>
  </si>
  <si>
    <t>M0092</t>
  </si>
  <si>
    <t>M0093</t>
  </si>
  <si>
    <t>M0094</t>
  </si>
  <si>
    <t>kajtuu98</t>
  </si>
  <si>
    <t>M0095</t>
  </si>
  <si>
    <t>M0096</t>
  </si>
  <si>
    <t>M0097</t>
  </si>
  <si>
    <t>M0098</t>
  </si>
  <si>
    <t>M0099</t>
  </si>
  <si>
    <t>M0100</t>
  </si>
  <si>
    <t>ACB</t>
  </si>
  <si>
    <t>M0101</t>
  </si>
  <si>
    <t>BuZa/K&amp;N</t>
  </si>
  <si>
    <t>M0102</t>
  </si>
  <si>
    <t>M0103</t>
  </si>
  <si>
    <t>M0104</t>
  </si>
  <si>
    <t>M0105</t>
  </si>
  <si>
    <t>M0106</t>
  </si>
  <si>
    <t>M0107</t>
  </si>
  <si>
    <t>M0108</t>
  </si>
  <si>
    <t>M0109</t>
  </si>
  <si>
    <t>DOS</t>
  </si>
  <si>
    <t>M0110</t>
  </si>
  <si>
    <t>M0111</t>
  </si>
  <si>
    <t>M0112</t>
  </si>
  <si>
    <t>OLR</t>
  </si>
  <si>
    <t>BZK/VSZ</t>
  </si>
  <si>
    <t>M0113</t>
  </si>
  <si>
    <t>Kabinet-House_of_Farts</t>
  </si>
  <si>
    <t>M0114</t>
  </si>
  <si>
    <t>V&amp;D</t>
  </si>
  <si>
    <t>M0115</t>
  </si>
  <si>
    <t>M0116</t>
  </si>
  <si>
    <t>FESZ</t>
  </si>
  <si>
    <t>M0117</t>
  </si>
  <si>
    <t>BZKJ</t>
  </si>
  <si>
    <t>M0118</t>
  </si>
  <si>
    <t>M0119</t>
  </si>
  <si>
    <t>BHO</t>
  </si>
  <si>
    <t>M0120</t>
  </si>
  <si>
    <t>KNI</t>
  </si>
  <si>
    <t>M0121</t>
  </si>
  <si>
    <t>M0122</t>
  </si>
  <si>
    <t>M0123</t>
  </si>
  <si>
    <t>M0124</t>
  </si>
  <si>
    <t>M0125</t>
  </si>
  <si>
    <t>M0126</t>
  </si>
  <si>
    <t>M0127</t>
  </si>
  <si>
    <t>AZ/BHO</t>
  </si>
  <si>
    <t>M0128</t>
  </si>
  <si>
    <t>OCZ</t>
  </si>
  <si>
    <t>M0129</t>
  </si>
  <si>
    <t>PPR</t>
  </si>
  <si>
    <t>K&amp;I</t>
  </si>
  <si>
    <t>Gepost tijdens kabinet th8-I</t>
  </si>
  <si>
    <t>M0130</t>
  </si>
  <si>
    <t>Gepost tussen M0125 en M0126 | ontslag ingediend tijdens stemming</t>
  </si>
  <si>
    <t>Kabinet-th8</t>
  </si>
  <si>
    <t>M0131</t>
  </si>
  <si>
    <t>Ingediend voor het afronden van de formatie</t>
  </si>
  <si>
    <t>M0132</t>
  </si>
  <si>
    <t>M0133</t>
  </si>
  <si>
    <t>BZD</t>
  </si>
  <si>
    <t>M0134</t>
  </si>
  <si>
    <t>M0135</t>
  </si>
  <si>
    <t>M0136</t>
  </si>
  <si>
    <t>M0137</t>
  </si>
  <si>
    <t>M0138</t>
  </si>
  <si>
    <t>M0139</t>
  </si>
  <si>
    <t>M0140</t>
  </si>
  <si>
    <t>M0141</t>
  </si>
  <si>
    <t>M0142</t>
  </si>
  <si>
    <t>M0143</t>
  </si>
  <si>
    <t>M0144</t>
  </si>
  <si>
    <t>M0145</t>
  </si>
  <si>
    <t>M0146</t>
  </si>
  <si>
    <t>M0147</t>
  </si>
  <si>
    <t>M0148</t>
  </si>
  <si>
    <t>Rik079</t>
  </si>
  <si>
    <t>Kabinet-House_of_Farts-II</t>
  </si>
  <si>
    <t>Ingediend voor de discussie begon omtrent het canoniseren van het coronavirus</t>
  </si>
  <si>
    <t>Motie tot regeling overheidszaken via whatsappje.</t>
  </si>
  <si>
    <t>Motie tot herbouwen van de voetbalkantine van VVV Oldeholtpade</t>
  </si>
  <si>
    <t>In afwachting</t>
  </si>
  <si>
    <t>M0184: Motie tot behoud luchtalarm</t>
  </si>
  <si>
    <t>Motie tot uitgebreide bestrijding Kislofel-virus</t>
  </si>
  <si>
    <t>FEZ,VSZ,KNI</t>
  </si>
  <si>
    <t>laatste update 6-6-2020</t>
  </si>
  <si>
    <t>RMTK Wetten (W) en Amendementen (A)</t>
  </si>
  <si>
    <t>Amendementen</t>
  </si>
  <si>
    <t>Ministeriele
verantwoording</t>
  </si>
  <si>
    <t>Nr.</t>
  </si>
  <si>
    <t>TK
Uitslag</t>
  </si>
  <si>
    <t>EK</t>
  </si>
  <si>
    <t>W0001</t>
  </si>
  <si>
    <t>W0002</t>
  </si>
  <si>
    <t>Regering</t>
  </si>
  <si>
    <t>Splcy_meme</t>
  </si>
  <si>
    <t>W0003</t>
  </si>
  <si>
    <t>Aangen.</t>
  </si>
  <si>
    <t>W0004</t>
  </si>
  <si>
    <t>W0005</t>
  </si>
  <si>
    <t>Afgew.</t>
  </si>
  <si>
    <t>Stond aangeduid als W0004 ipv W0005</t>
  </si>
  <si>
    <t>W0006</t>
  </si>
  <si>
    <t>W0007</t>
  </si>
  <si>
    <t>W0008</t>
  </si>
  <si>
    <t>VWV</t>
  </si>
  <si>
    <t>W0009</t>
  </si>
  <si>
    <t>W0010</t>
  </si>
  <si>
    <t>W0011</t>
  </si>
  <si>
    <t>W0012</t>
  </si>
  <si>
    <t>stond aangeduid als ingediend door regering IPV ingediend door STR</t>
  </si>
  <si>
    <t>W0013</t>
  </si>
  <si>
    <t>W0014</t>
  </si>
  <si>
    <t>W0015</t>
  </si>
  <si>
    <t>W0016</t>
  </si>
  <si>
    <t>W0017</t>
  </si>
  <si>
    <t>Stond niet aangeduid als W0017</t>
  </si>
  <si>
    <t>W0018</t>
  </si>
  <si>
    <t>W0019</t>
  </si>
  <si>
    <t>J&amp;D</t>
  </si>
  <si>
    <t>W0020</t>
  </si>
  <si>
    <t>W0021</t>
  </si>
  <si>
    <t>W0022</t>
  </si>
  <si>
    <t>W0023</t>
  </si>
  <si>
    <t>W0024</t>
  </si>
  <si>
    <t>W0025</t>
  </si>
  <si>
    <t>W0026</t>
  </si>
  <si>
    <t>W0027</t>
  </si>
  <si>
    <t>W0028</t>
  </si>
  <si>
    <t>W0029</t>
  </si>
  <si>
    <t>W0030</t>
  </si>
  <si>
    <t>W0031</t>
  </si>
  <si>
    <t>W0032</t>
  </si>
  <si>
    <t>W0033</t>
  </si>
  <si>
    <t>W0034</t>
  </si>
  <si>
    <t>Der_Kohl c.s.</t>
  </si>
  <si>
    <t>W0035</t>
  </si>
  <si>
    <t>W0036</t>
  </si>
  <si>
    <t>Keijeman c.s.</t>
  </si>
  <si>
    <t>W0037</t>
  </si>
  <si>
    <t>W0038</t>
  </si>
  <si>
    <t>W0039</t>
  </si>
  <si>
    <t>MerijnZ1 c.s.</t>
  </si>
  <si>
    <t>W0040</t>
  </si>
  <si>
    <t>123ricardo210 c.s.</t>
  </si>
  <si>
    <t>W0041</t>
  </si>
  <si>
    <t>W0042</t>
  </si>
  <si>
    <t>W0043</t>
  </si>
  <si>
    <t>Kabinet-House_of_Farts I</t>
  </si>
  <si>
    <t>W0044</t>
  </si>
  <si>
    <t>W0045</t>
  </si>
  <si>
    <t>T&amp;I</t>
  </si>
  <si>
    <t>W0046</t>
  </si>
  <si>
    <t>W0047</t>
  </si>
  <si>
    <t>W0048</t>
  </si>
  <si>
    <t>W0049</t>
  </si>
  <si>
    <t>W0050</t>
  </si>
  <si>
    <t>Sushishine c.s.</t>
  </si>
  <si>
    <t>W0051</t>
  </si>
  <si>
    <t>W0052</t>
  </si>
  <si>
    <t>W0053</t>
  </si>
  <si>
    <t>Dagelijksestijl</t>
  </si>
  <si>
    <t>W0054</t>
  </si>
  <si>
    <t>W0055</t>
  </si>
  <si>
    <t>W0056</t>
  </si>
  <si>
    <t>W0057</t>
  </si>
  <si>
    <t>W0058</t>
  </si>
  <si>
    <t>W0059</t>
  </si>
  <si>
    <t>W0060</t>
  </si>
  <si>
    <t>W0061</t>
  </si>
  <si>
    <t>W0062</t>
  </si>
  <si>
    <t>W0063</t>
  </si>
  <si>
    <t>W0064</t>
  </si>
  <si>
    <t>W0065</t>
  </si>
  <si>
    <t>W0066</t>
  </si>
  <si>
    <t>W0067</t>
  </si>
  <si>
    <t>raaf___</t>
  </si>
  <si>
    <t>W0068</t>
  </si>
  <si>
    <t>W0069</t>
  </si>
  <si>
    <t>W0070</t>
  </si>
  <si>
    <t>W0071</t>
  </si>
  <si>
    <t>dagelijksestijl</t>
  </si>
  <si>
    <t>W0072</t>
  </si>
  <si>
    <t>W0073</t>
  </si>
  <si>
    <t>W0074</t>
  </si>
  <si>
    <t>hans-wiegel</t>
  </si>
  <si>
    <t>W0100-S</t>
  </si>
  <si>
    <t>Goedkeuringswet Europees verdrag omtrent het opschorten van de wapenhandel aan een aantal landen</t>
  </si>
  <si>
    <t>A-1</t>
  </si>
  <si>
    <t>I. A.</t>
  </si>
  <si>
    <t>Aangenomen zonder amendement</t>
  </si>
  <si>
    <t>laatst geupdatet: 06-06-2020</t>
  </si>
  <si>
    <t>RMTK Koninklijke Besluiten (KB), Debatten (DB), Kamervragen (KV), Kamerstukken (KS) &amp; Nota's (N)</t>
  </si>
  <si>
    <t>Kabinet:</t>
  </si>
  <si>
    <t>Uitgevoerd/
Reactie
Minister?</t>
  </si>
  <si>
    <t>KB's
Actief?</t>
  </si>
  <si>
    <t>DB0001</t>
  </si>
  <si>
    <t>DB0002</t>
  </si>
  <si>
    <t>DB0003</t>
  </si>
  <si>
    <t>KB0001</t>
  </si>
  <si>
    <t>DB0004</t>
  </si>
  <si>
    <t>KS0001</t>
  </si>
  <si>
    <t>KS0002</t>
  </si>
  <si>
    <t>KS0003</t>
  </si>
  <si>
    <t>DB0005</t>
  </si>
  <si>
    <t>EKZW / Def</t>
  </si>
  <si>
    <t>KS0004</t>
  </si>
  <si>
    <t>KS0005</t>
  </si>
  <si>
    <t>BuZa / BZKD</t>
  </si>
  <si>
    <t>DB0006</t>
  </si>
  <si>
    <t>AZ/BuZa/FEZ</t>
  </si>
  <si>
    <t>KS0006</t>
  </si>
  <si>
    <t>Stond aangeduid als KS0007 IPV KS0006</t>
  </si>
  <si>
    <t>DB0007</t>
  </si>
  <si>
    <t>BZKD/I&amp;M/J&amp;V</t>
  </si>
  <si>
    <t>KS0007</t>
  </si>
  <si>
    <t>DB0008</t>
  </si>
  <si>
    <t>KS0008</t>
  </si>
  <si>
    <t>KS0009</t>
  </si>
  <si>
    <t>KS0010</t>
  </si>
  <si>
    <t>KS0011</t>
  </si>
  <si>
    <t>Stond aangeduid als KB0011 IPV KS0011</t>
  </si>
  <si>
    <t>KV0001</t>
  </si>
  <si>
    <t>KS0012</t>
  </si>
  <si>
    <t>KS0013</t>
  </si>
  <si>
    <t>KS0014</t>
  </si>
  <si>
    <t>KS0015</t>
  </si>
  <si>
    <t>DB0009</t>
  </si>
  <si>
    <t>KB0002</t>
  </si>
  <si>
    <t>KS0016</t>
  </si>
  <si>
    <t>PO</t>
  </si>
  <si>
    <t>KB0003</t>
  </si>
  <si>
    <t>KB0004</t>
  </si>
  <si>
    <t>KS0017</t>
  </si>
  <si>
    <t>DB0010</t>
  </si>
  <si>
    <t>KS0018</t>
  </si>
  <si>
    <t>KB0005</t>
  </si>
  <si>
    <t>KB0006</t>
  </si>
  <si>
    <t>KB0007</t>
  </si>
  <si>
    <t>KB0008</t>
  </si>
  <si>
    <t>KS0019</t>
  </si>
  <si>
    <t>KS0020</t>
  </si>
  <si>
    <t>DB0011</t>
  </si>
  <si>
    <t>KB0009</t>
  </si>
  <si>
    <t>DB0012</t>
  </si>
  <si>
    <t>DB0013</t>
  </si>
  <si>
    <t>KS0021</t>
  </si>
  <si>
    <t>DB0014</t>
  </si>
  <si>
    <t>KS0022</t>
  </si>
  <si>
    <t>KS0023</t>
  </si>
  <si>
    <t>DB0015</t>
  </si>
  <si>
    <t>DB0016</t>
  </si>
  <si>
    <t>K&amp;N/V&amp;J</t>
  </si>
  <si>
    <t>KS0024</t>
  </si>
  <si>
    <t>DB0017</t>
  </si>
  <si>
    <t>KS0025</t>
  </si>
  <si>
    <t>DB0018</t>
  </si>
  <si>
    <t>KS0026</t>
  </si>
  <si>
    <t>KS0027</t>
  </si>
  <si>
    <t>DB0019</t>
  </si>
  <si>
    <t>DB0020</t>
  </si>
  <si>
    <t>KS0031</t>
  </si>
  <si>
    <t>DB0021</t>
  </si>
  <si>
    <t>V&amp;J/Fin/K&amp;N</t>
  </si>
  <si>
    <t>KB0010</t>
  </si>
  <si>
    <t>KS0033</t>
  </si>
  <si>
    <t>KS0034</t>
  </si>
  <si>
    <t>KS0035</t>
  </si>
  <si>
    <t>DB0022</t>
  </si>
  <si>
    <t>KS0036</t>
  </si>
  <si>
    <t>KS0037</t>
  </si>
  <si>
    <t>DB0023</t>
  </si>
  <si>
    <t>DB0024</t>
  </si>
  <si>
    <t>DB0025</t>
  </si>
  <si>
    <t>KB0011</t>
  </si>
  <si>
    <t>van Hieke-I | Ingetrokken dmv KB0015</t>
  </si>
  <si>
    <t>DB0026</t>
  </si>
  <si>
    <t>KB0012</t>
  </si>
  <si>
    <t>KS0038</t>
  </si>
  <si>
    <t>KS0039</t>
  </si>
  <si>
    <t>DB0027</t>
  </si>
  <si>
    <t>KB0013</t>
  </si>
  <si>
    <t>KB0014</t>
  </si>
  <si>
    <t>KB0015</t>
  </si>
  <si>
    <t>KB0016</t>
  </si>
  <si>
    <t>KS0040</t>
  </si>
  <si>
    <t>DB0028</t>
  </si>
  <si>
    <t>KS0041</t>
  </si>
  <si>
    <t>KS0042</t>
  </si>
  <si>
    <t>DB0029</t>
  </si>
  <si>
    <t>KB0017</t>
  </si>
  <si>
    <t>KS0043</t>
  </si>
  <si>
    <t>sushishine</t>
  </si>
  <si>
    <t>KB0018</t>
  </si>
  <si>
    <t>KS0044</t>
  </si>
  <si>
    <t>DB0030</t>
  </si>
  <si>
    <t>KB0019</t>
  </si>
  <si>
    <t>DB0031</t>
  </si>
  <si>
    <t>KS0045</t>
  </si>
  <si>
    <t>KS0046</t>
  </si>
  <si>
    <t>KS0047</t>
  </si>
  <si>
    <t>KS0048</t>
  </si>
  <si>
    <t>DB0032</t>
  </si>
  <si>
    <t>KB0020</t>
  </si>
  <si>
    <t>KB0021</t>
  </si>
  <si>
    <t>DB0033</t>
  </si>
  <si>
    <t>KB0022</t>
  </si>
  <si>
    <t>KB0023</t>
  </si>
  <si>
    <t>KS0049</t>
  </si>
  <si>
    <t>KS0050</t>
  </si>
  <si>
    <t>KS0051</t>
  </si>
  <si>
    <t>AZ/BZKJ</t>
  </si>
  <si>
    <t>Kamerbrief aangaande aangenomen motie betreffende kantine VVV Oldeholtpade</t>
  </si>
  <si>
    <t>/u/JohanCAvdM</t>
  </si>
  <si>
    <t>Nota aangaande Verantwoordingsdag begrotingsjaar 4</t>
  </si>
  <si>
    <t>laatst geupdatet 6-06-2020</t>
  </si>
  <si>
    <t>Verkiezing II</t>
  </si>
  <si>
    <t>Verkiezing III</t>
  </si>
  <si>
    <t>Verkiezing IV</t>
  </si>
  <si>
    <t>Verkiezing V</t>
  </si>
  <si>
    <t>Verkiezing VI</t>
  </si>
  <si>
    <t>Verkiezing VII</t>
  </si>
  <si>
    <t>Verkiezing VIII</t>
  </si>
  <si>
    <t>Verkiezing IX</t>
  </si>
  <si>
    <t>Verkiezing X</t>
  </si>
  <si>
    <t>Juni</t>
  </si>
  <si>
    <t>Juli</t>
  </si>
  <si>
    <t>Augustus</t>
  </si>
  <si>
    <t>September</t>
  </si>
  <si>
    <t>Oktober</t>
  </si>
  <si>
    <t>November</t>
  </si>
  <si>
    <t>December</t>
  </si>
  <si>
    <t>Januari</t>
  </si>
  <si>
    <t>Februari</t>
  </si>
  <si>
    <t>Maart</t>
  </si>
  <si>
    <t>April</t>
  </si>
  <si>
    <t>juni</t>
  </si>
  <si>
    <t>2e Premier</t>
  </si>
  <si>
    <t>Reces</t>
  </si>
  <si>
    <t>3e Premier</t>
  </si>
  <si>
    <t>3.5e</t>
  </si>
  <si>
    <t>4e Premier</t>
  </si>
  <si>
    <t>5e Premier</t>
  </si>
  <si>
    <t>6e Premier</t>
  </si>
  <si>
    <t>7e Premier</t>
  </si>
  <si>
    <t>8e Premier</t>
  </si>
  <si>
    <t>9e Premier</t>
  </si>
  <si>
    <t>Reset</t>
  </si>
  <si>
    <t>10e Premier</t>
  </si>
  <si>
    <t>11e Premier</t>
  </si>
  <si>
    <t>12e Premier</t>
  </si>
  <si>
    <t>13e Premier</t>
  </si>
  <si>
    <t>14e Premier</t>
  </si>
  <si>
    <t>15e Premier</t>
  </si>
  <si>
    <t>16e Premier</t>
  </si>
  <si>
    <t>1.5e Kabinet</t>
  </si>
  <si>
    <t>2e Kabinet</t>
  </si>
  <si>
    <t>3e</t>
  </si>
  <si>
    <t>4e Kabinet</t>
  </si>
  <si>
    <t>5e Kabinet</t>
  </si>
  <si>
    <t>6e Kabinet</t>
  </si>
  <si>
    <t>7e Kabinet</t>
  </si>
  <si>
    <t>8e Kabinet</t>
  </si>
  <si>
    <t>9e Kabinet</t>
  </si>
  <si>
    <t>10e Kabinet</t>
  </si>
  <si>
    <t>11e Kabinet</t>
  </si>
  <si>
    <t>12e Kabinet</t>
  </si>
  <si>
    <t>13e Kabinet</t>
  </si>
  <si>
    <t>14e Kabinet</t>
  </si>
  <si>
    <t>15e Kabinet</t>
  </si>
  <si>
    <t>16e Kabinet</t>
  </si>
  <si>
    <t>17e Kabinet</t>
  </si>
  <si>
    <t>18e Kabinet</t>
  </si>
  <si>
    <t>19e Kabinet</t>
  </si>
  <si>
    <t>20e Kabinet</t>
  </si>
  <si>
    <t>21e Kabinet</t>
  </si>
  <si>
    <t>22e Kabinet</t>
  </si>
  <si>
    <t>23e Kabinet</t>
  </si>
  <si>
    <t>24e Kabinet</t>
  </si>
  <si>
    <t>Kabinet-Mitorr</t>
  </si>
  <si>
    <t>Interimregering-th8</t>
  </si>
  <si>
    <t>MTFD I</t>
  </si>
  <si>
    <t>Kabinet-MTFD II</t>
  </si>
  <si>
    <t>Kabinet-MTFD III</t>
  </si>
  <si>
    <t>Kabinet-MTFD IV</t>
  </si>
  <si>
    <t>Kabinet-Vylander I</t>
  </si>
  <si>
    <t>Kabinet-MrJoey98</t>
  </si>
  <si>
    <t>Kabinet-TheJelleyFish</t>
  </si>
  <si>
    <t>Kabinet-Quintionus I</t>
  </si>
  <si>
    <t>Kabinet-Quintionus II</t>
  </si>
  <si>
    <t>Kabinet-Quintionus III</t>
  </si>
  <si>
    <t>Kabinet-Vylander II</t>
  </si>
  <si>
    <t>Vylander III</t>
  </si>
  <si>
    <t>Kabinet-Vylander IV</t>
  </si>
  <si>
    <t>Der_Kohl II</t>
  </si>
  <si>
    <t>Kabinet-House_of_Farts II</t>
  </si>
  <si>
    <t>D66-GL-PvdA</t>
  </si>
  <si>
    <t>GL-PvdA-SP-CPN-PP</t>
  </si>
  <si>
    <t>GL-CPN-MPN-PVV-S&amp;V</t>
  </si>
  <si>
    <t>D66-GL-DNL-S&amp;V</t>
  </si>
  <si>
    <t>D66-VVD-PVV-LU-CDA</t>
  </si>
  <si>
    <t>D66-VVD-PVV-GPN</t>
  </si>
  <si>
    <t>VVD-PVV-CPN-PSP</t>
  </si>
  <si>
    <t>D66-GR-VVD</t>
  </si>
  <si>
    <t>GR-LPU-FVD</t>
  </si>
  <si>
    <t>D66-FVD-VVD-SVN</t>
  </si>
  <si>
    <t>D66-FVD-VVD-Th8</t>
  </si>
  <si>
    <t>D66-GR-LPU-Th8</t>
  </si>
  <si>
    <t>D66-GR-VVD-CU</t>
  </si>
  <si>
    <r>
      <t xml:space="preserve">VVD-D66-CU </t>
    </r>
    <r>
      <rPr/>
      <t>(</t>
    </r>
    <r>
      <rPr>
        <i/>
      </rPr>
      <t>+ FVD</t>
    </r>
    <r>
      <rPr/>
      <t>)</t>
    </r>
  </si>
  <si>
    <t>DA'19-PGV-SDC-STR</t>
  </si>
  <si>
    <t>DA'19-LPU</t>
  </si>
  <si>
    <t>SP-DA'19-BRV-ALFUS</t>
  </si>
  <si>
    <t>PPR-LL-DA'19</t>
  </si>
  <si>
    <t>ACAB-1NL-PPR</t>
  </si>
  <si>
    <t>GPA-ACAB</t>
  </si>
  <si>
    <t>Mitorr</t>
  </si>
  <si>
    <t>MrJoey98</t>
  </si>
  <si>
    <t>Quintionus</t>
  </si>
  <si>
    <t>Waz_met_jou</t>
  </si>
  <si>
    <t>Blackdutchie</t>
  </si>
  <si>
    <t>Pepsterd</t>
  </si>
  <si>
    <t>Jurryaany</t>
  </si>
  <si>
    <t>Alpha_C</t>
  </si>
  <si>
    <t>OKELEUK</t>
  </si>
  <si>
    <t>not-an-account</t>
  </si>
  <si>
    <t>Wouttah</t>
  </si>
  <si>
    <t>WarmFootHills</t>
  </si>
  <si>
    <t>KrabbHD</t>
  </si>
  <si>
    <t>Avinator</t>
  </si>
  <si>
    <t>Roenmane</t>
  </si>
  <si>
    <t>Neofex_Maximus</t>
  </si>
  <si>
    <t>Dekoul</t>
  </si>
  <si>
    <t>Kooienb</t>
  </si>
  <si>
    <t>AnnaLittleAlice</t>
  </si>
  <si>
    <t>Ploefke</t>
  </si>
  <si>
    <t>th8 a.i.</t>
  </si>
  <si>
    <t>Akuran</t>
  </si>
  <si>
    <t>Paddo_in_Wonderland</t>
  </si>
  <si>
    <t>SabasNL</t>
  </si>
  <si>
    <t>Embertorchclaw</t>
  </si>
  <si>
    <t>wouttah</t>
  </si>
  <si>
    <t>Mark1802</t>
  </si>
  <si>
    <t>Partijen
(actief)</t>
  </si>
  <si>
    <t>Pre-reset (partijen pas actief sinds Nov. 2018)  -&gt;-------------------------------------------------------------------------------------------------------------------------------------------------------------------------------------------------------------------------------------------------------------------------------------------------------------------------------------------------------------------------------------------------------------------------------------------------------------------------------------------------------------------------------------------------------------------------------------------------------------------------&gt;</t>
  </si>
  <si>
    <t>Partijen zonder
zetels</t>
  </si>
  <si>
    <t>Pre-reset (partijen pas actief sinds Nov. 2018)  -&gt;----------------------------------------------------------------------------------------------------------------------------------------------------------------------------------------------------------------------------------------------------------------------------------------------------------------------------------------------------------------------------------------------------------------------------------------------------------------------------------------------------------------------------------------------------------------------------------------------------------------------------------------------------------------------------------------------------------------------------------------------------------------------------------------------------------------&gt;</t>
  </si>
  <si>
    <t>Partijen
(niet meer
actief)</t>
  </si>
  <si>
    <t>GD</t>
  </si>
  <si>
    <t xml:space="preserve">Dekoul </t>
  </si>
  <si>
    <t>Ontbonden door inactiviteit</t>
  </si>
  <si>
    <t>overgegaan in MPN</t>
  </si>
  <si>
    <t>CPN</t>
  </si>
  <si>
    <t>Voormalige MPN</t>
  </si>
  <si>
    <t>theultimatetrol</t>
  </si>
  <si>
    <t>themcattacker</t>
  </si>
  <si>
    <t>Gefuseerd met PSP tot LPU</t>
  </si>
  <si>
    <t>MPN</t>
  </si>
  <si>
    <t>Voormalige SP-CPN fusiepartij</t>
  </si>
  <si>
    <t>overgegaan in CPN</t>
  </si>
  <si>
    <t>PP</t>
  </si>
  <si>
    <t>Sectiehoofd</t>
  </si>
  <si>
    <t>xx253xx</t>
  </si>
  <si>
    <t>Gefuseerd met CDA tot LPF</t>
  </si>
  <si>
    <t>PvdA</t>
  </si>
  <si>
    <t>Gefuseerd met deel PP tot PPvdA</t>
  </si>
  <si>
    <t>Voormalige S&amp;V</t>
  </si>
  <si>
    <t>Partij ontbonden door partijleider</t>
  </si>
  <si>
    <t>Gefuseerd met PP tot LPF</t>
  </si>
  <si>
    <t>GL</t>
  </si>
  <si>
    <t>Gefuseerd met DNL tot GR</t>
  </si>
  <si>
    <t>PVV</t>
  </si>
  <si>
    <t>Not-an-account</t>
  </si>
  <si>
    <t>Overgegaan in FVD</t>
  </si>
  <si>
    <t>PPvdA</t>
  </si>
  <si>
    <t>Voormalig deel van PP en PvdA</t>
  </si>
  <si>
    <t>.</t>
  </si>
  <si>
    <t>Gedwongen tot omvorming tot S&amp;V</t>
  </si>
  <si>
    <t>S&amp;V</t>
  </si>
  <si>
    <t>Voormalige PPvdA</t>
  </si>
  <si>
    <t>Voormalige PP en PvdA</t>
  </si>
  <si>
    <t>Voormalige CDA met deel PVV</t>
  </si>
  <si>
    <t>Ontbonden door partijleiding</t>
  </si>
  <si>
    <t>GVS</t>
  </si>
  <si>
    <t>Overgegaan in LU</t>
  </si>
  <si>
    <t>LU</t>
  </si>
  <si>
    <t>Voormalige GVS</t>
  </si>
  <si>
    <t>Ontbonden door partijbestuur</t>
  </si>
  <si>
    <t>GPN</t>
  </si>
  <si>
    <t>Opgegaan in PSP</t>
  </si>
  <si>
    <t>DNL</t>
  </si>
  <si>
    <t>Frozen_Ultron</t>
  </si>
  <si>
    <t>Meneer_vd_AIVD</t>
  </si>
  <si>
    <t>Gefuseerd met GL tot GR</t>
  </si>
  <si>
    <t>SVN</t>
  </si>
  <si>
    <t>Partij besloot niet mee te doen aan verkiezingen</t>
  </si>
  <si>
    <t>PSP</t>
  </si>
  <si>
    <t>Afsplitsing van GL</t>
  </si>
  <si>
    <t>Vladim_Sokov</t>
  </si>
  <si>
    <t>Gefuseerd met CPN tot LPU</t>
  </si>
  <si>
    <t>ENCP</t>
  </si>
  <si>
    <t>RapidRabbit7</t>
  </si>
  <si>
    <t>SGP</t>
  </si>
  <si>
    <t>Lunarm</t>
  </si>
  <si>
    <t>Overgegaan in CU</t>
  </si>
  <si>
    <t>Fusie van CPN en PSP</t>
  </si>
  <si>
    <t>Overgegaan in SDAP</t>
  </si>
  <si>
    <t>Leden overgestapt naar RPN</t>
  </si>
  <si>
    <t>Fusie van DNL en GL</t>
  </si>
  <si>
    <t>Opgegaan in RPN</t>
  </si>
  <si>
    <t>Jekkert</t>
  </si>
  <si>
    <t>LTIstarcraft</t>
  </si>
  <si>
    <t>Jespertjee</t>
  </si>
  <si>
    <t>Opgeheven ivm reset</t>
  </si>
  <si>
    <t>D66</t>
  </si>
  <si>
    <t>FVD</t>
  </si>
  <si>
    <t>Voormalige PVV</t>
  </si>
  <si>
    <t>CU</t>
  </si>
  <si>
    <t>SDAP</t>
  </si>
  <si>
    <t>Voormalige LPU</t>
  </si>
  <si>
    <t>Nederman95</t>
  </si>
  <si>
    <t>Balsag43</t>
  </si>
  <si>
    <t>RPN</t>
  </si>
  <si>
    <t>KVP</t>
  </si>
  <si>
    <t>VLPN</t>
  </si>
  <si>
    <t>RedKiev</t>
  </si>
  <si>
    <t>Leden stapte over naar SP</t>
  </si>
  <si>
    <t>PvE</t>
  </si>
  <si>
    <t>Ramkoe</t>
  </si>
  <si>
    <t>Leden stapte over naar MBE en D'18</t>
  </si>
  <si>
    <t>5SB</t>
  </si>
  <si>
    <t xml:space="preserve"> </t>
  </si>
  <si>
    <t>PTDB</t>
  </si>
  <si>
    <t>Axellio</t>
  </si>
  <si>
    <t>GCP</t>
  </si>
  <si>
    <t>MeisterMees</t>
  </si>
  <si>
    <t>Gefuseerd met D'18 tot DA'19</t>
  </si>
  <si>
    <t>Gefuseerd met MBE tot DA'19</t>
  </si>
  <si>
    <t>Opgegaan in STREEP!</t>
  </si>
  <si>
    <t>Voormalige GR</t>
  </si>
  <si>
    <t>Opgegaan in BRV</t>
  </si>
  <si>
    <t>LTIStarcraft</t>
  </si>
  <si>
    <t>NVP</t>
  </si>
  <si>
    <t>DeMakker</t>
  </si>
  <si>
    <t>Gefuseerd met SDC tot LPU</t>
  </si>
  <si>
    <t>Gefuseerd met PGV tot LPU</t>
  </si>
  <si>
    <t>Opgegaan in LPF</t>
  </si>
  <si>
    <t>P</t>
  </si>
  <si>
    <t>Afsplitsing van DA'19</t>
  </si>
  <si>
    <t>Opgegaan in LPU</t>
  </si>
  <si>
    <t>LittleMighty_</t>
  </si>
  <si>
    <t>Opgegaan in LL</t>
  </si>
  <si>
    <t>Fusie van PGV en SDC</t>
  </si>
  <si>
    <t>Leden overgestapt naar PPR en 1NL</t>
  </si>
  <si>
    <t>Afsplitsing van SP</t>
  </si>
  <si>
    <t>Mertaan</t>
  </si>
  <si>
    <t>Opgegaan in Lijst Toukiedatak</t>
  </si>
  <si>
    <t>Voormalig SN</t>
  </si>
  <si>
    <t>Opgegaan in 1NL</t>
  </si>
  <si>
    <t>Voormalige EGP</t>
  </si>
  <si>
    <t>Fusie van D'18 en MBE</t>
  </si>
  <si>
    <t>Gefuseerd met PPR tot GPA</t>
  </si>
  <si>
    <t>Gefuseerd met DA'19 tot GPA</t>
  </si>
  <si>
    <t>Fusie van VVD en STREEP!</t>
  </si>
  <si>
    <t>Mark_Usher</t>
  </si>
  <si>
    <t>Verkiezing
VIII</t>
  </si>
  <si>
    <t>Kabinet-Der_Kohl</t>
  </si>
  <si>
    <t>Verkiezing
IX</t>
  </si>
  <si>
    <t>Verkiezing
X</t>
  </si>
  <si>
    <t>Verkiezing
XI</t>
  </si>
  <si>
    <t>Jun. 19 (1/2)</t>
  </si>
  <si>
    <t>jun. 19 (2/2)</t>
  </si>
  <si>
    <t>35 zetels</t>
  </si>
  <si>
    <t>25 zetels</t>
  </si>
  <si>
    <t>Feeblemeltdown</t>
  </si>
  <si>
    <t>ikbenjanmarnik</t>
  </si>
  <si>
    <t>bramterlouw</t>
  </si>
  <si>
    <t>Mark_Usher_</t>
  </si>
  <si>
    <t>Thatsmyjem</t>
  </si>
  <si>
    <t>flipjum</t>
  </si>
  <si>
    <t>keijeman</t>
  </si>
  <si>
    <t>minethestickman</t>
  </si>
  <si>
    <t>MevrouVV</t>
  </si>
  <si>
    <t>Zetel naar NRV</t>
  </si>
  <si>
    <t>ToukieDatak</t>
  </si>
  <si>
    <t>DeadCatLarry</t>
  </si>
  <si>
    <t>Obsidi3</t>
  </si>
  <si>
    <t>Sambalchuck</t>
  </si>
  <si>
    <t>Yeblured</t>
  </si>
  <si>
    <t>yeblured</t>
  </si>
  <si>
    <t>joelletje</t>
  </si>
  <si>
    <t>Xeloa</t>
  </si>
  <si>
    <t>Ilja1995</t>
  </si>
  <si>
    <t>Materijn</t>
  </si>
  <si>
    <t>therealjansanono</t>
  </si>
  <si>
    <t>Tariklfc</t>
  </si>
  <si>
    <t>PM_ME_UR_ALLIGATOR</t>
  </si>
  <si>
    <t>OFBult</t>
  </si>
  <si>
    <t>Bartlovepuch</t>
  </si>
  <si>
    <t>littlemighty_</t>
  </si>
  <si>
    <t>Basboord</t>
  </si>
  <si>
    <t>Joelletje</t>
  </si>
  <si>
    <t xml:space="preserve">123ricardo210       </t>
  </si>
  <si>
    <t>DeadmeatSubs</t>
  </si>
  <si>
    <t>Koelan_vds</t>
  </si>
  <si>
    <t>dajasj</t>
  </si>
  <si>
    <t>Jack-Grover191</t>
  </si>
  <si>
    <t>Embroarsflamingbeard</t>
  </si>
  <si>
    <t>Zetel van GPA</t>
  </si>
  <si>
    <t>SprUtch</t>
  </si>
  <si>
    <t>5 zetels</t>
  </si>
  <si>
    <t>6 zetels</t>
  </si>
  <si>
    <t>7 zetels</t>
  </si>
  <si>
    <t>4 zetels</t>
  </si>
  <si>
    <t>davidmidnan</t>
  </si>
  <si>
    <t xml:space="preserve">JohanCAvdM        </t>
  </si>
  <si>
    <t>Isawk</t>
  </si>
  <si>
    <t>dewaterdrinker</t>
  </si>
  <si>
    <t>Crocettet</t>
  </si>
  <si>
    <t>mertaan</t>
  </si>
  <si>
    <t>metalfros</t>
  </si>
  <si>
    <t>sottof</t>
  </si>
  <si>
    <t>Jurriyaany</t>
  </si>
  <si>
    <t>10 zetels</t>
  </si>
  <si>
    <t>9 zetels</t>
  </si>
  <si>
    <t>pctrademark</t>
  </si>
  <si>
    <t>brentvsc</t>
  </si>
  <si>
    <t>Alsta</t>
  </si>
  <si>
    <t xml:space="preserve">Oestersaus </t>
  </si>
  <si>
    <t>Tweede Kamer
(25 zetels)</t>
  </si>
  <si>
    <t>Sec
Gen</t>
  </si>
  <si>
    <t>Ond.
Vrz.</t>
  </si>
  <si>
    <t>Vrz.</t>
  </si>
  <si>
    <t>Min
Pres</t>
  </si>
  <si>
    <t>Verdeling Eerste en Tweede Kamer,
Coalitie en Oppositie</t>
  </si>
  <si>
    <t>Kabinet House_of_Farts II</t>
  </si>
  <si>
    <t>Eerste Kamer (4 zetels)</t>
  </si>
  <si>
    <t>Coalitie: (13 zetels)</t>
  </si>
  <si>
    <t>Oppositie: (12 zetels)</t>
  </si>
  <si>
    <t>1 zetel</t>
  </si>
  <si>
    <t>Nr.
Kabinet</t>
  </si>
  <si>
    <t>Ministeries:</t>
  </si>
  <si>
    <t>Ministers en Staatssecretarissen:</t>
  </si>
  <si>
    <t>24e
Kabinet</t>
  </si>
  <si>
    <t>Kabinet-House_of_Farts_II (GPA-ACAB)</t>
  </si>
  <si>
    <t>Minister-President, Minister van Algemene Zaken</t>
  </si>
  <si>
    <t>Eerste Vice-Premier</t>
  </si>
  <si>
    <t>Minister van Binnenlandse Zaken, Koninkrijksrelaties en Justitie</t>
  </si>
  <si>
    <t>Minister van Buitenlandse Zaken en Defensie</t>
  </si>
  <si>
    <t>Minister van Financiën en Economische Zaken</t>
  </si>
  <si>
    <t>Minister van Volksgezondheid en Sociale Zaken</t>
  </si>
  <si>
    <t>Minister van Klimaat, Natuur en Infrastructuur</t>
  </si>
  <si>
    <t>Minister van Onderwijs, Cultuur en Wetenschap</t>
  </si>
  <si>
    <t>23e
Kabinet</t>
  </si>
  <si>
    <t>Kabinet-th8 (ACAB-1NL-PPR)</t>
  </si>
  <si>
    <t>Tweede Vice-Premier</t>
  </si>
  <si>
    <t>Minister van Klimaat en Infrastructuur</t>
  </si>
  <si>
    <t>22e
Kabinet</t>
  </si>
  <si>
    <t>Kabinet-House_of_Farts (PPR-LL-DA'19)</t>
  </si>
  <si>
    <t>Leeg</t>
  </si>
  <si>
    <t xml:space="preserve">JohanCAvdM                        </t>
  </si>
  <si>
    <t>Minister van Buitenlandse Zaken, Handel en Ontwikkelingssamenwerking</t>
  </si>
  <si>
    <t>Minister van Veiligheid &amp; Defensie</t>
  </si>
  <si>
    <t>Minister van Financiën, Economische en Sociale Zaken</t>
  </si>
  <si>
    <t>MierenKnager</t>
  </si>
  <si>
    <t xml:space="preserve"> - Staatssecretaris voor Infrastructuur</t>
  </si>
  <si>
    <t>INFR</t>
  </si>
  <si>
    <t>Klaex</t>
  </si>
  <si>
    <t>Minister van Onderwijs, Cultuur, en Zorg</t>
  </si>
  <si>
    <t xml:space="preserve"> - Staatssecretaris voor Onderwijs, Cultuur, Wetenschap en Zorg</t>
  </si>
  <si>
    <t>OCWZ</t>
  </si>
  <si>
    <t>R_051</t>
  </si>
  <si>
    <t>Minister voor Transities en Innovatie</t>
  </si>
  <si>
    <t>21e
Kabinet</t>
  </si>
  <si>
    <t>Kabinet 7Hielke (SP-DA'19-BRV-Lijst Alfus)</t>
  </si>
  <si>
    <t>Derde Vice-Premier</t>
  </si>
  <si>
    <t>Minister van Binnenlandse Zaken en Koninkrijksrelaties</t>
  </si>
  <si>
    <t>Minister van Buitenlandse Zaken</t>
  </si>
  <si>
    <t>Minister van Veiligheid en Justitie</t>
  </si>
  <si>
    <t>Minister van Defensie en Ontwikkelingssamenwerking</t>
  </si>
  <si>
    <t>DOWS</t>
  </si>
  <si>
    <t>Minister van Financiën</t>
  </si>
  <si>
    <t>Minister van Klimaat en Natuur</t>
  </si>
  <si>
    <t xml:space="preserve"> - Staatssecretaris van Klimaat en Natuur</t>
  </si>
  <si>
    <t>20e
Kabinet</t>
  </si>
  <si>
    <t>Kabinet HiddeVdV96 (DA'19-LPU)</t>
  </si>
  <si>
    <t>Vice-Premier</t>
  </si>
  <si>
    <t>Minister van Financiële en Economische Zaken</t>
  </si>
  <si>
    <t>Minister van Rechtsstaat en Defensie</t>
  </si>
  <si>
    <t>Minister van Infrastructuur en Milieu</t>
  </si>
  <si>
    <t>19e
Kabinet</t>
  </si>
  <si>
    <t>Kabinet Der_Kohl II (DA'19-SP)</t>
  </si>
  <si>
    <t>Ministerie van Rechtsstaat &amp; Defensie</t>
  </si>
  <si>
    <t>Minister van Volksgezondheid &amp; Sociale Zaken</t>
  </si>
  <si>
    <t>Minister van Klimaat &amp; Natuur</t>
  </si>
  <si>
    <t>18e
Kabinet</t>
  </si>
  <si>
    <t>Kabinet Der_Kohl I (DA'19-PGV-SDC-STR)</t>
  </si>
  <si>
    <t>Minister van Binnenlandse Zaken en Defensie</t>
  </si>
  <si>
    <t>Minister van Justitie &amp; Veiligheid</t>
  </si>
  <si>
    <t>Minister van Infrastructuur &amp; Milieu</t>
  </si>
  <si>
    <t>Minister van Gezondheid, Werk en Inkomen</t>
  </si>
  <si>
    <t>17e
Kabinet</t>
  </si>
  <si>
    <t>Kabinet-graansmoothie (PGV-SDC-SP-MBE)</t>
  </si>
  <si>
    <t>Minister van Financiën &amp; Sociale Zaken</t>
  </si>
  <si>
    <t>Minister van Buitenlandse Zaken en Koninksrijksrelaties</t>
  </si>
  <si>
    <t>Minister van Economische Zaken, Klimaat en Werkgelegenheid</t>
  </si>
  <si>
    <t>Minister van Volksgezondheid, Welzijn en Voedselkwaliteit</t>
  </si>
  <si>
    <t>rebellemon2441</t>
  </si>
  <si>
    <t>Minister van Onderwijs, Cultuur, Wetenschap en Sport</t>
  </si>
  <si>
    <t>Minister van Omgeving en Infrastructuur</t>
  </si>
  <si>
    <t>exafighter</t>
  </si>
  <si>
    <t xml:space="preserve">RMTK </t>
  </si>
  <si>
    <t>verkiezingen</t>
  </si>
  <si>
    <r>
      <t xml:space="preserve">      </t>
    </r>
    <r>
      <rPr>
        <color rgb="FF000000"/>
      </rPr>
      <t>Nov</t>
    </r>
    <r>
      <rPr>
        <color rgb="FFFFFFFF"/>
      </rPr>
      <t>e</t>
    </r>
    <r>
      <rPr>
        <color rgb="FF000000"/>
      </rPr>
      <t>mber</t>
    </r>
  </si>
  <si>
    <r>
      <t xml:space="preserve">               Sept</t>
    </r>
    <r>
      <rPr>
        <color rgb="FFFFFFFF"/>
      </rPr>
      <t>e</t>
    </r>
    <r>
      <t>mber</t>
    </r>
  </si>
  <si>
    <r>
      <t xml:space="preserve">                      M</t>
    </r>
    <r>
      <rPr>
        <color rgb="FFEFEFEF"/>
      </rPr>
      <t>aa</t>
    </r>
    <r>
      <t>rt</t>
    </r>
  </si>
  <si>
    <r>
      <t xml:space="preserve">                         M</t>
    </r>
    <r>
      <rPr>
        <color rgb="FFFFFFFF"/>
      </rPr>
      <t>a</t>
    </r>
    <r>
      <t>art</t>
    </r>
  </si>
  <si>
    <t xml:space="preserve">Vooraankondiging </t>
  </si>
  <si>
    <t>Link</t>
  </si>
  <si>
    <t>Waybackmachine</t>
  </si>
  <si>
    <t>RESET</t>
  </si>
  <si>
    <t>Propagandacompetitie</t>
  </si>
  <si>
    <t xml:space="preserve">Verkiezingsthread </t>
  </si>
  <si>
    <t xml:space="preserve">Verificatiethread </t>
  </si>
  <si>
    <t>http://rmtk.melect.net gebruikt.</t>
  </si>
  <si>
    <t>Uitslagen</t>
  </si>
  <si>
    <t>Overige</t>
  </si>
  <si>
    <t>Livethread</t>
  </si>
  <si>
    <t>Lijsttrekkersdebat</t>
  </si>
  <si>
    <r>
      <rPr>
        <color rgb="FF1155CC"/>
        <u/>
      </rPr>
      <t>Pledge cards,</t>
    </r>
    <r>
      <t xml:space="preserve">
</t>
    </r>
    <r>
      <rPr>
        <color rgb="FF1155CC"/>
        <u/>
      </rPr>
      <t>Lijsttrekkersdebat,</t>
    </r>
    <r>
      <t xml:space="preserve">
etc</t>
    </r>
  </si>
  <si>
    <r>
      <rPr>
        <color rgb="FF1155CC"/>
        <u/>
      </rPr>
      <t>Lijsttrekkersdebatvideo</t>
    </r>
    <r>
      <t xml:space="preserve">,
</t>
    </r>
    <r>
      <rPr>
        <color rgb="FF1155CC"/>
        <u/>
      </rPr>
      <t>propagandacompetitie uitslagen</t>
    </r>
    <r>
      <t>, 
etc</t>
    </r>
  </si>
  <si>
    <r>
      <rPr>
        <color rgb="FF1155CC"/>
        <u/>
      </rPr>
      <t>Lijsttrekkersdebat 1: Huizenkoorts bereikt nieuw hoogtepunt ,
Lijsttrekkersdebat 2: 'GGZ onder druk</t>
    </r>
    <r>
      <t xml:space="preserve">',
</t>
    </r>
    <r>
      <rPr>
        <color rgb="FF1155CC"/>
        <u/>
      </rPr>
      <t>RMTK Verkiezingen VIII verkiezingsshow</t>
    </r>
  </si>
  <si>
    <r>
      <rPr>
        <color rgb="FF1155CC"/>
        <u/>
      </rPr>
      <t>Verkiezingsdebat 1: Veiligheid en Terrorisme</t>
    </r>
    <r>
      <t xml:space="preserve">,
</t>
    </r>
    <r>
      <rPr>
        <color rgb="FF1155CC"/>
        <u/>
      </rPr>
      <t>Verkiezingsdebat 2: Klimaat</t>
    </r>
  </si>
  <si>
    <t>Deelnemende partijen</t>
  </si>
  <si>
    <t>% v/d stemmen</t>
  </si>
  <si>
    <t>% v/d zetels</t>
  </si>
  <si>
    <t>gemaakt door Toukiedatak</t>
  </si>
  <si>
    <t>28,00%</t>
  </si>
  <si>
    <t>Data verloren</t>
  </si>
  <si>
    <t>24,00%</t>
  </si>
  <si>
    <t>20,00%</t>
  </si>
  <si>
    <t>16,00%</t>
  </si>
  <si>
    <t>12,00%</t>
  </si>
  <si>
    <t>8,00%</t>
  </si>
  <si>
    <t>4,00%</t>
  </si>
  <si>
    <t>99.97%</t>
  </si>
  <si>
    <t>1: MPN en S&amp;V hebben een lijstverbinding</t>
  </si>
  <si>
    <t>1: Het aantal uitgebrachte stemmen gaf D66 recht op 9 zetels. Echter had D66 slechts 7 kandidaten op haar kieslijst staan. Zodoende zijn de twee zetels overeenkomstig Artikel P 10 van de Kieswet herverdeeld en gegeven aan GROEN en PVV.</t>
  </si>
  <si>
    <t>1: GL en CPN hebben een lijstverbinding.</t>
  </si>
  <si>
    <t>2: SP en SNL hebben een lijstverbinding</t>
  </si>
  <si>
    <t>3: DeKoul was voorzitter en verkreeg automatisch een zetel</t>
  </si>
  <si>
    <t>Met dank aan de mensen die RMTK 
mogelijk maken of hebben gemaakt:</t>
  </si>
  <si>
    <t>/u/Dekoul</t>
  </si>
  <si>
    <t>/u/sabasNL</t>
  </si>
  <si>
    <t>/u/TheDomCook</t>
  </si>
  <si>
    <t>/u/kooienb</t>
  </si>
  <si>
    <t>/u/OKELEUK</t>
  </si>
  <si>
    <t>/u/Ploefke</t>
  </si>
  <si>
    <t>/u/roenmane</t>
  </si>
  <si>
    <t>/u/Vylander</t>
  </si>
  <si>
    <t>/u/AnnaLittleAlice</t>
  </si>
  <si>
    <t>/u/TheJelleyFish</t>
  </si>
  <si>
    <t>/u/Akuran</t>
  </si>
  <si>
    <t>/u/Avinator</t>
  </si>
  <si>
    <t>/u/Quintionus</t>
  </si>
  <si>
    <t>/u/Nickmanbear</t>
  </si>
  <si>
    <t>/u/-___-_</t>
  </si>
  <si>
    <t>Laatst geüpdate Juni 2020</t>
  </si>
  <si>
    <t>RMTK Hall of Fame</t>
  </si>
  <si>
    <t>Voor bijzondere inspanningen op Meta-gebied of elders op RMTK</t>
  </si>
  <si>
    <t>/u/SabasNL</t>
  </si>
  <si>
    <t>/u/Roenmane</t>
  </si>
  <si>
    <t>‘’Koning der Nederlanden’’</t>
  </si>
  <si>
    <t>‘’Anonieme Man’’</t>
  </si>
  <si>
    <t>‘’SabaSS’’</t>
  </si>
  <si>
    <t>‘’Koning der Sossen’’</t>
  </si>
  <si>
    <t>‘’Eeuwig Minister van I&amp;M’’</t>
  </si>
  <si>
    <t>‘’Beste Premier van Nederland’’</t>
  </si>
  <si>
    <t>Actief van Jun. 2015 - Aug. 2015</t>
  </si>
  <si>
    <t>Actief van Jun. 2015 - Apr. 2016</t>
  </si>
  <si>
    <t>Actief van Jun. 2015 - Apr. 2018</t>
  </si>
  <si>
    <t>Actief van Jun. 2015 - Jan. 2019</t>
  </si>
  <si>
    <t>Actief van Jun. 2015 - Apr. 2019</t>
  </si>
  <si>
    <t>Koning van RMTK</t>
  </si>
  <si>
    <t>1e beheerder van Spreadsheet</t>
  </si>
  <si>
    <t>Ondervoorzitter</t>
  </si>
  <si>
    <t>Oprichter RMTK</t>
  </si>
  <si>
    <t>Secretaris-Generaal (a.i.)</t>
  </si>
  <si>
    <t>Raadslid</t>
  </si>
  <si>
    <t>Beheerder van Spreadsheet</t>
  </si>
  <si>
    <t>1e Voorzitter</t>
  </si>
  <si>
    <t>Minister van SZW en VWS</t>
  </si>
  <si>
    <t>Minister van V&amp;J, BZK en OCW</t>
  </si>
  <si>
    <t>Tweede Kamerlid</t>
  </si>
  <si>
    <t>Minister van Fin&amp;EZ, Def en BuZa</t>
  </si>
  <si>
    <t>Minister van OCW</t>
  </si>
  <si>
    <r>
      <t xml:space="preserve">Was lid van: </t>
    </r>
    <r>
      <rPr>
        <i/>
      </rPr>
      <t>Onafh.</t>
    </r>
  </si>
  <si>
    <t>Eerste Kamerlid</t>
  </si>
  <si>
    <t>Partijleider</t>
  </si>
  <si>
    <t>Minister van I&amp;M</t>
  </si>
  <si>
    <r>
      <t xml:space="preserve">Was lid van: </t>
    </r>
    <r>
      <rPr>
        <i/>
      </rPr>
      <t>PvdA, S&amp;V</t>
    </r>
  </si>
  <si>
    <r>
      <t xml:space="preserve">Was lid van:
</t>
    </r>
    <r>
      <rPr>
        <i/>
      </rPr>
      <t>D66, Onafh, PVV, LU, SVN, VVD</t>
    </r>
  </si>
  <si>
    <t>‘’Boxershort’’</t>
  </si>
  <si>
    <r>
      <t xml:space="preserve">Was lid van: </t>
    </r>
    <r>
      <rPr>
        <i/>
      </rPr>
      <t>SP, MNP, CPN, LPU</t>
    </r>
  </si>
  <si>
    <r>
      <t xml:space="preserve">Was lid van:
</t>
    </r>
    <r>
      <rPr>
        <i/>
      </rPr>
      <t>PVV, LPF, LU, GVS, VVD, 
FVD, AEIÖU, LPF</t>
    </r>
  </si>
  <si>
    <t>Actief van Jun. 2015 - nu</t>
  </si>
  <si>
    <t>‘’Eeuwig Minister van OCW’’</t>
  </si>
  <si>
    <t>/u/koopabro</t>
  </si>
  <si>
    <r>
      <t xml:space="preserve">Was lid van: </t>
    </r>
    <r>
      <rPr>
        <i/>
      </rPr>
      <t>CDA, LPF, PVV, FVD, VVD</t>
    </r>
  </si>
  <si>
    <t>3x Secretaris-Generaal</t>
  </si>
  <si>
    <t>Actief van Jun. 2015 - Nu</t>
  </si>
  <si>
    <t>‘’Alcoholisme is het beste -isme’’</t>
  </si>
  <si>
    <t>‘’Mevrouw de Voorzitter’’</t>
  </si>
  <si>
    <t>Actief van Dec. 2015 - Apr. 2018</t>
  </si>
  <si>
    <t>‘’Partijhopper’’</t>
  </si>
  <si>
    <t>Voorzitter (a.i.)</t>
  </si>
  <si>
    <t>Actief van Dec. 2015 - nu</t>
  </si>
  <si>
    <t>‘’Eeuwig Voorzitter, vader van de LPU’’</t>
  </si>
  <si>
    <t>Actief van Feb. 2016 - Jun. 2019</t>
  </si>
  <si>
    <t>Minister van BZK</t>
  </si>
  <si>
    <t>Minister van OCW en SWZ</t>
  </si>
  <si>
    <t>Minister van VWZ, OCW, BuZa en BZKJ</t>
  </si>
  <si>
    <t>Minister van Def. en Jus.</t>
  </si>
  <si>
    <t>Minister van VWS en BZKJ</t>
  </si>
  <si>
    <t>Staatss. van Jus.</t>
  </si>
  <si>
    <r>
      <t xml:space="preserve">Was lid van:
</t>
    </r>
    <r>
      <rPr>
        <i/>
      </rPr>
      <t>GL, PSP, TH8, RPN, ACB, ACAB</t>
    </r>
  </si>
  <si>
    <t>Minister van BZK en SZW</t>
  </si>
  <si>
    <r>
      <t xml:space="preserve">Was lid van: </t>
    </r>
    <r>
      <rPr>
        <i/>
      </rPr>
      <t>GL, GR, CU, CDA, BRV, 1NL. NRV</t>
    </r>
  </si>
  <si>
    <r>
      <t xml:space="preserve">Was lid van: 
</t>
    </r>
    <r>
      <rPr>
        <i/>
      </rPr>
      <t>CPN, PSP, LPU, SDAP, SP, D'18, DA'19, PPR, GPA</t>
    </r>
  </si>
  <si>
    <r>
      <t xml:space="preserve">Was lid van: </t>
    </r>
    <r>
      <rPr>
        <i/>
      </rPr>
      <t>VVD</t>
    </r>
  </si>
  <si>
    <r>
      <t xml:space="preserve">Was lid van: 
</t>
    </r>
    <r>
      <rPr>
        <i/>
      </rPr>
      <t>MNP, CPN, GPN, PSP, 
LPU, SDAP, CDA, SN, LPF, 1NL</t>
    </r>
  </si>
  <si>
    <t>‘’GroenLinks-hater’’</t>
  </si>
  <si>
    <r>
      <t xml:space="preserve">Was lid van:
</t>
    </r>
    <r>
      <rPr>
        <i/>
      </rPr>
      <t>CPN, LPU, SDAP, RPN, D'18, 
DA'19, SDC, LPU</t>
    </r>
  </si>
  <si>
    <t>Actief van Apr. 2016 - Mrt. 2019</t>
  </si>
  <si>
    <t>/u/Jespertjee</t>
  </si>
  <si>
    <t>‘’Schreef de 1e succesvolle begroting’’</t>
  </si>
  <si>
    <t>‘’Brabander’’</t>
  </si>
  <si>
    <t>‘’Eeuwig Minister van BuZa’’</t>
  </si>
  <si>
    <t>Actief van Dec. 2016 - Apr. 2018</t>
  </si>
  <si>
    <t>Actief van Jun. 2016 - Dec. 2018</t>
  </si>
  <si>
    <t>Actief van Jun. 2016 - Nov. 2018</t>
  </si>
  <si>
    <t>‘’Mr. Meet-up’’</t>
  </si>
  <si>
    <t>Actief van Jan. 2017 - Nu</t>
  </si>
  <si>
    <t>Minister van Def. 
 BuZa, Fin&amp;EZ en Jus.</t>
  </si>
  <si>
    <t>‘’De Putsch was gerechtvaardigd’’</t>
  </si>
  <si>
    <t>Minister van OCW, BZK,
BuZa, SZW en GWI</t>
  </si>
  <si>
    <t>Minister van Fin&amp;EZ en I&amp;M</t>
  </si>
  <si>
    <t>Actief van Apr. 2017 - Apr. 2018</t>
  </si>
  <si>
    <t>Minister van BuZa</t>
  </si>
  <si>
    <t>Minister van V&amp;J, Def.</t>
  </si>
  <si>
    <r>
      <t xml:space="preserve">Was lid van: </t>
    </r>
    <r>
      <rPr>
        <i/>
      </rPr>
      <t>D66, GPN, VVD</t>
    </r>
  </si>
  <si>
    <r>
      <t xml:space="preserve">Was lid van: </t>
    </r>
    <r>
      <rPr>
        <i/>
      </rPr>
      <t>PVV, FVD</t>
    </r>
  </si>
  <si>
    <r>
      <t xml:space="preserve">Was lid van: </t>
    </r>
    <r>
      <rPr>
        <i/>
      </rPr>
      <t>PVV, FVD, AEIÖU</t>
    </r>
  </si>
  <si>
    <t>Minister van I&amp;M en OCW</t>
  </si>
  <si>
    <r>
      <t xml:space="preserve">Was lid van: </t>
    </r>
    <r>
      <rPr>
        <i/>
      </rPr>
      <t>VVD</t>
    </r>
  </si>
  <si>
    <r>
      <t xml:space="preserve">Was lid van: </t>
    </r>
    <r>
      <rPr>
        <i/>
      </rPr>
      <t>GR, D'18, DA'19, 
P, LPU, 1NL</t>
    </r>
  </si>
  <si>
    <t>‘’Der_Coup’’</t>
  </si>
  <si>
    <t>‘’...of heet hij nou Willem! ipv Hidde?’’</t>
  </si>
  <si>
    <t>‘’Bitterbal met honosaus’’</t>
  </si>
  <si>
    <t>Actief van Apr. 2018 - Nu</t>
  </si>
  <si>
    <t>/u/RkRs21</t>
  </si>
  <si>
    <t>Actief van Nov. 2018 - Nu</t>
  </si>
  <si>
    <r>
      <t xml:space="preserve">Was lid van: </t>
    </r>
    <r>
      <rPr>
        <i/>
      </rPr>
      <t>D66</t>
    </r>
  </si>
  <si>
    <t>‘’Stabiele tweede keus’’</t>
  </si>
  <si>
    <t>‘’G’’</t>
  </si>
  <si>
    <t>"Onderzoekscommissie gone wrong"</t>
  </si>
  <si>
    <t>Spreadsheetgoochelaar</t>
  </si>
  <si>
    <t>Actief van Jan. 2019 - Nu</t>
  </si>
  <si>
    <r>
      <t xml:space="preserve">Was lid van:
</t>
    </r>
    <r>
      <rPr>
        <i/>
      </rPr>
      <t>VVD, D66, RPN, D'18, STR,
BRV, DA'19, CVG, LPU, SP, ACAB, NRV</t>
    </r>
  </si>
  <si>
    <t>Minister van GWI en VSZ</t>
  </si>
  <si>
    <t>Minister van BZKJ en I&amp;M</t>
  </si>
  <si>
    <t>Minister van BZK en Fin&amp;EZ</t>
  </si>
  <si>
    <r>
      <t xml:space="preserve">Was lid van: </t>
    </r>
    <r>
      <rPr>
        <i/>
      </rPr>
      <t>D66, RPN, 
D'18, DA'19, 1NL</t>
    </r>
  </si>
  <si>
    <r>
      <t xml:space="preserve">Was lid van: </t>
    </r>
    <r>
      <rPr>
        <i/>
      </rPr>
      <t>GR, STR, BRV, 1NL, NRV</t>
    </r>
  </si>
  <si>
    <t>/u/Paddo_in_wonderland</t>
  </si>
  <si>
    <t>"Geloof en drugs gaan goed samen"</t>
  </si>
  <si>
    <r>
      <t xml:space="preserve">Was lid van: </t>
    </r>
    <r>
      <rPr>
        <i/>
      </rPr>
      <t>SDC, LPU, PPR</t>
    </r>
  </si>
  <si>
    <r>
      <t xml:space="preserve">Was lid van: </t>
    </r>
    <r>
      <rPr>
        <i/>
      </rPr>
      <t>D'18, DA'19, LPU, PPR, GPA</t>
    </r>
  </si>
  <si>
    <r>
      <t xml:space="preserve">Was lid van: </t>
    </r>
    <r>
      <rPr>
        <i/>
      </rPr>
      <t>SP, PPR, GPA</t>
    </r>
  </si>
  <si>
    <t>Actief van mrt. 2017 - nu</t>
  </si>
  <si>
    <r>
      <t xml:space="preserve">Was lid van: 
</t>
    </r>
    <r>
      <rPr>
        <i/>
      </rPr>
      <t>CPN, SVN, KVP, CDA, CVG,, LP</t>
    </r>
  </si>
  <si>
    <t>Stemoverzicht
Tweede Kamer 
der Staten-Generaal</t>
  </si>
  <si>
    <t xml:space="preserve">Kabinet-th8
(ACB - 1NL - PPR)
</t>
  </si>
  <si>
    <t>Coalitie
(14)</t>
  </si>
  <si>
    <t>https://www.reddit.com/r/RMTK/comments/e5znmk/w0054_grondwetswijziging_ter/</t>
  </si>
  <si>
    <t>Oppositie
(11)</t>
  </si>
  <si>
    <t>Stemoverzicht
Eerste Kamer 
der Staten-Generaal</t>
  </si>
  <si>
    <t>Coalitie
(3)</t>
  </si>
  <si>
    <t>Oppositie
(3)</t>
  </si>
  <si>
    <t>Coretteket</t>
  </si>
  <si>
    <t>RMTK Parlementaire Agenda</t>
  </si>
  <si>
    <t>Stuk</t>
  </si>
  <si>
    <t xml:space="preserve">Eerste Lezing </t>
  </si>
  <si>
    <t>Opmerkingen</t>
  </si>
  <si>
    <t>Type Stuk</t>
  </si>
  <si>
    <t>Nummer</t>
  </si>
  <si>
    <t>Indiener</t>
  </si>
  <si>
    <t>Begindatum</t>
  </si>
  <si>
    <t>Einddatum</t>
  </si>
  <si>
    <t>M</t>
  </si>
  <si>
    <t>Kamerstuk</t>
  </si>
  <si>
    <t>D</t>
  </si>
  <si>
    <t>Regeerakkoord</t>
  </si>
  <si>
    <t>W</t>
  </si>
  <si>
    <t>W0041-I</t>
  </si>
  <si>
    <t>Amendement Belastingwet Meervoudig Woningbezit</t>
  </si>
  <si>
    <t>Besluit tot invoering W0009</t>
  </si>
  <si>
    <t>Vragenuur</t>
  </si>
  <si>
    <t>W0042-I</t>
  </si>
  <si>
    <t>Amendement Wet tot goedkeuring aankoop vijf F-35A 2019</t>
  </si>
  <si>
    <t>V</t>
  </si>
  <si>
    <t>Debat</t>
  </si>
  <si>
    <t>Debat over de vaccinatiegraad</t>
  </si>
  <si>
    <t>Z</t>
  </si>
  <si>
    <t>Stemmingen</t>
  </si>
  <si>
    <t>Intrekkingswet accijnswet</t>
  </si>
  <si>
    <t>Kamerbrief aangaande het klimaatplan en de op te richten klimaatplancommissie</t>
  </si>
  <si>
    <t>Kamerbrief aangaande diverse moties betreffende K&amp;N</t>
  </si>
  <si>
    <t>Noodwet stikstofproblematiek</t>
  </si>
  <si>
    <t>Motie tot verlaging van de AOW-leeftijd naar 65 jaar</t>
  </si>
  <si>
    <t>Besluit Sancties Turkije</t>
  </si>
  <si>
    <t>Motie omtrent een bindend correctief referendum</t>
  </si>
  <si>
    <t>Motie tot het maken van een vrije dag van Bevrijdingsdag</t>
  </si>
  <si>
    <t>Motie tot toevoeging telecommunicatiebedrijven van de Volksrepubliek China op de lijst van W0007-I</t>
  </si>
  <si>
    <t>Motie tot de aanpak van intensieve veehouderij</t>
  </si>
  <si>
    <t>Rijksbegroting 2020 - Buitenlandse Zaken</t>
  </si>
  <si>
    <t>Rijksbegroting 2020 - Defensie en Ontwikkelingssamenwerking</t>
  </si>
  <si>
    <t>Sanctiewet Republiek Turkije &amp; Turkse Republiek Noord-Cyprus 2019</t>
  </si>
  <si>
    <t>Motie aangaande het opschorten van het kandidaat-lidmaatschap voor de Europese Unie van de Republiek Turkije</t>
  </si>
  <si>
    <t>Motie tot een totaalverbod op gezichtsherkenningssoftware voor bepaalde doeleinden</t>
  </si>
  <si>
    <t>Besluit houdende intrekking van het besluit tot invoering W0009</t>
  </si>
  <si>
    <t>Wetswijziging tot toestaan polyamorisch huwelijk</t>
  </si>
  <si>
    <t>Intrekkingswetsvoorstel Wetswijzing spoorwegenwet tot deprivatisering van de spoorwegen</t>
  </si>
  <si>
    <t>Sushishine/House_of_Farts</t>
  </si>
  <si>
    <t>Kamerbrief aangaande recentelijk aangenomen moties (0114-0116)</t>
  </si>
  <si>
    <t>Wijziging van de Grondwet vanwege het opheffen van de vrijheid van onderwijs</t>
  </si>
  <si>
    <t>Debat na aanleiding terroristische aanslag op het Binnenhof door radicale Friese separatisten</t>
  </si>
  <si>
    <t>Wetswijziging ter afschaffing van de thuiskopieheffing</t>
  </si>
  <si>
    <t>Kamerbrief over de vorderingen van de klimaatplancommissie</t>
  </si>
  <si>
    <t>Motie tot onderzoek naar gedecentraliseerde data voor gemeenteraadsverkiezingen</t>
  </si>
  <si>
    <t>Kamerbrief ter reactie op aangenomen moties (0117-0121)</t>
  </si>
  <si>
    <t>Motie tot terughalen Irak- en Syriëgangers</t>
  </si>
  <si>
    <t>Wet bestrijding Friese terreur</t>
  </si>
  <si>
    <t>Motie van wantrouwen jegens Kabinet House_of_Farts-I</t>
  </si>
  <si>
    <t>Debat omtrent de aanpak van racisme in Nederland</t>
  </si>
  <si>
    <t>Motie tot opzetten stimuleringsfonds encryptie en betere verankering van encryptie</t>
  </si>
  <si>
    <t>Motie tot verzoek oorlogsverklaring</t>
  </si>
  <si>
    <t>Update van werkzaamheden minister /u/sushishine</t>
  </si>
  <si>
    <t>Besluit ter Verlenging van de Tijdelijke Sanctiewet Saudi-Arabië</t>
  </si>
  <si>
    <t>Motie tot een ruimhartiger asielbeleid aangaande LHBTI'ers</t>
  </si>
  <si>
    <t>Debat over poging tot lynchpartij in Gorinchem</t>
  </si>
  <si>
    <t>Besluit houdende de lijst van digitale apparatuur die een gevaar kunnen zijn voor de nationale veiligheid</t>
  </si>
  <si>
    <t>NOG IN TE PLANNEN KAMERSTUKKEN</t>
  </si>
  <si>
    <t>Motie omtrent het opruimen van korrels van koolstofgranulaat op Schiermonnikoog</t>
  </si>
  <si>
    <t xml:space="preserve">Kabinet-House_of_Farts
(PPR - LL - DA'19)
</t>
  </si>
  <si>
    <t>Coalitie
(10)</t>
  </si>
  <si>
    <t>Alien_Gamer_101</t>
  </si>
  <si>
    <t>https://www.reddit.com/r/RMTK/comments/drl0sa/m0120_motie_tot_de_aanpak_van_intensieve/</t>
  </si>
  <si>
    <t>https://www.reddit.com/r/RMTK/comments/dt2s9z/m0121_motie_aangaande_het_opschorten_van_het/</t>
  </si>
  <si>
    <t>https://www.reddit.com/r/RMTK/comments/ds2nrf/w0046_rijksbegroting_2020_buitenlandse_zaken/</t>
  </si>
  <si>
    <t>https://www.reddit.com/r/RMTK/comments/ds2nu7/w0047_rijksbegroting_2020_defensie_en/</t>
  </si>
  <si>
    <t>https://www.reddit.com/r/RMTK/comments/dtj67r/w0048i_amendement_sanctiewet_republiek_turkije/</t>
  </si>
  <si>
    <t>https://www.reddit.com/r/RMTK/comments/dtjaf2/amendement_sanctiewet_republiek_turkije_turkse/</t>
  </si>
  <si>
    <t>https://www.reddit.com/r/RMTK/comments/duvmyy/m0122_motie_tot_een_totaalverbod_op/</t>
  </si>
  <si>
    <t>https://www.reddit.com/r/RMTK/comments/dvhfjp/w0049_wetswijziging_tot_toestaan_polyamorisch/</t>
  </si>
  <si>
    <t>https://www.reddit.com/r/RMTK/comments/dvxgay/w0050_intrekkingswetsvoorstel_wetswijzing/</t>
  </si>
  <si>
    <t>https://www.reddit.com/r/RMTK/comments/dwce3f/w0051_wijziging_van_de_grondwet_vanwege_het/</t>
  </si>
  <si>
    <t>Oppositie
(15)</t>
  </si>
  <si>
    <t>w</t>
  </si>
  <si>
    <t>Stemoverzicht Eerste Kamer der Staten-Generaal</t>
  </si>
  <si>
    <t>Oppositie
(4)</t>
  </si>
  <si>
    <t>Motie tot het aanpakken van problemen rondom 112 en NL-Alert</t>
  </si>
  <si>
    <t>Debat aangaande storing KPN en noodnummer 112</t>
  </si>
  <si>
    <t>Motie tot uitdelen oordoppen bij festivals</t>
  </si>
  <si>
    <t>Wetswijziging tot aanvulling op de wet nationaal woonplan</t>
  </si>
  <si>
    <t>Week 26</t>
  </si>
  <si>
    <t>Vragenuur Week 26</t>
  </si>
  <si>
    <t>Motie tot opstellen van klimaatnota</t>
  </si>
  <si>
    <t>Debat aangaande de verklaring van het JIT over MH17</t>
  </si>
  <si>
    <t>Kamerbrief aangaande realisatie Nedersaksenlijn</t>
  </si>
  <si>
    <t>Wijziging van het Burgerlijk Wetboek, Boek 1, artikel 5</t>
  </si>
  <si>
    <t>Week 27</t>
  </si>
  <si>
    <t>Vragenuur Week 27</t>
  </si>
  <si>
    <t>Motie uitvoering M0050</t>
  </si>
  <si>
    <t>Debat over de toekomst van de publieke omroep</t>
  </si>
  <si>
    <t>Kamerbrief aangaande Preventie Eikenprocessierups</t>
  </si>
  <si>
    <t>Motie tot onderzoek naar circulair maken bouw</t>
  </si>
  <si>
    <t>Kamerbrief aangaande verzoek aan Permanent Hof van Arbitrage</t>
  </si>
  <si>
    <t>Motie tot versimpeling belastingsysteem</t>
  </si>
  <si>
    <t>W0025-II</t>
  </si>
  <si>
    <t>Koepelwet Kerncentrales (Tweede lezing)</t>
  </si>
  <si>
    <t>Wijziging van het Burgerlijk Wetboek, Boek 1, artikel 28</t>
  </si>
  <si>
    <t>Week 28</t>
  </si>
  <si>
    <t>Vragenuur Week 28</t>
  </si>
  <si>
    <t>Hernieuwde Klimaatwet 2019</t>
  </si>
  <si>
    <t>Debat na aanleiding berichtgeving misstanden binnen de politie</t>
  </si>
  <si>
    <t>Wetsvoorstel tot budgettaire begroting Nedersaksenlijn</t>
  </si>
  <si>
    <t>Motie tot openbaar maken partijlidmaatschap bestuursleden NPO</t>
  </si>
  <si>
    <t>M0083-M0086</t>
  </si>
  <si>
    <t>Motiebundel NPO</t>
  </si>
  <si>
    <t>Motie verduidelijking en samenvoeging regelgeving omtrent extreem warm weer</t>
  </si>
  <si>
    <t>Wet erkenning recht op voltooid leven</t>
  </si>
  <si>
    <t>Week 29</t>
  </si>
  <si>
    <t>Vragenuur Week 29</t>
  </si>
  <si>
    <t>Motie tot verandering regelgeving regeling overheidszaken</t>
  </si>
  <si>
    <t>Debat naar aanleiding verhandeling privégegevens kentekenregister</t>
  </si>
  <si>
    <t>Kamerbrief aangaande de vaccinatiegraad</t>
  </si>
  <si>
    <t>Motie met het verzoek om informatie over Huawei</t>
  </si>
  <si>
    <t>Wet Belasting op grote techbedrijven</t>
  </si>
  <si>
    <t>Motie tot organisatie van een diplomatieke missie tussen Nederland en de Verenigde Staten van Amerika</t>
  </si>
  <si>
    <t>Week 30</t>
  </si>
  <si>
    <t>Vragenuur Week 30</t>
  </si>
  <si>
    <t>Motie tot erkenning van een derde geslacht</t>
  </si>
  <si>
    <t>Debat naar aanleiding van de situatie in Hong Kong</t>
  </si>
  <si>
    <t>Kamerbrief betreft reactie op aangenomen moties K&amp;N</t>
  </si>
  <si>
    <t>Motie tot het creëren van beschutte werkplekken</t>
  </si>
  <si>
    <t>Motie tot verdere privatisering ABN AMRO</t>
  </si>
  <si>
    <t>Week 31</t>
  </si>
  <si>
    <t>Vragenuur Week 31</t>
  </si>
  <si>
    <t>Kamerbrief omtrent discretionaire bevoegdheid voor immigratie</t>
  </si>
  <si>
    <t>Debat naar aanleiding van het rapport van de Onderzoeksraad voor Veiligheid over het voedselveiligheidssysteem in Nederland</t>
  </si>
  <si>
    <t>Kamerbrief aangaande publicatie Rapport Wet nationaal Woonplan</t>
  </si>
  <si>
    <t>Motie vrijgezellenbelasting</t>
  </si>
  <si>
    <t>Dropbox</t>
  </si>
  <si>
    <t>M0095-M0096</t>
  </si>
  <si>
    <t>Motiebundel RDW</t>
  </si>
  <si>
    <t>Week 32</t>
  </si>
  <si>
    <t>Vragenuur Week 32</t>
  </si>
  <si>
    <t>Motie tot evaluatie van energieopslagmethoden</t>
  </si>
  <si>
    <t>Kamerbrief aangaande gegevens rondom incidenten asielzoekers</t>
  </si>
  <si>
    <t>Debat naar aanleiding overlast Amerikaanse rivierkreeft</t>
  </si>
  <si>
    <t>Kamerbrief aangaande het Klimaatjaarverslag</t>
  </si>
  <si>
    <t>Motie tot onderzoek doen naar een gezamenlijk Nederlands-Vlaams OV-netwerk</t>
  </si>
  <si>
    <t>Kamerbrief aangaande aanschaf F-35</t>
  </si>
  <si>
    <t>Week 33</t>
  </si>
  <si>
    <t>Vragenuur Week 33</t>
  </si>
  <si>
    <t>Motie tot reductie verdrinkingsdoden</t>
  </si>
  <si>
    <t>Debat aangaande het creëren en handhaven van vuurwerkvrije zones</t>
  </si>
  <si>
    <t>Kamerbrief aangaande recente zaken Financiën</t>
  </si>
  <si>
    <t>Motie tot creëren vergunning voor bezit meerdere woonhuizen</t>
  </si>
  <si>
    <t>Motie tot boycot van fout vlees en foute soja uit het Amazonegebied</t>
  </si>
  <si>
    <t>Wet ter erkenning van de Nederlandse Gebarentaal</t>
  </si>
  <si>
    <t>Week 34</t>
  </si>
  <si>
    <t>Vragenuur Week 34</t>
  </si>
  <si>
    <t>Wetswijziging Wet op de omzetbelasting 1968</t>
  </si>
  <si>
    <t>Debat aangaande de evenementen in mei 2020</t>
  </si>
  <si>
    <t>Wetsvoorstel tot wijziging van de wet op de accijns</t>
  </si>
  <si>
    <t>Kamerbrief aangaande tweedaags Amerikaans staatsbezoek en NAVO-top in Nederland</t>
  </si>
  <si>
    <t>Motie tot gratis maken OV</t>
  </si>
  <si>
    <t>Koninklijk Besluit aanwijzing natuurramp-gemeenten</t>
  </si>
  <si>
    <t>Motie tot herbenoeming burgemeester van Amsterdam</t>
  </si>
  <si>
    <t>Week 35</t>
  </si>
  <si>
    <t>Vragenuur Week 35</t>
  </si>
  <si>
    <t>Motie ter bevordering van het frysk- en streektalenonderwijs</t>
  </si>
  <si>
    <t>Verantwoordingsdag</t>
  </si>
  <si>
    <t>Kamerbrief aangaande een update van het Klimaatplan</t>
  </si>
  <si>
    <t>Wetsvoorstel Versoepeling Opiumwet</t>
  </si>
  <si>
    <t>MerijnZ1/supertanno</t>
  </si>
  <si>
    <t>M0105-M0106</t>
  </si>
  <si>
    <t>Motiebundel rondom voedselkwaliteit</t>
  </si>
  <si>
    <t>Week 36</t>
  </si>
  <si>
    <t>Vragenuur Week 36</t>
  </si>
  <si>
    <t>Motie tot gelijk visumbeleid door de Verenigde Staten voor alle lidstaten van de Europese Unie</t>
  </si>
  <si>
    <t>Debat over de activiteit van het kabinet en de motiedruk vanuit de kamer</t>
  </si>
  <si>
    <t>Kamerbrief aangaande diverse infrastructurele moties</t>
  </si>
  <si>
    <t>W0039-I</t>
  </si>
  <si>
    <t>Amendement Wetsvoorstel Versoepeling Opiumwet</t>
  </si>
  <si>
    <t>Motie tot gelijkstelling vrijstelling op uitzending militairen</t>
  </si>
  <si>
    <t>Kamerbrief inzake Engels in het basisonderwijs en aansturing decanen voortgezet onderwijs</t>
  </si>
  <si>
    <t>Week 37</t>
  </si>
  <si>
    <t>Vragenuur Week 37</t>
  </si>
  <si>
    <t>Wet register openbare hygiëne- en veiligheidsvoorzieningen</t>
  </si>
  <si>
    <t>123ricardo210/supertanno</t>
  </si>
  <si>
    <t>Debat over de vrijheid van onderwijs</t>
  </si>
  <si>
    <t>Belastingwet Meervoudig Woningbezit</t>
  </si>
  <si>
    <t>Motie tot horeca-dienstplicht</t>
  </si>
  <si>
    <t>Motie tot het stimuleren van de bouw van openbare toiletten</t>
  </si>
  <si>
    <t>Kamerbrief aangaande meerdere kamerstukken en mijn afwezigheid</t>
  </si>
  <si>
    <t>Wet tot goedkeuring aankoop vijf F-35A 2019</t>
  </si>
  <si>
    <t>Week 38</t>
  </si>
  <si>
    <t>Vragenuur Week 38</t>
  </si>
  <si>
    <t>Wijziging Wetboek van Strafrecht Artikel 23</t>
  </si>
  <si>
    <t>Debat over democratische vernieuwing</t>
  </si>
  <si>
    <t>Motie</t>
  </si>
  <si>
    <t>Motie tot het verbieden van het alleen houden van cavia's</t>
  </si>
  <si>
    <t>Wetsvoorstel</t>
  </si>
  <si>
    <t>Kamerbrief</t>
  </si>
  <si>
    <t>Koninklijk Besluit</t>
  </si>
  <si>
    <t>Besluit Invoering W0009: Wetswijziging Spoorwegenwet tot deprivatisering van de spoorwegen</t>
  </si>
  <si>
    <t>Amendement</t>
  </si>
  <si>
    <t xml:space="preserve">Kabinet-7Hielke
(SP - DA'19 - B-RV - ALFUS)
</t>
  </si>
  <si>
    <t>Coalitie
(17)</t>
  </si>
  <si>
    <t xml:space="preserve">Dutchy54       </t>
  </si>
  <si>
    <t>ethiowolf</t>
  </si>
  <si>
    <t xml:space="preserve">SimonScalary       </t>
  </si>
  <si>
    <t>Oppositie
(8)</t>
  </si>
  <si>
    <t>therealjansanano</t>
  </si>
  <si>
    <t xml:space="preserve">Kabinet-HiddeVdV96
(DA'19-LPU)
</t>
  </si>
  <si>
    <t xml:space="preserve">Kabinet-Der_Kohl II
(DA'19-SP)
</t>
  </si>
  <si>
    <t xml:space="preserve">minethestickman       </t>
  </si>
  <si>
    <t xml:space="preserve">HiddeVdV96       </t>
  </si>
  <si>
    <t xml:space="preserve">sottof       </t>
  </si>
  <si>
    <t xml:space="preserve">     Stemoverzicht Tweede Kamer der Staten-Generaal</t>
  </si>
  <si>
    <t xml:space="preserve">Kabinet-Der_Kohl
(DA'19-PGV-SDC-STR)
</t>
  </si>
  <si>
    <t>Coalitie
(19)</t>
  </si>
  <si>
    <t>Oppositie
(16)</t>
  </si>
  <si>
    <t>DolfdeKraai/Blackdutchie</t>
  </si>
  <si>
    <t>Coalitie
(4)</t>
  </si>
  <si>
    <t xml:space="preserve">RkRs21              </t>
  </si>
  <si>
    <t>Oppositie
(5)</t>
  </si>
  <si>
    <t xml:space="preserve">Kabinet-graansmoothie
(PGV-SDC-SP-MBE)
</t>
  </si>
  <si>
    <t>Coalitie
(18)</t>
  </si>
  <si>
    <t xml:space="preserve">Yeblured        </t>
  </si>
  <si>
    <t xml:space="preserve">MeisterMees        </t>
  </si>
  <si>
    <t>Oppositie
(17)</t>
  </si>
  <si>
    <t>Oppositie
(6)</t>
  </si>
  <si>
    <t xml:space="preserve">Oestersaus                 </t>
  </si>
  <si>
    <t>Jaar</t>
  </si>
  <si>
    <t>Maand</t>
  </si>
  <si>
    <t>Aug.</t>
  </si>
  <si>
    <t>Sept.</t>
  </si>
  <si>
    <t>Okt.</t>
  </si>
  <si>
    <t>Nov.</t>
  </si>
  <si>
    <t>Dec.</t>
  </si>
  <si>
    <t>Jan.</t>
  </si>
  <si>
    <t>Feb.</t>
  </si>
  <si>
    <t>Mrt.</t>
  </si>
  <si>
    <t>Apr.</t>
  </si>
  <si>
    <t>Verkiezingen</t>
  </si>
  <si>
    <t>Intr. th8</t>
  </si>
  <si>
    <t>mtfd</t>
  </si>
  <si>
    <t>MTFD-II</t>
  </si>
  <si>
    <t>MTFD-III</t>
  </si>
  <si>
    <t>MTFD-IV</t>
  </si>
  <si>
    <t>Vylander-I</t>
  </si>
  <si>
    <t>TheJelleFish</t>
  </si>
  <si>
    <t>Quintonius-I</t>
  </si>
  <si>
    <t>Quintonius-II</t>
  </si>
  <si>
    <t>Quintonius-III</t>
  </si>
  <si>
    <t>Vylander-II</t>
  </si>
  <si>
    <t>Vyl.-III</t>
  </si>
  <si>
    <t>Vylander-IV</t>
  </si>
  <si>
    <t>Jespert.</t>
  </si>
  <si>
    <t>Partijen</t>
  </si>
  <si>
    <t>PVV (1)</t>
  </si>
  <si>
    <t>PVV (3)</t>
  </si>
  <si>
    <t>pvv
(3)</t>
  </si>
  <si>
    <t>PVV (4)</t>
  </si>
  <si>
    <t>PVV (2)</t>
  </si>
  <si>
    <t>FVD (2)</t>
  </si>
  <si>
    <t>FVD (4)</t>
  </si>
  <si>
    <t>FVD (3)</t>
  </si>
  <si>
    <t xml:space="preserve">
Kamer
van
25
naar
35
zetels</t>
  </si>
  <si>
    <t>DdK (1)</t>
  </si>
  <si>
    <t>VVD (4)</t>
  </si>
  <si>
    <t>FSP (2)</t>
  </si>
  <si>
    <t>gvs
(2)</t>
  </si>
  <si>
    <t>LU (2)</t>
  </si>
  <si>
    <t>SVN (1)</t>
  </si>
  <si>
    <t>VVD (3)</t>
  </si>
  <si>
    <t>VVD (2)</t>
  </si>
  <si>
    <t>vvd
(3)</t>
  </si>
  <si>
    <t>GPN (2)</t>
  </si>
  <si>
    <t>gpn</t>
  </si>
  <si>
    <t>VVD (6)</t>
  </si>
  <si>
    <t>AEIÖU (3)</t>
  </si>
  <si>
    <t>vvd
(4)</t>
  </si>
  <si>
    <t>CDA (1)</t>
  </si>
  <si>
    <t>LPF (3)</t>
  </si>
  <si>
    <t>PP (1)</t>
  </si>
  <si>
    <t>PP (2)</t>
  </si>
  <si>
    <t>cda</t>
  </si>
  <si>
    <t>D66 (7)</t>
  </si>
  <si>
    <t>Onafh. (1)</t>
  </si>
  <si>
    <t>dnl
(2)</t>
  </si>
  <si>
    <t>D66 (5)</t>
  </si>
  <si>
    <t>CU (2)</t>
  </si>
  <si>
    <t>D66 (6)</t>
  </si>
  <si>
    <t>DNL (2)</t>
  </si>
  <si>
    <t>d66
(6)</t>
  </si>
  <si>
    <t>CU (3)</t>
  </si>
  <si>
    <t>CDA (3)</t>
  </si>
  <si>
    <t>GR (6)</t>
  </si>
  <si>
    <t>D66 (3)</t>
  </si>
  <si>
    <t>D66 (4)</t>
  </si>
  <si>
    <t>GR (1)</t>
  </si>
  <si>
    <t>STR (1)</t>
  </si>
  <si>
    <t>GR (7)</t>
  </si>
  <si>
    <t>PGV (5)</t>
  </si>
  <si>
    <t>PGV (7)</t>
  </si>
  <si>
    <t>GL (4)</t>
  </si>
  <si>
    <t>Th8 (1)</t>
  </si>
  <si>
    <t>GL (5)</t>
  </si>
  <si>
    <t>GL (2)</t>
  </si>
  <si>
    <t>GR (5)</t>
  </si>
  <si>
    <t>RPN (3)</t>
  </si>
  <si>
    <t>RPN (4)</t>
  </si>
  <si>
    <t>PSP (3)</t>
  </si>
  <si>
    <t>PvdA (3)</t>
  </si>
  <si>
    <t>GR (2)</t>
  </si>
  <si>
    <t>D'18 (4)</t>
  </si>
  <si>
    <t>PSP (2)</t>
  </si>
  <si>
    <t>S&amp;V (2)</t>
  </si>
  <si>
    <t>PvdA (2)</t>
  </si>
  <si>
    <t>LPU (5)</t>
  </si>
  <si>
    <t>SDAP (5)</t>
  </si>
  <si>
    <t>da'19 (8)</t>
  </si>
  <si>
    <t>SP (1)</t>
  </si>
  <si>
    <t xml:space="preserve">SP-CPN (4) </t>
  </si>
  <si>
    <t>PvdA (1)</t>
  </si>
  <si>
    <t>Onafh.</t>
  </si>
  <si>
    <t>CPN (4)</t>
  </si>
  <si>
    <t xml:space="preserve">CPN (3) </t>
  </si>
  <si>
    <t>MPN (3)</t>
  </si>
  <si>
    <t>CPN (3)</t>
  </si>
  <si>
    <t>MBE (4)</t>
  </si>
  <si>
    <t xml:space="preserve">CPN (2) </t>
  </si>
  <si>
    <t>SDC (5)</t>
  </si>
  <si>
    <t>SDC (3)</t>
  </si>
  <si>
    <t>SP (4)</t>
  </si>
</sst>
</file>

<file path=xl/styles.xml><?xml version="1.0" encoding="utf-8"?>
<styleSheet xmlns="http://schemas.openxmlformats.org/spreadsheetml/2006/main" xmlns:x14ac="http://schemas.microsoft.com/office/spreadsheetml/2009/9/ac" xmlns:mc="http://schemas.openxmlformats.org/markup-compatibility/2006">
  <numFmts count="11">
    <numFmt numFmtId="164" formatCode="dd-mM-yyyy HH:mm"/>
    <numFmt numFmtId="165" formatCode="DDD"/>
    <numFmt numFmtId="166" formatCode="dd&quot;-&quot;mm&quot;-&quot;yyyy&quot; &quot;hh&quot;:&quot;mm"/>
    <numFmt numFmtId="167" formatCode="dd-mm-yyyy"/>
    <numFmt numFmtId="168" formatCode="dd-mm-yyyy h:mm"/>
    <numFmt numFmtId="169" formatCode="mmm d"/>
    <numFmt numFmtId="170" formatCode="mmmm. d"/>
    <numFmt numFmtId="171" formatCode="mmm&quot;. &quot;d"/>
    <numFmt numFmtId="172" formatCode="mmmm yyyy"/>
    <numFmt numFmtId="173" formatCode="mmm yyyy"/>
    <numFmt numFmtId="174" formatCode="[$€-2]\ #,##0.00"/>
  </numFmts>
  <fonts count="441">
    <font>
      <sz val="10.0"/>
      <color rgb="FF000000"/>
      <name val="Arial"/>
    </font>
    <font>
      <b/>
      <color rgb="FF000000"/>
      <name val="Lato"/>
    </font>
    <font>
      <b/>
      <sz val="36.0"/>
      <color rgb="FFFFFFFF"/>
      <name val="Lato"/>
    </font>
    <font/>
    <font>
      <b/>
      <sz val="14.0"/>
      <color rgb="FFFFFFFF"/>
      <name val="Lato"/>
    </font>
    <font>
      <b/>
      <sz val="13.0"/>
      <color rgb="FFFFFFFF"/>
      <name val="Lato"/>
    </font>
    <font>
      <b/>
      <sz val="12.0"/>
      <name val="Lato"/>
    </font>
    <font>
      <b/>
      <u/>
      <sz val="11.0"/>
      <color rgb="FF1155CC"/>
      <name val="Lato"/>
    </font>
    <font>
      <b/>
      <u/>
      <sz val="11.0"/>
      <color rgb="FF1155CC"/>
      <name val="Lato"/>
    </font>
    <font>
      <color rgb="FFFFFFFF"/>
      <name val="Lato"/>
    </font>
    <font>
      <b/>
      <sz val="10.0"/>
      <color rgb="FFFFFFFF"/>
      <name val="Lato"/>
    </font>
    <font>
      <sz val="12.0"/>
      <color rgb="FF000000"/>
      <name val="Lato"/>
    </font>
    <font>
      <b/>
      <sz val="11.0"/>
      <color rgb="FF1155CC"/>
      <name val="Lato"/>
    </font>
    <font>
      <name val="Lato"/>
    </font>
    <font>
      <sz val="11.0"/>
      <name val="Lato"/>
    </font>
    <font>
      <b/>
      <u/>
      <sz val="12.0"/>
      <color rgb="FF1155CC"/>
      <name val="Lato"/>
    </font>
    <font>
      <b/>
      <u/>
      <sz val="12.0"/>
      <color rgb="FF0000FF"/>
      <name val="Lato"/>
    </font>
    <font>
      <b/>
      <sz val="14.0"/>
      <color rgb="FF000000"/>
      <name val="Lato"/>
    </font>
    <font>
      <b/>
      <sz val="11.0"/>
      <color rgb="FF000000"/>
      <name val="Lato"/>
    </font>
    <font>
      <b/>
      <sz val="12.0"/>
      <color rgb="FF000000"/>
      <name val="Lato"/>
    </font>
    <font>
      <b/>
      <sz val="14.0"/>
      <color rgb="FFDE0000"/>
      <name val="Lato"/>
    </font>
    <font>
      <b/>
      <sz val="14.0"/>
      <color rgb="FFF1C232"/>
      <name val="Lato"/>
    </font>
    <font>
      <b/>
      <sz val="11.0"/>
      <color rgb="FFF1C232"/>
      <name val="Lato"/>
    </font>
    <font>
      <b/>
      <sz val="14.0"/>
      <color rgb="FFFF9900"/>
      <name val="Lato"/>
    </font>
    <font>
      <b/>
      <sz val="11.0"/>
      <color rgb="FFFF9900"/>
      <name val="Lato"/>
    </font>
    <font>
      <b/>
      <sz val="12.0"/>
      <color rgb="FFFFFFFF"/>
      <name val="Lato"/>
    </font>
    <font>
      <b/>
      <u/>
      <sz val="12.0"/>
      <color rgb="FF1155CC"/>
      <name val="Lato"/>
    </font>
    <font>
      <u/>
      <sz val="12.0"/>
      <color rgb="FF0000FF"/>
      <name val="Lato"/>
    </font>
    <font>
      <b/>
      <sz val="14.0"/>
      <color rgb="FF990000"/>
      <name val="Lato"/>
    </font>
    <font>
      <b/>
      <sz val="11.0"/>
      <color rgb="FFFFFFFF"/>
      <name val="Lato"/>
    </font>
    <font>
      <i/>
      <u/>
      <sz val="12.0"/>
      <color rgb="FF1155CC"/>
      <name val="Lato"/>
    </font>
    <font>
      <b/>
      <sz val="7.0"/>
      <color rgb="FF990000"/>
      <name val="Lato"/>
    </font>
    <font>
      <u/>
      <sz val="12.0"/>
      <color rgb="FF1155CC"/>
      <name val="Lato"/>
    </font>
    <font>
      <b/>
      <u/>
      <sz val="13.0"/>
      <color rgb="FF1155CC"/>
      <name val="Lato"/>
    </font>
    <font>
      <b/>
      <sz val="13.0"/>
      <color rgb="FF000000"/>
      <name val="Lato"/>
    </font>
    <font>
      <u/>
      <sz val="12.0"/>
      <color rgb="FFFD6C58"/>
      <name val="Lato"/>
    </font>
    <font>
      <u/>
      <sz val="12.0"/>
      <color rgb="FF008000"/>
      <name val="Lato"/>
    </font>
    <font>
      <b/>
      <u/>
      <sz val="18.0"/>
      <color rgb="FF0000FF"/>
      <name val="Lato"/>
    </font>
    <font>
      <b/>
      <u/>
      <sz val="18.0"/>
      <color rgb="FF0000FF"/>
      <name val="Lato"/>
    </font>
    <font>
      <i/>
      <sz val="7.0"/>
      <color rgb="FF000000"/>
      <name val="Lato"/>
    </font>
    <font>
      <b/>
      <sz val="16.0"/>
      <color rgb="FFFFFFFF"/>
      <name val="Lato"/>
    </font>
    <font>
      <b/>
      <u/>
      <sz val="12.0"/>
      <color rgb="FFFFFFFF"/>
      <name val="Lato"/>
    </font>
    <font>
      <b/>
      <u/>
      <sz val="12.0"/>
      <color rgb="FFFFFFFF"/>
      <name val="Lato"/>
    </font>
    <font>
      <b/>
      <u/>
      <sz val="12.0"/>
      <color rgb="FFFFFFFF"/>
      <name val="Lato"/>
    </font>
    <font>
      <b/>
      <u/>
      <sz val="12.0"/>
      <color rgb="FFFFFFFF"/>
      <name val="Lato"/>
    </font>
    <font>
      <b/>
      <u/>
      <sz val="12.0"/>
      <color rgb="FFFFFFFF"/>
      <name val="Lato"/>
    </font>
    <font>
      <b/>
      <name val="Lato"/>
    </font>
    <font>
      <b/>
      <color rgb="FFC53929"/>
      <name val="Lato"/>
    </font>
    <font>
      <sz val="11.0"/>
      <color rgb="FFFFFFFF"/>
      <name val="Lato"/>
    </font>
    <font>
      <strike/>
      <sz val="11.0"/>
      <color rgb="FFFFFFFF"/>
      <name val="Lato"/>
    </font>
    <font>
      <sz val="11.0"/>
      <color rgb="FF000000"/>
      <name val="Lato"/>
    </font>
    <font>
      <strike/>
      <sz val="11.0"/>
      <color rgb="FF000000"/>
      <name val="Lato"/>
    </font>
    <font>
      <u/>
      <color rgb="FF666666"/>
      <name val="Lato"/>
    </font>
    <font>
      <u/>
      <color rgb="FF666666"/>
      <name val="Lato"/>
    </font>
    <font>
      <u/>
      <color rgb="FF666666"/>
      <name val="Lato"/>
    </font>
    <font>
      <u/>
      <color rgb="FF666666"/>
      <name val="Lato"/>
    </font>
    <font>
      <u/>
      <color rgb="FF666666"/>
      <name val="Lato"/>
    </font>
    <font>
      <u/>
      <color rgb="FF666666"/>
      <name val="Lato"/>
    </font>
    <font>
      <u/>
      <color rgb="FF666666"/>
      <name val="Lato"/>
    </font>
    <font>
      <color rgb="FF666666"/>
      <name val="Lato"/>
    </font>
    <font>
      <sz val="11.0"/>
      <color rgb="FFF1C232"/>
      <name val="Lato"/>
    </font>
    <font>
      <sz val="11.0"/>
      <color rgb="FFFF9900"/>
      <name val="Lato"/>
    </font>
    <font>
      <strike/>
      <sz val="11.0"/>
      <color rgb="FFFF9900"/>
      <name val="Lato"/>
    </font>
    <font>
      <b/>
      <sz val="11.0"/>
      <name val="Lato"/>
    </font>
    <font>
      <b/>
      <sz val="11.0"/>
      <color rgb="FFC53929"/>
      <name val="Lato"/>
    </font>
    <font>
      <b/>
      <u/>
      <sz val="12.0"/>
      <color rgb="FFFFFFFF"/>
      <name val="Lato"/>
    </font>
    <font>
      <b/>
      <u/>
      <sz val="12.0"/>
      <color rgb="FFFFFFFF"/>
      <name val="Lato"/>
    </font>
    <font>
      <b/>
      <u/>
      <sz val="12.0"/>
      <color rgb="FFFFFFFF"/>
      <name val="Lato"/>
    </font>
    <font>
      <b/>
      <u/>
      <sz val="12.0"/>
      <color rgb="FFFFFFFF"/>
      <name val="Lato"/>
    </font>
    <font>
      <b/>
      <u/>
      <sz val="12.0"/>
      <color rgb="FFFFFFFF"/>
      <name val="Lato"/>
    </font>
    <font>
      <b/>
      <u/>
      <sz val="12.0"/>
      <color rgb="FFFFFFFF"/>
      <name val="Lato"/>
    </font>
    <font>
      <b/>
      <u/>
      <sz val="12.0"/>
      <color rgb="FFFFFFFF"/>
      <name val="Lato"/>
    </font>
    <font>
      <b/>
      <strike/>
      <sz val="11.0"/>
      <color rgb="FF000000"/>
      <name val="Lato"/>
    </font>
    <font>
      <u/>
      <color rgb="FF666666"/>
      <name val="Lato"/>
    </font>
    <font>
      <u/>
      <color rgb="FF666666"/>
      <name val="Lato"/>
    </font>
    <font>
      <u/>
      <color rgb="FF666666"/>
      <name val="Lato"/>
    </font>
    <font>
      <u/>
      <color rgb="FF666666"/>
      <name val="Lato"/>
    </font>
    <font>
      <u/>
      <color rgb="FF666666"/>
      <name val="Lato"/>
    </font>
    <font>
      <u/>
      <color rgb="FF666666"/>
      <name val="Lato"/>
    </font>
    <font>
      <u/>
      <color rgb="FF666666"/>
      <name val="Lato"/>
    </font>
    <font>
      <b/>
      <color rgb="FFFFFFFF"/>
      <name val="Lato"/>
    </font>
    <font>
      <b/>
      <sz val="9.0"/>
      <name val="Lato"/>
    </font>
    <font>
      <b/>
      <sz val="8.0"/>
      <name val="Lato"/>
    </font>
    <font>
      <b/>
      <sz val="9.0"/>
      <color rgb="FFFFFFFF"/>
      <name val="Lato"/>
    </font>
    <font>
      <b/>
      <sz val="9.0"/>
      <color rgb="FF000000"/>
      <name val="Lato"/>
    </font>
    <font>
      <sz val="8.0"/>
      <name val="Lato"/>
    </font>
    <font>
      <b/>
      <sz val="9.0"/>
      <color rgb="FF434343"/>
      <name val="Lato"/>
    </font>
    <font>
      <name val="Arial"/>
    </font>
    <font>
      <sz val="11.0"/>
      <color rgb="FF353535"/>
      <name val="Lato"/>
    </font>
    <font>
      <color rgb="FF000000"/>
      <name val="Arial"/>
    </font>
    <font>
      <b/>
      <color rgb="FF000000"/>
    </font>
    <font>
      <b/>
      <sz val="13.0"/>
      <color rgb="FFF1C232"/>
      <name val="Lato"/>
    </font>
    <font>
      <b/>
      <sz val="12.0"/>
      <color rgb="FFF1C232"/>
      <name val="Lato"/>
    </font>
    <font>
      <b/>
      <sz val="12.0"/>
      <color rgb="FFFFD966"/>
      <name val="Lato"/>
    </font>
    <font>
      <b/>
      <sz val="14.0"/>
      <color rgb="FFFFD966"/>
      <name val="Lato"/>
    </font>
    <font>
      <b/>
      <sz val="14.0"/>
      <color rgb="FFFFEA00"/>
      <name val="Lato"/>
    </font>
    <font>
      <b/>
      <u/>
      <sz val="12.0"/>
      <color rgb="FF1155CC"/>
      <name val="Lato"/>
    </font>
    <font>
      <u/>
      <sz val="12.0"/>
      <color rgb="FF1155CC"/>
      <name val="Lato"/>
    </font>
    <font>
      <b/>
      <u/>
      <sz val="24.0"/>
      <color rgb="FF0000FF"/>
      <name val="Lato"/>
    </font>
    <font>
      <b/>
      <color rgb="FFFFD966"/>
    </font>
    <font>
      <b/>
      <sz val="21.0"/>
      <color rgb="FFFFFFFF"/>
      <name val="Lato"/>
    </font>
    <font>
      <b/>
      <sz val="30.0"/>
      <color rgb="FFFFFFFF"/>
      <name val="Lato"/>
    </font>
    <font>
      <b/>
      <u/>
      <sz val="11.0"/>
      <color rgb="FF1155CC"/>
    </font>
    <font>
      <b/>
      <sz val="11.0"/>
      <color rgb="FF000000"/>
    </font>
    <font>
      <b/>
      <u/>
      <sz val="11.0"/>
      <color rgb="FF1155CC"/>
    </font>
    <font>
      <b/>
      <u/>
      <sz val="11.0"/>
      <color rgb="FF1155CC"/>
      <name val="Arial"/>
    </font>
    <font>
      <b/>
      <u/>
      <sz val="11.0"/>
      <color rgb="FF1155CC"/>
    </font>
    <font>
      <b/>
      <u/>
      <sz val="12.0"/>
      <color rgb="FF0000FF"/>
    </font>
    <font>
      <b/>
      <u/>
      <sz val="11.0"/>
      <color rgb="FF0000FF"/>
    </font>
    <font>
      <b/>
      <u/>
      <sz val="11.0"/>
      <color rgb="FF1155CC"/>
    </font>
    <font>
      <b/>
      <u/>
      <sz val="11.0"/>
      <color rgb="FF1155CC"/>
      <name val="Arial"/>
    </font>
    <font>
      <b/>
      <u/>
      <sz val="11.0"/>
      <color rgb="FF1155CC"/>
    </font>
    <font>
      <b/>
      <u/>
      <sz val="12.0"/>
      <color rgb="FF0000FF"/>
    </font>
    <font>
      <b/>
      <u/>
      <sz val="11.0"/>
      <color rgb="FF0000FF"/>
    </font>
    <font>
      <b/>
      <u/>
      <sz val="18.0"/>
      <color rgb="FF1155CC"/>
      <name val="Arial"/>
    </font>
    <font>
      <b/>
      <u/>
      <sz val="18.0"/>
      <color rgb="FF1155CC"/>
      <name val="Arial"/>
    </font>
    <font>
      <b/>
      <u/>
      <sz val="11.0"/>
      <color rgb="FF0000FF"/>
    </font>
    <font>
      <b/>
      <u/>
      <sz val="12.0"/>
      <color rgb="FF0000FF"/>
    </font>
    <font>
      <b/>
      <sz val="35.0"/>
      <color rgb="FFFFFFFF"/>
    </font>
    <font>
      <b/>
      <sz val="13.0"/>
    </font>
    <font>
      <b/>
      <sz val="14.0"/>
    </font>
    <font>
      <b/>
    </font>
    <font>
      <color rgb="FFFFD966"/>
    </font>
    <font>
      <b/>
      <color rgb="FFFFFFFF"/>
    </font>
    <font>
      <b/>
      <sz val="10.0"/>
      <color rgb="FFFFFFFF"/>
    </font>
    <font>
      <sz val="10.0"/>
      <color rgb="FF000000"/>
    </font>
    <font>
      <b/>
      <sz val="14.0"/>
      <color rgb="FFFFFFFF"/>
    </font>
    <font>
      <b/>
      <sz val="11.0"/>
      <color rgb="FFFFFFFF"/>
    </font>
    <font>
      <sz val="11.0"/>
      <color rgb="FFFFFFFF"/>
    </font>
    <font>
      <sz val="11.0"/>
      <color rgb="FF000000"/>
    </font>
    <font>
      <b/>
      <sz val="11.0"/>
      <color rgb="FFFFFFFF"/>
      <name val="Arial"/>
    </font>
    <font>
      <b/>
      <sz val="11.0"/>
      <color rgb="FFF1C232"/>
    </font>
    <font>
      <b/>
      <sz val="10.0"/>
      <color rgb="FF000000"/>
    </font>
    <font>
      <sz val="11.0"/>
      <color rgb="FF000000"/>
      <name val="Arial"/>
    </font>
    <font>
      <b/>
      <sz val="12.0"/>
      <color rgb="FFFFFFFF"/>
      <name val="Arial"/>
    </font>
    <font>
      <b/>
      <sz val="12.0"/>
      <color rgb="FFF1C232"/>
    </font>
    <font>
      <b/>
      <sz val="12.0"/>
      <color rgb="FFFFFFFF"/>
    </font>
    <font>
      <b/>
      <sz val="12.0"/>
      <color rgb="FF000000"/>
      <name val="Arial"/>
    </font>
    <font>
      <b/>
      <sz val="12.0"/>
      <color rgb="FF990000"/>
      <name val="Arial"/>
    </font>
    <font>
      <b/>
      <sz val="11.0"/>
      <color rgb="FF990000"/>
    </font>
    <font>
      <b/>
      <sz val="12.0"/>
      <color rgb="FFFD8C24"/>
      <name val="Arial"/>
    </font>
    <font>
      <b/>
      <sz val="11.0"/>
      <color rgb="FFFD8C24"/>
    </font>
    <font>
      <b/>
      <sz val="10.0"/>
      <color rgb="FFFD8C24"/>
    </font>
    <font>
      <b/>
      <sz val="12.0"/>
      <color rgb="FF000000"/>
    </font>
    <font>
      <b/>
      <i/>
      <sz val="15.0"/>
      <color rgb="FFFFFFFF"/>
      <name val="Arial"/>
    </font>
    <font>
      <color rgb="FFFFFFFF"/>
      <name val="Arial"/>
    </font>
    <font>
      <b/>
      <sz val="10.0"/>
      <color rgb="FFFFFFFF"/>
      <name val="Arial"/>
    </font>
    <font>
      <b/>
      <sz val="13.0"/>
      <color rgb="FFFFFFFF"/>
      <name val="Arial"/>
    </font>
    <font>
      <sz val="11.0"/>
      <color rgb="FFFFFFFF"/>
      <name val="Arial"/>
    </font>
    <font>
      <b/>
      <sz val="11.0"/>
      <color rgb="FF000000"/>
      <name val="Arial"/>
    </font>
    <font>
      <b/>
      <name val="Arial"/>
    </font>
    <font>
      <b/>
      <color rgb="FFFFFFFF"/>
      <name val="Arial"/>
    </font>
    <font>
      <strike/>
      <color rgb="FF0000FF"/>
      <name val="Arial"/>
    </font>
    <font>
      <b/>
      <u/>
      <color rgb="FF0000FF"/>
      <name val="Arial"/>
    </font>
    <font>
      <b/>
      <color rgb="FF000000"/>
      <name val="Arial"/>
    </font>
    <font>
      <b/>
      <u/>
      <color rgb="FF0000FF"/>
      <name val="Arial"/>
    </font>
    <font>
      <u/>
      <color rgb="FF0000FF"/>
      <name val="Arial"/>
    </font>
    <font>
      <u/>
      <color rgb="FF0000FF"/>
      <name val="Arial"/>
    </font>
    <font>
      <b/>
      <color rgb="FFF1C232"/>
      <name val="Arial"/>
    </font>
    <font>
      <b/>
      <sz val="9.0"/>
      <name val="Arial"/>
    </font>
    <font>
      <b/>
      <sz val="10.0"/>
      <color rgb="FFFD8C24"/>
      <name val="Arial"/>
    </font>
    <font>
      <b/>
      <sz val="10.0"/>
      <name val="Arial"/>
    </font>
    <font>
      <b/>
      <u/>
      <color rgb="FF0000FF"/>
      <name val="Arial"/>
    </font>
    <font>
      <b/>
      <sz val="10.0"/>
      <color rgb="FF000000"/>
      <name val="Arial"/>
    </font>
    <font>
      <u/>
      <color rgb="FF0000FF"/>
      <name val="Arial"/>
    </font>
    <font>
      <b/>
      <u/>
      <color rgb="FF0000FF"/>
      <name val="Arial"/>
    </font>
    <font>
      <b/>
      <u/>
      <color rgb="FF0000FF"/>
      <name val="Arial"/>
    </font>
    <font>
      <b/>
      <u/>
      <color rgb="FF0000FF"/>
      <name val="Arial"/>
    </font>
    <font>
      <b/>
      <sz val="10.0"/>
      <color rgb="FFFFD966"/>
      <name val="Arial"/>
    </font>
    <font>
      <b/>
      <u/>
      <color rgb="FFFFFFFF"/>
      <name val="Arial"/>
    </font>
    <font>
      <b/>
      <sz val="10.0"/>
      <color rgb="FFFFEA00"/>
      <name val="Arial"/>
    </font>
    <font>
      <b/>
      <strike/>
      <u/>
      <color rgb="FF0000FF"/>
      <name val="Arial"/>
    </font>
    <font>
      <strike/>
      <u/>
      <color rgb="FF0000FF"/>
      <name val="Arial"/>
    </font>
    <font>
      <b/>
      <u/>
      <color rgb="FFFFFFFF"/>
      <name val="Arial"/>
    </font>
    <font>
      <u/>
      <color rgb="FF0000FF"/>
      <name val="Arial"/>
    </font>
    <font>
      <b/>
      <sz val="10.0"/>
      <color rgb="FFFF9900"/>
      <name val="Arial"/>
    </font>
    <font>
      <b/>
      <strike/>
      <u/>
      <color rgb="FF0000FF"/>
      <name val="Arial"/>
    </font>
    <font>
      <u/>
      <color rgb="FF0000FF"/>
      <name val="Arial"/>
    </font>
    <font>
      <b/>
      <sz val="10.0"/>
      <color rgb="FF00A651"/>
      <name val="Arial"/>
    </font>
    <font>
      <u/>
      <color rgb="FF0000FF"/>
      <name val="Arial"/>
    </font>
    <font>
      <b/>
      <u/>
      <color rgb="FF0000FF"/>
      <name val="Arial"/>
    </font>
    <font>
      <b/>
      <u/>
      <color rgb="FF0000FF"/>
      <name val="Arial"/>
    </font>
    <font>
      <u/>
      <sz val="10.0"/>
      <color rgb="FF0000FF"/>
      <name val="Arial"/>
    </font>
    <font>
      <b/>
      <sz val="10.0"/>
      <color rgb="FFF1C232"/>
      <name val="Arial"/>
    </font>
    <font>
      <u/>
      <sz val="10.0"/>
      <color rgb="FF0000FF"/>
      <name val="Arial"/>
    </font>
    <font>
      <sz val="10.0"/>
      <color rgb="FFFF9900"/>
      <name val="Arial"/>
    </font>
    <font>
      <strike/>
      <u/>
      <sz val="10.0"/>
      <color rgb="FF0000FF"/>
      <name val="Arial"/>
    </font>
    <font>
      <u/>
      <sz val="10.0"/>
      <color rgb="FF1155CC"/>
      <name val="Arial"/>
    </font>
    <font>
      <u/>
      <sz val="10.0"/>
      <color rgb="FF1155CC"/>
      <name val="Arial"/>
    </font>
    <font>
      <b/>
      <u/>
      <sz val="10.0"/>
      <color rgb="FF1155CC"/>
      <name val="Arial"/>
    </font>
    <font>
      <u/>
      <sz val="10.0"/>
      <color rgb="FF0000FF"/>
      <name val="Arial"/>
    </font>
    <font>
      <u/>
      <sz val="10.0"/>
      <color rgb="FF1155CC"/>
      <name val="Arial"/>
    </font>
    <font>
      <u/>
      <color rgb="FF0000FF"/>
    </font>
    <font>
      <sz val="10.0"/>
      <name val="Arial"/>
    </font>
    <font>
      <u/>
      <sz val="10.0"/>
      <color rgb="FF1155CC"/>
      <name val="Arial"/>
    </font>
    <font>
      <b/>
      <sz val="11.0"/>
      <name val="Arial"/>
    </font>
    <font>
      <u/>
      <color rgb="FF0000FF"/>
      <name val="Arial"/>
    </font>
    <font>
      <b/>
      <u/>
      <color rgb="FF0000FF"/>
      <name val="Arial"/>
    </font>
    <font>
      <u/>
      <color rgb="FF1155CC"/>
      <name val="Arial"/>
    </font>
    <font>
      <b/>
      <u/>
      <color rgb="FF0000FF"/>
      <name val="Arial"/>
    </font>
    <font>
      <u/>
      <color rgb="FF0000FF"/>
      <name val="Arial"/>
    </font>
    <font>
      <b/>
      <u/>
      <color rgb="FF0000FF"/>
      <name val="Arial"/>
    </font>
    <font>
      <b/>
      <u/>
      <color rgb="FF0000FF"/>
      <name val="Arial"/>
    </font>
    <font>
      <b/>
      <u/>
      <color rgb="FF0000FF"/>
      <name val="Arial"/>
    </font>
    <font>
      <b/>
      <u/>
      <color rgb="FF1155CC"/>
      <name val="Arial"/>
    </font>
    <font>
      <strike/>
      <u/>
      <color rgb="FF0000FF"/>
      <name val="Arial"/>
    </font>
    <font>
      <b/>
      <u/>
      <color rgb="FF1155CC"/>
      <name val="Arial"/>
    </font>
    <font>
      <b/>
      <u/>
      <color rgb="FF0000FF"/>
      <name val="Arial"/>
    </font>
    <font>
      <u/>
      <color rgb="FF0000FF"/>
      <name val="Arial"/>
    </font>
    <font>
      <u/>
      <color rgb="FF0000FF"/>
      <name val="Arial"/>
    </font>
    <font>
      <u/>
      <color rgb="FF0000FF"/>
      <name val="Arial"/>
    </font>
    <font>
      <u/>
      <color rgb="FF0000FF"/>
      <name val="Arial"/>
    </font>
    <font>
      <u/>
      <color rgb="FF0000FF"/>
      <name val="Arial"/>
    </font>
    <font>
      <u/>
      <color rgb="FF0000FF"/>
      <name val="Arial"/>
    </font>
    <font>
      <u/>
      <color rgb="FF0000FF"/>
      <name val="Arial"/>
    </font>
    <font>
      <u/>
      <sz val="9.0"/>
      <color rgb="FF1155CC"/>
      <name val="Arial"/>
    </font>
    <font>
      <u/>
      <sz val="11.0"/>
      <color rgb="FF1155CC"/>
      <name val="Arial"/>
    </font>
    <font>
      <u/>
      <color rgb="FF0000FF"/>
      <name val="Arial"/>
    </font>
    <font>
      <b/>
      <u/>
      <color rgb="FF1155CC"/>
      <name val="Arial"/>
    </font>
    <font>
      <b/>
      <i/>
      <sz val="15.0"/>
      <color rgb="FFFFFFFF"/>
      <name val="Lato"/>
    </font>
    <font>
      <u/>
      <color rgb="FF0000FF"/>
      <name val="Lato"/>
    </font>
    <font>
      <u/>
      <color rgb="FF0000FF"/>
      <name val="Lato"/>
    </font>
    <font>
      <b/>
      <color rgb="FFF1C232"/>
      <name val="Lato"/>
    </font>
    <font>
      <u/>
      <color rgb="FF0000FF"/>
      <name val="Lato"/>
    </font>
    <font>
      <b/>
      <sz val="10.0"/>
      <color rgb="FF000000"/>
      <name val="Lato"/>
    </font>
    <font>
      <u/>
      <color rgb="FF0000FF"/>
      <name val="Lato"/>
    </font>
    <font>
      <u/>
      <color rgb="FF0000FF"/>
      <name val="Lato"/>
    </font>
    <font>
      <u/>
      <sz val="10.0"/>
      <color rgb="FF1155CC"/>
      <name val="Lato"/>
    </font>
    <font>
      <b/>
      <sz val="10.0"/>
      <color rgb="FFFFEA00"/>
      <name val="Lato"/>
    </font>
    <font>
      <b/>
      <sz val="10.0"/>
      <color rgb="FFFFD966"/>
      <name val="Lato"/>
    </font>
    <font>
      <u/>
      <color rgb="FF0000FF"/>
      <name val="Lato"/>
    </font>
    <font>
      <b/>
      <u/>
      <color rgb="FF0000FF"/>
      <name val="Lato"/>
    </font>
    <font>
      <u/>
      <color rgb="FF0000FF"/>
      <name val="Lato"/>
    </font>
    <font>
      <u/>
      <color rgb="FF0000FF"/>
      <name val="Lato"/>
    </font>
    <font>
      <b/>
      <sz val="10.0"/>
      <color rgb="FF00A651"/>
      <name val="Lato"/>
    </font>
    <font>
      <b/>
      <sz val="10.0"/>
      <color rgb="FFFF9900"/>
      <name val="Lato"/>
    </font>
    <font>
      <u/>
      <color rgb="FF0000FF"/>
      <name val="Lato"/>
    </font>
    <font>
      <strike/>
      <u/>
      <color rgb="FF0000FF"/>
      <name val="Lato"/>
    </font>
    <font>
      <u/>
      <color rgb="FF0000FF"/>
      <name val="Arial"/>
    </font>
    <font>
      <u/>
      <color rgb="FF1155CC"/>
      <name val="Arial"/>
    </font>
    <font>
      <u/>
      <color rgb="FF1155CC"/>
      <name val="Arial"/>
    </font>
    <font>
      <u/>
      <color rgb="FF1155CC"/>
      <name val="Arial"/>
    </font>
    <font>
      <b/>
      <sz val="33.0"/>
      <color rgb="FFFFFFFF"/>
      <name val="Lato"/>
    </font>
    <font>
      <b/>
      <sz val="13.0"/>
      <name val="Lato"/>
    </font>
    <font>
      <b/>
      <sz val="14.0"/>
      <name val="Lato"/>
    </font>
    <font>
      <b/>
      <color rgb="FFFFD966"/>
      <name val="Lato"/>
    </font>
    <font>
      <b/>
      <sz val="10.0"/>
      <color rgb="FF990000"/>
      <name val="Lato"/>
    </font>
    <font>
      <b/>
      <sz val="10.0"/>
      <name val="Lato"/>
    </font>
    <font>
      <b/>
      <sz val="10.0"/>
      <color rgb="FF38761D"/>
      <name val="Lato"/>
    </font>
    <font>
      <b/>
      <sz val="10.0"/>
      <color rgb="FFF1C232"/>
      <name val="Lato"/>
    </font>
    <font>
      <b/>
      <sz val="11.0"/>
      <color rgb="FF990000"/>
      <name val="Lato"/>
    </font>
    <font>
      <b/>
      <sz val="11.0"/>
      <color rgb="FF38761D"/>
      <name val="Lato"/>
    </font>
    <font>
      <b/>
      <sz val="11.0"/>
      <color rgb="FF00A651"/>
      <name val="Lato"/>
    </font>
    <font>
      <b/>
      <sz val="11.0"/>
      <color rgb="FFFFD966"/>
      <name val="Lato"/>
    </font>
    <font>
      <b/>
      <sz val="11.0"/>
      <color rgb="FFFF0000"/>
      <name val="Lato"/>
    </font>
    <font>
      <b/>
      <i/>
      <sz val="11.0"/>
      <color rgb="FFFFFFFF"/>
      <name val="Lato"/>
    </font>
    <font>
      <b/>
      <sz val="11.0"/>
      <color rgb="FFCC0000"/>
      <name val="Lato"/>
    </font>
    <font>
      <i/>
      <sz val="11.0"/>
      <name val="Lato"/>
    </font>
    <font>
      <b/>
      <sz val="12.0"/>
      <color rgb="FFFF9900"/>
      <name val="Lato"/>
    </font>
    <font>
      <b/>
      <sz val="12.0"/>
      <color rgb="FF990000"/>
      <name val="Lato"/>
    </font>
    <font>
      <b/>
      <sz val="11.0"/>
      <color rgb="FFEAD1DC"/>
      <name val="Lato"/>
    </font>
    <font>
      <b/>
      <sz val="2.0"/>
      <color rgb="FFFFFFFF"/>
      <name val="Lato"/>
    </font>
    <font>
      <b/>
      <sz val="11.0"/>
      <color rgb="FFFFEA00"/>
      <name val="Lato"/>
    </font>
    <font>
      <b/>
      <sz val="11.0"/>
      <color rgb="FF0066FF"/>
      <name val="Lato"/>
    </font>
    <font>
      <b/>
      <sz val="11.0"/>
      <color rgb="FFF3F3F3"/>
      <name val="Lato"/>
    </font>
    <font>
      <b/>
      <sz val="11.0"/>
      <color rgb="FFFCD116"/>
      <name val="Lato"/>
    </font>
    <font>
      <b/>
      <sz val="11.0"/>
      <color rgb="FFFD8C24"/>
      <name val="Lato"/>
    </font>
    <font>
      <i/>
      <color rgb="FF000000"/>
      <name val="Lato"/>
    </font>
    <font>
      <b/>
      <color rgb="FFFF9900"/>
      <name val="Lato"/>
    </font>
    <font>
      <sz val="10.0"/>
      <color rgb="FF000000"/>
      <name val="Lato"/>
    </font>
    <font>
      <sz val="10.0"/>
      <color rgb="FFFF9900"/>
      <name val="Lato"/>
    </font>
    <font>
      <sz val="10.0"/>
      <color rgb="FFFFFFFF"/>
      <name val="Lato"/>
    </font>
    <font>
      <i/>
      <sz val="10.0"/>
      <color rgb="FFFFFFFF"/>
      <name val="Lato"/>
    </font>
    <font>
      <b/>
      <color rgb="FF73C26F"/>
      <name val="Lato"/>
    </font>
    <font>
      <sz val="10.0"/>
      <color rgb="FF00A651"/>
      <name val="Lato"/>
    </font>
    <font>
      <sz val="10.0"/>
      <color rgb="FFF1C232"/>
      <name val="Lato"/>
    </font>
    <font>
      <color rgb="FFF1C232"/>
      <name val="Lato"/>
    </font>
    <font>
      <i/>
      <sz val="10.0"/>
      <color rgb="FF000000"/>
      <name val="Lato"/>
    </font>
    <font>
      <b/>
      <color rgb="FF990000"/>
      <name val="Lato"/>
    </font>
    <font>
      <color rgb="FF990000"/>
      <name val="Lato"/>
    </font>
    <font>
      <b/>
      <sz val="10.0"/>
      <color rgb="FFFD8C24"/>
      <name val="Lato"/>
    </font>
    <font>
      <b/>
      <color rgb="FFFD8C24"/>
      <name val="Lato"/>
    </font>
    <font>
      <b/>
      <sz val="40.0"/>
      <color rgb="FFFFFFFF"/>
      <name val="Lato"/>
    </font>
    <font>
      <sz val="10.0"/>
      <name val="Lato"/>
    </font>
    <font>
      <sz val="9.0"/>
      <name val="Lato"/>
    </font>
    <font>
      <b/>
      <sz val="18.0"/>
      <color rgb="FFFFFFFF"/>
      <name val="Lato"/>
    </font>
    <font>
      <b/>
      <sz val="15.0"/>
      <name val="Lato"/>
    </font>
    <font>
      <color rgb="FF000000"/>
      <name val="Lato"/>
    </font>
    <font>
      <sz val="9.0"/>
      <color rgb="FF000000"/>
      <name val="Lato"/>
    </font>
    <font>
      <u/>
      <sz val="10.0"/>
      <color rgb="FFFFFFFF"/>
      <name val="Lato"/>
    </font>
    <font>
      <b/>
      <sz val="18.0"/>
      <color rgb="FF000000"/>
      <name val="Lato"/>
    </font>
    <font>
      <b/>
      <color rgb="FF00A651"/>
      <name val="Lato"/>
    </font>
    <font>
      <b/>
      <sz val="18.0"/>
      <color rgb="FF00A651"/>
      <name val="Lato"/>
    </font>
    <font>
      <b/>
      <sz val="12.0"/>
      <color rgb="FF00A651"/>
      <name val="Lato"/>
    </font>
    <font>
      <b/>
      <sz val="18.0"/>
      <color rgb="FFF1C232"/>
      <name val="Lato"/>
    </font>
    <font>
      <i/>
      <u/>
      <sz val="10.0"/>
      <color rgb="FFFFFFFF"/>
      <name val="Lato"/>
    </font>
    <font>
      <b/>
      <i/>
      <color rgb="FF000000"/>
      <name val="Lato"/>
    </font>
    <font>
      <i/>
      <u/>
      <color rgb="FFFFFFFF"/>
      <name val="Lato"/>
    </font>
    <font>
      <i/>
      <u/>
      <color rgb="FFFFFFFF"/>
      <name val="Lato"/>
    </font>
    <font>
      <b/>
      <color rgb="FFF3F3F3"/>
      <name val="Lato"/>
    </font>
    <font>
      <b/>
      <u/>
      <sz val="14.0"/>
      <color rgb="FF1155CC"/>
      <name val="Lato"/>
    </font>
    <font>
      <b/>
      <sz val="18.0"/>
      <name val="Lato"/>
    </font>
    <font>
      <b/>
      <color rgb="FFCCCCCC"/>
      <name val="Lato"/>
    </font>
    <font>
      <u/>
      <color rgb="FF1155CC"/>
      <name val="Lato"/>
    </font>
    <font>
      <u/>
      <color rgb="FF1155CC"/>
      <name val="Lato"/>
    </font>
    <font>
      <u/>
      <color rgb="FF1155CC"/>
      <name val="Lato"/>
    </font>
    <font>
      <u/>
      <color rgb="FF1155CC"/>
      <name val="Lato"/>
    </font>
    <font>
      <u/>
      <color rgb="FF0000FF"/>
      <name val="Lato"/>
    </font>
    <font>
      <b/>
      <sz val="11.0"/>
      <color rgb="FF434343"/>
      <name val="Lato"/>
    </font>
    <font>
      <b/>
      <strike/>
      <sz val="11.0"/>
    </font>
    <font>
      <b/>
      <sz val="11.0"/>
    </font>
    <font>
      <b/>
      <sz val="25.0"/>
      <color rgb="FFFFFFFF"/>
      <name val="Lato"/>
    </font>
    <font>
      <i/>
      <sz val="11.0"/>
      <color rgb="FFFFFFFF"/>
      <name val="Lato"/>
    </font>
    <font>
      <b/>
      <i/>
      <sz val="10.0"/>
      <color rgb="FFFFFFFF"/>
      <name val="Lato"/>
    </font>
    <font>
      <b/>
      <u/>
      <sz val="12.0"/>
      <color rgb="FFFFFFFF"/>
      <name val="Lato"/>
    </font>
    <font>
      <b/>
      <strike/>
      <sz val="11.0"/>
      <color rgb="FFFF9900"/>
      <name val="Lato"/>
    </font>
    <font>
      <b/>
      <sz val="14.0"/>
      <color rgb="FF00A651"/>
      <name val="Lato"/>
    </font>
    <font>
      <sz val="11.0"/>
      <color rgb="FF00A651"/>
      <name val="Lato"/>
    </font>
    <font>
      <u/>
      <color rgb="FF666666"/>
    </font>
    <font>
      <u/>
      <color rgb="FF666666"/>
    </font>
    <font>
      <u/>
      <color rgb="FF666666"/>
    </font>
    <font>
      <u/>
      <color rgb="FF666666"/>
    </font>
    <font>
      <color rgb="FF666666"/>
    </font>
    <font>
      <color rgb="FF666666"/>
      <name val="Arial"/>
    </font>
    <font>
      <u/>
      <color rgb="FF666666"/>
      <name val="Arial"/>
    </font>
    <font>
      <u/>
      <color rgb="FF666666"/>
    </font>
    <font>
      <u/>
      <color rgb="FF666666"/>
    </font>
    <font>
      <u/>
      <color rgb="FF666666"/>
    </font>
    <font>
      <b/>
      <strike/>
      <sz val="11.0"/>
      <color rgb="FFF1C232"/>
      <name val="Lato"/>
    </font>
    <font>
      <b/>
      <i/>
      <sz val="14.0"/>
      <color rgb="FFFFFFFF"/>
      <name val="Lato"/>
    </font>
    <font>
      <sz val="12.0"/>
      <color rgb="FFFFFFFF"/>
      <name val="Lato"/>
    </font>
    <font>
      <strike/>
      <name val="Lato"/>
    </font>
    <font>
      <b/>
      <strike/>
      <name val="Lato"/>
    </font>
    <font>
      <strike/>
      <sz val="11.0"/>
      <color rgb="FF00A651"/>
      <name val="Lato"/>
    </font>
    <font>
      <u/>
      <color rgb="FF666666"/>
    </font>
    <font>
      <color rgb="FFF3F3F3"/>
      <name val="Lato"/>
    </font>
    <font>
      <b/>
      <u/>
      <sz val="12.0"/>
      <color rgb="FFFFFFFF"/>
      <name val="Lato"/>
    </font>
    <font>
      <u/>
      <color rgb="FF666666"/>
      <name val="Lato"/>
    </font>
    <font>
      <u/>
      <color rgb="FF666666"/>
      <name val="Lato"/>
    </font>
    <font>
      <u/>
      <color rgb="FF666666"/>
      <name val="Lato"/>
    </font>
    <font>
      <u/>
      <color rgb="FF666666"/>
      <name val="Lato"/>
    </font>
    <font>
      <u/>
      <color rgb="FF666666"/>
    </font>
    <font>
      <u/>
      <color rgb="FF666666"/>
      <name val="Lato"/>
    </font>
    <font>
      <u/>
      <color rgb="FF666666"/>
      <name val="Lato"/>
    </font>
    <font>
      <u/>
      <color rgb="FF666666"/>
      <name val="Lato"/>
    </font>
    <font>
      <b/>
      <strike/>
      <sz val="11.0"/>
      <color rgb="FFFFFFFF"/>
      <name val="Lato"/>
    </font>
    <font>
      <b/>
      <i/>
      <sz val="14.0"/>
      <color rgb="FFFFFFFF"/>
      <name val="Arial"/>
    </font>
    <font>
      <sz val="12.0"/>
      <color rgb="FFFFFFFF"/>
      <name val="Arial"/>
    </font>
    <font>
      <b/>
      <sz val="10.0"/>
      <color rgb="FFFFEA00"/>
    </font>
    <font>
      <b/>
      <color rgb="FFFFD966"/>
      <name val="Arial"/>
    </font>
    <font>
      <b/>
      <sz val="16.0"/>
      <color rgb="FFFFFFFF"/>
      <name val="Arial"/>
    </font>
    <font>
      <b/>
      <sz val="12.0"/>
      <color rgb="FFF1C232"/>
      <name val="Arial"/>
    </font>
    <font>
      <b/>
      <u/>
      <sz val="12.0"/>
      <color rgb="FFFFFFFF"/>
      <name val="Arial"/>
    </font>
    <font>
      <b/>
      <u/>
      <sz val="12.0"/>
      <color rgb="FFFFFFFF"/>
      <name val="Arial"/>
    </font>
    <font>
      <b/>
      <sz val="16.0"/>
      <color rgb="FFFFFFFF"/>
    </font>
    <font>
      <b/>
      <sz val="14.0"/>
      <color rgb="FFF1C232"/>
      <name val="Arial"/>
    </font>
    <font>
      <b/>
      <color rgb="FFC53929"/>
      <name val="Arial"/>
    </font>
    <font>
      <sz val="11.0"/>
      <color rgb="FFF1C232"/>
    </font>
    <font>
      <strike/>
      <sz val="11.0"/>
      <color rgb="FFF1C232"/>
      <name val="Arial"/>
    </font>
    <font>
      <sz val="11.0"/>
      <color rgb="FFF1C232"/>
      <name val="Arial"/>
    </font>
    <font>
      <b/>
      <sz val="14.0"/>
      <color rgb="FF000000"/>
      <name val="Arial"/>
    </font>
    <font>
      <strike/>
      <sz val="11.0"/>
      <color rgb="FF000000"/>
    </font>
    <font>
      <b/>
      <sz val="12.0"/>
      <color rgb="FFFFD966"/>
      <name val="Arial"/>
    </font>
    <font>
      <b/>
      <sz val="11.0"/>
      <color rgb="FFFFD966"/>
      <name val="Arial"/>
    </font>
    <font>
      <u/>
      <color rgb="FF666666"/>
      <name val="Arial"/>
    </font>
    <font>
      <u/>
      <color rgb="FF666666"/>
      <name val="Arial"/>
    </font>
    <font>
      <u/>
      <color rgb="FF666666"/>
      <name val="Arial"/>
    </font>
    <font>
      <u/>
      <color rgb="FF666666"/>
      <name val="Arial"/>
    </font>
    <font>
      <u/>
      <color rgb="FF666666"/>
      <name val="Arial"/>
    </font>
    <font>
      <strike/>
      <sz val="11.0"/>
      <color rgb="FF000000"/>
      <name val="Arial"/>
    </font>
    <font>
      <b/>
      <sz val="12.0"/>
      <color rgb="FF990000"/>
    </font>
    <font>
      <b/>
      <sz val="12.0"/>
      <color rgb="FFFFEA00"/>
    </font>
    <font>
      <b/>
      <sz val="11.0"/>
      <color rgb="FFFFEA00"/>
    </font>
    <font>
      <b/>
      <strike/>
      <sz val="11.0"/>
      <color rgb="FFFFFFFF"/>
    </font>
    <font>
      <b/>
      <sz val="16.0"/>
      <color rgb="FFFFFFFF"/>
      <name val="Inconsolata"/>
    </font>
    <font>
      <b/>
      <sz val="11.0"/>
      <color rgb="FFC53929"/>
      <name val="Arial"/>
    </font>
    <font>
      <color rgb="FFF3F3F3"/>
      <name val="Arial"/>
    </font>
    <font>
      <b/>
      <sz val="18.0"/>
      <color rgb="FFFFFFFF"/>
      <name val="Arial"/>
    </font>
    <font>
      <b/>
      <sz val="11.0"/>
      <color rgb="FFF1C232"/>
      <name val="Arial"/>
    </font>
    <font>
      <b/>
      <sz val="14.0"/>
      <color rgb="FFFFFFFF"/>
      <name val="Arial"/>
    </font>
    <font>
      <sz val="11.0"/>
    </font>
    <font>
      <u/>
      <color rgb="FF666666"/>
    </font>
    <font>
      <u/>
      <color rgb="FF666666"/>
    </font>
    <font>
      <u/>
      <color rgb="FF666666"/>
    </font>
    <font>
      <u/>
      <color rgb="FF666666"/>
    </font>
    <font>
      <b/>
      <sz val="14.0"/>
      <color rgb="FF990000"/>
    </font>
    <font>
      <sz val="11.0"/>
      <name val="Arial"/>
    </font>
    <font>
      <u/>
      <color rgb="FF666666"/>
      <name val="Arial"/>
    </font>
    <font>
      <u/>
      <color rgb="FF666666"/>
      <name val="Arial"/>
    </font>
    <font>
      <u/>
      <color rgb="FF666666"/>
      <name val="Arial"/>
    </font>
    <font>
      <strike/>
      <sz val="11.0"/>
      <color rgb="FFF1C232"/>
    </font>
    <font>
      <b/>
      <strike/>
      <sz val="11.0"/>
      <color rgb="FF990000"/>
    </font>
    <font>
      <b/>
      <strike/>
      <sz val="11.0"/>
      <color rgb="FFFFFFFF"/>
      <name val="Arial"/>
    </font>
    <font>
      <b/>
      <sz val="20.0"/>
      <color rgb="FFFFFFFF"/>
      <name val="Arial"/>
    </font>
    <font>
      <b/>
      <u/>
      <sz val="12.0"/>
      <color rgb="FFFFFFFF"/>
      <name val="Arial"/>
    </font>
    <font>
      <b/>
      <u/>
      <sz val="12.0"/>
      <color rgb="FFFFFFFF"/>
      <name val="Arial"/>
    </font>
    <font>
      <u/>
      <color rgb="FF666666"/>
    </font>
    <font>
      <u/>
      <color rgb="FF666666"/>
    </font>
    <font>
      <sz val="11.0"/>
      <color rgb="FFC53929"/>
      <name val="Arial"/>
    </font>
    <font>
      <strike/>
      <sz val="11.0"/>
      <color rgb="FFFFFFFF"/>
      <name val="Arial"/>
    </font>
    <font>
      <b/>
      <sz val="13.0"/>
      <color rgb="FF000000"/>
      <name val="Arial"/>
    </font>
    <font>
      <b/>
      <strike/>
      <sz val="11.0"/>
      <color rgb="FF000000"/>
      <name val="Arial"/>
    </font>
    <font>
      <u/>
      <color rgb="FF666666"/>
    </font>
    <font>
      <u/>
      <color rgb="FF666666"/>
    </font>
    <font>
      <u/>
      <color rgb="FF666666"/>
    </font>
    <font>
      <sz val="11.0"/>
      <color rgb="FF990000"/>
    </font>
    <font>
      <u/>
      <color rgb="FF666666"/>
    </font>
    <font>
      <b/>
      <sz val="14.0"/>
      <color rgb="FFFFFFFF"/>
      <name val="Roboto"/>
    </font>
    <font>
      <b/>
      <sz val="14.0"/>
      <color rgb="FF990000"/>
      <name val="Arial"/>
    </font>
    <font>
      <b/>
      <sz val="11.0"/>
      <color rgb="FF990000"/>
      <name val="Arial"/>
    </font>
    <font>
      <strike/>
      <sz val="11.0"/>
      <color rgb="FFFFFFFF"/>
    </font>
    <font>
      <b/>
      <strike/>
      <sz val="11.0"/>
      <color rgb="FFF1C232"/>
    </font>
    <font>
      <strike/>
      <sz val="11.0"/>
      <name val="Arial"/>
    </font>
    <font>
      <u/>
      <color rgb="FF666666"/>
    </font>
    <font>
      <strike/>
      <sz val="11.0"/>
    </font>
    <font>
      <b/>
      <sz val="14.0"/>
      <color rgb="FFFD8C24"/>
      <name val="Arial"/>
    </font>
    <font>
      <strike/>
      <sz val="11.0"/>
      <color rgb="FFFD8C24"/>
      <name val="Arial"/>
    </font>
    <font>
      <b/>
      <sz val="11.0"/>
      <color rgb="FFFD8C24"/>
      <name val="Arial"/>
    </font>
    <font>
      <b/>
      <u/>
      <sz val="12.0"/>
      <color rgb="FFFFFFFF"/>
      <name val="Arial"/>
    </font>
    <font>
      <u/>
      <color rgb="FF666666"/>
    </font>
    <font>
      <u/>
      <color rgb="FF666666"/>
    </font>
    <font>
      <u/>
      <color rgb="FF666666"/>
    </font>
    <font>
      <b/>
      <u/>
      <color rgb="FF666666"/>
    </font>
    <font>
      <b/>
      <u/>
      <color rgb="FF666666"/>
    </font>
    <font>
      <b/>
      <strike/>
      <sz val="11.0"/>
      <color rgb="FFFD8C24"/>
      <name val="Arial"/>
    </font>
    <font>
      <b/>
      <color rgb="FF666666"/>
    </font>
    <font>
      <b/>
      <sz val="10.0"/>
      <color rgb="FF990000"/>
    </font>
    <font>
      <b/>
      <sz val="10.0"/>
    </font>
    <font>
      <b/>
      <sz val="10.0"/>
      <color rgb="FF38761D"/>
    </font>
    <font>
      <sz val="10.0"/>
    </font>
    <font>
      <b/>
      <sz val="10.0"/>
      <color rgb="FF990000"/>
      <name val="Arial"/>
    </font>
    <font>
      <b/>
      <sz val="10.0"/>
      <color rgb="FF0066FF"/>
      <name val="Arial"/>
    </font>
    <font>
      <b/>
      <sz val="10.0"/>
      <color rgb="FFFFE600"/>
    </font>
    <font>
      <b/>
      <sz val="10.0"/>
      <color rgb="FF00A651"/>
    </font>
    <font>
      <b/>
      <sz val="10.0"/>
      <color rgb="FF274E13"/>
      <name val="Arial"/>
    </font>
    <font>
      <b/>
      <color rgb="FFFD8C24"/>
    </font>
    <font>
      <b/>
      <sz val="10.0"/>
      <color rgb="FFCC0000"/>
    </font>
    <font>
      <b/>
      <sz val="10.0"/>
      <color rgb="FFFF0000"/>
      <name val="Arial"/>
    </font>
    <font>
      <b/>
      <sz val="10.0"/>
      <color rgb="FFFFE600"/>
      <name val="Arial"/>
    </font>
    <font>
      <b/>
      <sz val="10.0"/>
      <color rgb="FFFFD966"/>
    </font>
    <font>
      <b/>
      <color rgb="FFF1C232"/>
    </font>
  </fonts>
  <fills count="69">
    <fill>
      <patternFill patternType="none"/>
    </fill>
    <fill>
      <patternFill patternType="lightGray"/>
    </fill>
    <fill>
      <patternFill patternType="solid">
        <fgColor rgb="FFF3F3F3"/>
        <bgColor rgb="FFF3F3F3"/>
      </patternFill>
    </fill>
    <fill>
      <patternFill patternType="solid">
        <fgColor rgb="FF072F84"/>
        <bgColor rgb="FF072F84"/>
      </patternFill>
    </fill>
    <fill>
      <patternFill patternType="solid">
        <fgColor rgb="FFFFFFFF"/>
        <bgColor rgb="FFFFFFFF"/>
      </patternFill>
    </fill>
    <fill>
      <patternFill patternType="solid">
        <fgColor rgb="FF8BD86B"/>
        <bgColor rgb="FF8BD86B"/>
      </patternFill>
    </fill>
    <fill>
      <patternFill patternType="solid">
        <fgColor rgb="FFB7B7B7"/>
        <bgColor rgb="FFB7B7B7"/>
      </patternFill>
    </fill>
    <fill>
      <patternFill patternType="solid">
        <fgColor rgb="FFDE0000"/>
        <bgColor rgb="FFDE0000"/>
      </patternFill>
    </fill>
    <fill>
      <patternFill patternType="solid">
        <fgColor rgb="FF434343"/>
        <bgColor rgb="FF434343"/>
      </patternFill>
    </fill>
    <fill>
      <patternFill patternType="solid">
        <fgColor rgb="FFEA9999"/>
        <bgColor rgb="FFEA9999"/>
      </patternFill>
    </fill>
    <fill>
      <patternFill patternType="solid">
        <fgColor rgb="FF313233"/>
        <bgColor rgb="FF313233"/>
      </patternFill>
    </fill>
    <fill>
      <patternFill patternType="solid">
        <fgColor rgb="FF38761D"/>
        <bgColor rgb="FF38761D"/>
      </patternFill>
    </fill>
    <fill>
      <patternFill patternType="solid">
        <fgColor rgb="FF070569"/>
        <bgColor rgb="FF070569"/>
      </patternFill>
    </fill>
    <fill>
      <patternFill patternType="solid">
        <fgColor rgb="FF1767C6"/>
        <bgColor rgb="FF1767C6"/>
      </patternFill>
    </fill>
    <fill>
      <patternFill patternType="solid">
        <fgColor rgb="FFFFE600"/>
        <bgColor rgb="FFFFE600"/>
      </patternFill>
    </fill>
    <fill>
      <patternFill patternType="solid">
        <fgColor rgb="FF45818E"/>
        <bgColor rgb="FF45818E"/>
      </patternFill>
    </fill>
    <fill>
      <patternFill patternType="solid">
        <fgColor rgb="FF674EA7"/>
        <bgColor rgb="FF674EA7"/>
      </patternFill>
    </fill>
    <fill>
      <patternFill patternType="solid">
        <fgColor rgb="FF666666"/>
        <bgColor rgb="FF666666"/>
      </patternFill>
    </fill>
    <fill>
      <patternFill patternType="solid">
        <fgColor rgb="FFF4C7C3"/>
        <bgColor rgb="FFF4C7C3"/>
      </patternFill>
    </fill>
    <fill>
      <patternFill patternType="solid">
        <fgColor rgb="FFD9EAD3"/>
        <bgColor rgb="FFD9EAD3"/>
      </patternFill>
    </fill>
    <fill>
      <patternFill patternType="solid">
        <fgColor rgb="FFFFF2CC"/>
        <bgColor rgb="FFFFF2CC"/>
      </patternFill>
    </fill>
    <fill>
      <patternFill patternType="solid">
        <fgColor rgb="FFB7E1CD"/>
        <bgColor rgb="FFB7E1CD"/>
      </patternFill>
    </fill>
    <fill>
      <patternFill patternType="solid">
        <fgColor rgb="FFF4CCCC"/>
        <bgColor rgb="FFF4CCCC"/>
      </patternFill>
    </fill>
    <fill>
      <patternFill patternType="solid">
        <fgColor rgb="FFCCCCCC"/>
        <bgColor rgb="FFCCCCCC"/>
      </patternFill>
    </fill>
    <fill>
      <patternFill patternType="solid">
        <fgColor rgb="FF00FFFF"/>
        <bgColor rgb="FF00FFFF"/>
      </patternFill>
    </fill>
    <fill>
      <patternFill patternType="solid">
        <fgColor rgb="FFFF0000"/>
        <bgColor rgb="FFFF0000"/>
      </patternFill>
    </fill>
    <fill>
      <patternFill patternType="solid">
        <fgColor rgb="FFF7F760"/>
        <bgColor rgb="FFF7F760"/>
      </patternFill>
    </fill>
    <fill>
      <patternFill patternType="solid">
        <fgColor rgb="FFFFD166"/>
        <bgColor rgb="FFFFD166"/>
      </patternFill>
    </fill>
    <fill>
      <patternFill patternType="solid">
        <fgColor rgb="FFCFE2F3"/>
        <bgColor rgb="FFCFE2F3"/>
      </patternFill>
    </fill>
    <fill>
      <patternFill patternType="solid">
        <fgColor rgb="FFFCD116"/>
        <bgColor rgb="FFFCD116"/>
      </patternFill>
    </fill>
    <fill>
      <patternFill patternType="solid">
        <fgColor rgb="FF6BBED8"/>
        <bgColor rgb="FF6BBED8"/>
      </patternFill>
    </fill>
    <fill>
      <patternFill patternType="solid">
        <fgColor rgb="FF0D4272"/>
        <bgColor rgb="FF0D4272"/>
      </patternFill>
    </fill>
    <fill>
      <patternFill patternType="solid">
        <fgColor rgb="FF990000"/>
        <bgColor rgb="FF990000"/>
      </patternFill>
    </fill>
    <fill>
      <patternFill patternType="solid">
        <fgColor rgb="FF2E498E"/>
        <bgColor rgb="FF2E498E"/>
      </patternFill>
    </fill>
    <fill>
      <patternFill patternType="solid">
        <fgColor rgb="FFFD8C24"/>
        <bgColor rgb="FFFD8C24"/>
      </patternFill>
    </fill>
    <fill>
      <patternFill patternType="solid">
        <fgColor rgb="FFA64D79"/>
        <bgColor rgb="FFA64D79"/>
      </patternFill>
    </fill>
    <fill>
      <patternFill patternType="solid">
        <fgColor rgb="FF470A47"/>
        <bgColor rgb="FF470A47"/>
      </patternFill>
    </fill>
    <fill>
      <patternFill patternType="solid">
        <fgColor rgb="FF00AF3F"/>
        <bgColor rgb="FF00AF3F"/>
      </patternFill>
    </fill>
    <fill>
      <patternFill patternType="solid">
        <fgColor rgb="FF73C26F"/>
        <bgColor rgb="FF73C26F"/>
      </patternFill>
    </fill>
    <fill>
      <patternFill patternType="solid">
        <fgColor rgb="FF783F04"/>
        <bgColor rgb="FF783F04"/>
      </patternFill>
    </fill>
    <fill>
      <patternFill patternType="solid">
        <fgColor rgb="FF274E13"/>
        <bgColor rgb="FF274E13"/>
      </patternFill>
    </fill>
    <fill>
      <patternFill patternType="solid">
        <fgColor rgb="FF999999"/>
        <bgColor rgb="FF999999"/>
      </patternFill>
    </fill>
    <fill>
      <patternFill patternType="solid">
        <fgColor rgb="FF6AA84F"/>
        <bgColor rgb="FF6AA84F"/>
      </patternFill>
    </fill>
    <fill>
      <patternFill patternType="solid">
        <fgColor rgb="FFE06666"/>
        <bgColor rgb="FFE06666"/>
      </patternFill>
    </fill>
    <fill>
      <patternFill patternType="solid">
        <fgColor rgb="FFF838CE"/>
        <bgColor rgb="FFF838CE"/>
      </patternFill>
    </fill>
    <fill>
      <patternFill patternType="solid">
        <fgColor rgb="FFF6B26B"/>
        <bgColor rgb="FFF6B26B"/>
      </patternFill>
    </fill>
    <fill>
      <patternFill patternType="solid">
        <fgColor rgb="FF5E085E"/>
        <bgColor rgb="FF5E085E"/>
      </patternFill>
    </fill>
    <fill>
      <patternFill patternType="solid">
        <fgColor rgb="FF93C47D"/>
        <bgColor rgb="FF93C47D"/>
      </patternFill>
    </fill>
    <fill>
      <patternFill patternType="solid">
        <fgColor rgb="FFF1C232"/>
        <bgColor rgb="FFF1C232"/>
      </patternFill>
    </fill>
    <fill>
      <patternFill patternType="solid">
        <fgColor rgb="FF00A651"/>
        <bgColor rgb="FF00A651"/>
      </patternFill>
    </fill>
    <fill>
      <patternFill patternType="solid">
        <fgColor rgb="FF82BC00"/>
        <bgColor rgb="FF82BC00"/>
      </patternFill>
    </fill>
    <fill>
      <patternFill patternType="solid">
        <fgColor rgb="FFEFEFEF"/>
        <bgColor rgb="FFEFEFEF"/>
      </patternFill>
    </fill>
    <fill>
      <patternFill patternType="solid">
        <fgColor rgb="FFCC0000"/>
        <bgColor rgb="FFCC0000"/>
      </patternFill>
    </fill>
    <fill>
      <patternFill patternType="solid">
        <fgColor rgb="FF153460"/>
        <bgColor rgb="FF153460"/>
      </patternFill>
    </fill>
    <fill>
      <patternFill patternType="solid">
        <fgColor rgb="FF732A86"/>
        <bgColor rgb="FF732A86"/>
      </patternFill>
    </fill>
    <fill>
      <patternFill patternType="solid">
        <fgColor rgb="FF6D9EEB"/>
        <bgColor rgb="FF6D9EEB"/>
      </patternFill>
    </fill>
    <fill>
      <patternFill patternType="solid">
        <fgColor rgb="FFD9D9D9"/>
        <bgColor rgb="FFD9D9D9"/>
      </patternFill>
    </fill>
    <fill>
      <patternFill patternType="solid">
        <fgColor rgb="FF741B47"/>
        <bgColor rgb="FF741B47"/>
      </patternFill>
    </fill>
    <fill>
      <patternFill patternType="solid">
        <fgColor rgb="FFE2001A"/>
        <bgColor rgb="FFE2001A"/>
      </patternFill>
    </fill>
    <fill>
      <patternFill patternType="solid">
        <fgColor rgb="FFFFE400"/>
        <bgColor rgb="FFFFE400"/>
      </patternFill>
    </fill>
    <fill>
      <patternFill patternType="solid">
        <fgColor rgb="FF003000"/>
        <bgColor rgb="FF003000"/>
      </patternFill>
    </fill>
    <fill>
      <patternFill patternType="solid">
        <fgColor rgb="FF003BD1"/>
        <bgColor rgb="FF003BD1"/>
      </patternFill>
    </fill>
    <fill>
      <patternFill patternType="solid">
        <fgColor rgb="FF000000"/>
        <bgColor rgb="FF000000"/>
      </patternFill>
    </fill>
    <fill>
      <patternFill patternType="solid">
        <fgColor rgb="FF1155CC"/>
        <bgColor rgb="FF1155CC"/>
      </patternFill>
    </fill>
    <fill>
      <patternFill patternType="solid">
        <fgColor rgb="FFFFEA00"/>
        <bgColor rgb="FFFFEA00"/>
      </patternFill>
    </fill>
    <fill>
      <patternFill patternType="solid">
        <fgColor rgb="FFB45F06"/>
        <bgColor rgb="FFB45F06"/>
      </patternFill>
    </fill>
    <fill>
      <patternFill patternType="solid">
        <fgColor rgb="FF0B5394"/>
        <bgColor rgb="FF0B5394"/>
      </patternFill>
    </fill>
    <fill>
      <patternFill patternType="solid">
        <fgColor rgb="FFFF9900"/>
        <bgColor rgb="FFFF9900"/>
      </patternFill>
    </fill>
    <fill>
      <patternFill patternType="solid">
        <fgColor rgb="FF980000"/>
        <bgColor rgb="FF980000"/>
      </patternFill>
    </fill>
  </fills>
  <borders count="231">
    <border/>
    <border>
      <left style="thin">
        <color rgb="FFF3F3F3"/>
      </left>
      <right style="thin">
        <color rgb="FFF3F3F3"/>
      </right>
      <top style="thin">
        <color rgb="FFF3F3F3"/>
      </top>
      <bottom style="thin">
        <color rgb="FFF3F3F3"/>
      </bottom>
    </border>
    <border>
      <left style="thick">
        <color rgb="FF000000"/>
      </left>
      <top style="thick">
        <color rgb="FF000000"/>
      </top>
      <bottom style="thin">
        <color rgb="FFF3F3F3"/>
      </bottom>
    </border>
    <border>
      <top style="thick">
        <color rgb="FF000000"/>
      </top>
      <bottom style="thin">
        <color rgb="FFF3F3F3"/>
      </bottom>
    </border>
    <border>
      <right style="thick">
        <color rgb="FF000000"/>
      </right>
      <top style="thick">
        <color rgb="FF000000"/>
      </top>
      <bottom style="thin">
        <color rgb="FFF3F3F3"/>
      </bottom>
    </border>
    <border>
      <right style="thin">
        <color rgb="FFF3F3F3"/>
      </right>
      <top style="thin">
        <color rgb="FFF3F3F3"/>
      </top>
      <bottom style="thin">
        <color rgb="FFF3F3F3"/>
      </bottom>
    </border>
    <border>
      <left style="thick">
        <color rgb="FF000000"/>
      </left>
      <bottom style="thick">
        <color rgb="FF000000"/>
      </bottom>
    </border>
    <border>
      <bottom style="thick">
        <color rgb="FF000000"/>
      </bottom>
    </border>
    <border>
      <right style="thick">
        <color rgb="FF000000"/>
      </right>
      <bottom style="thick">
        <color rgb="FF000000"/>
      </bottom>
    </border>
    <border>
      <left style="thin">
        <color rgb="FFF3F3F3"/>
      </left>
      <right style="thin">
        <color rgb="FFF3F3F3"/>
      </right>
    </border>
    <border>
      <left style="thin">
        <color rgb="FFF3F3F3"/>
      </left>
      <right style="thin">
        <color rgb="FFF3F3F3"/>
      </right>
      <bottom style="thin">
        <color rgb="FFF3F3F3"/>
      </bottom>
    </border>
    <border>
      <left style="thin">
        <color rgb="FFF3F3F3"/>
      </left>
      <right style="thin">
        <color rgb="FFF3F3F3"/>
      </right>
      <top style="thin">
        <color rgb="FFF3F3F3"/>
      </top>
    </border>
    <border>
      <left style="thin">
        <color rgb="FFF3F3F3"/>
      </left>
      <top style="thin">
        <color rgb="FFF3F3F3"/>
      </top>
      <bottom style="thin">
        <color rgb="FFF3F3F3"/>
      </bottom>
    </border>
    <border>
      <left style="medium">
        <color rgb="FF000000"/>
      </left>
      <right style="medium">
        <color rgb="FF000000"/>
      </right>
      <top style="medium">
        <color rgb="FF000000"/>
      </top>
    </border>
    <border>
      <top style="thin">
        <color rgb="FFF3F3F3"/>
      </top>
      <bottom style="thin">
        <color rgb="FFF3F3F3"/>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rder>
    <border>
      <right style="medium">
        <color rgb="FF000000"/>
      </right>
      <top style="medium">
        <color rgb="FF000000"/>
      </top>
    </border>
    <border>
      <left style="medium">
        <color rgb="FF000000"/>
      </left>
      <right style="medium">
        <color rgb="FF000000"/>
      </right>
      <bottom style="medium">
        <color rgb="FF000000"/>
      </bottom>
    </border>
    <border>
      <left style="thin">
        <color rgb="FFF3F3F3"/>
      </left>
      <top style="thin">
        <color rgb="FFF3F3F3"/>
      </top>
    </border>
    <border>
      <left style="medium">
        <color rgb="FF000000"/>
      </left>
      <bottom style="thick">
        <color rgb="FF000000"/>
      </bottom>
    </border>
    <border>
      <right style="medium">
        <color rgb="FF000000"/>
      </right>
      <bottom style="thick">
        <color rgb="FF000000"/>
      </bottom>
    </border>
    <border>
      <left style="medium">
        <color rgb="FF000000"/>
      </left>
      <bottom style="medium">
        <color rgb="FF000000"/>
      </bottom>
    </border>
    <border>
      <right style="medium">
        <color rgb="FF000000"/>
      </right>
      <bottom style="medium">
        <color rgb="FF000000"/>
      </bottom>
    </border>
    <border>
      <left style="medium">
        <color rgb="FF000000"/>
      </left>
      <right style="medium">
        <color rgb="FF000000"/>
      </right>
      <top style="medium">
        <color rgb="FF000000"/>
      </top>
      <bottom style="medium">
        <color rgb="FF000000"/>
      </bottom>
    </border>
    <border>
      <right style="thin">
        <color rgb="FF000000"/>
      </right>
      <top style="medium">
        <color rgb="FF000000"/>
      </top>
      <bottom style="medium">
        <color rgb="FF000000"/>
      </bottom>
    </border>
    <border>
      <left style="thin">
        <color rgb="FFF3F3F3"/>
      </left>
      <right style="thin">
        <color rgb="FFF3F3F3"/>
      </right>
      <bottom style="medium">
        <color rgb="FF000000"/>
      </bottom>
    </border>
    <border>
      <right style="thin">
        <color rgb="FFF3F3F3"/>
      </right>
      <bottom style="medium">
        <color rgb="FF000000"/>
      </bottom>
    </border>
    <border>
      <left style="medium">
        <color rgb="FF000000"/>
      </left>
    </border>
    <border>
      <right style="medium">
        <color rgb="FF000000"/>
      </right>
    </border>
    <border>
      <left style="medium">
        <color rgb="FF000000"/>
      </left>
      <right style="medium">
        <color rgb="FF000000"/>
      </right>
    </border>
    <border>
      <left style="medium">
        <color rgb="FF000000"/>
      </left>
      <right style="thin">
        <color rgb="FF000000"/>
      </right>
      <top style="medium">
        <color rgb="FF000000"/>
      </top>
      <bottom style="medium">
        <color rgb="FF000000"/>
      </bottom>
    </border>
    <border>
      <left style="medium">
        <color rgb="FF000000"/>
      </left>
      <right style="thin">
        <color rgb="FF000000"/>
      </right>
      <bottom style="medium">
        <color rgb="FF000000"/>
      </bottom>
    </border>
    <border>
      <right style="thin">
        <color rgb="FF000000"/>
      </right>
      <bottom style="medium">
        <color rgb="FF000000"/>
      </bottom>
    </border>
    <border>
      <right style="medium">
        <color rgb="FF000000"/>
      </right>
      <top style="thin">
        <color rgb="FFF3F3F3"/>
      </top>
      <bottom style="thin">
        <color rgb="FFF3F3F3"/>
      </bottom>
    </border>
    <border>
      <left style="medium">
        <color rgb="FF000000"/>
      </left>
      <right style="medium">
        <color rgb="FF000000"/>
      </right>
      <top style="thin">
        <color rgb="FFF3F3F3"/>
      </top>
    </border>
    <border>
      <right style="thin">
        <color rgb="FFF3F3F3"/>
      </right>
      <top style="thin">
        <color rgb="FFF3F3F3"/>
      </top>
    </border>
    <border>
      <left style="medium">
        <color rgb="FF000000"/>
      </left>
      <top style="medium">
        <color rgb="FF000000"/>
      </top>
      <bottom style="thin">
        <color rgb="FFF3F3F3"/>
      </bottom>
    </border>
    <border>
      <right style="medium">
        <color rgb="FF000000"/>
      </right>
      <top style="medium">
        <color rgb="FF000000"/>
      </top>
      <bottom style="thin">
        <color rgb="FFF3F3F3"/>
      </bottom>
    </border>
    <border>
      <right style="thin">
        <color rgb="FFF3F3F3"/>
      </right>
      <top style="thin">
        <color rgb="FF000000"/>
      </top>
      <bottom style="medium">
        <color rgb="FF000000"/>
      </bottom>
    </border>
    <border>
      <left style="thin">
        <color rgb="FF000000"/>
      </left>
    </border>
    <border>
      <left style="thin">
        <color rgb="FF000000"/>
      </left>
      <bottom style="thin">
        <color rgb="FF000000"/>
      </bottom>
    </border>
    <border>
      <bottom style="thin">
        <color rgb="FF000000"/>
      </bottom>
    </border>
    <border>
      <right style="thin">
        <color rgb="FF000000"/>
      </right>
      <bottom style="thin">
        <color rgb="FF000000"/>
      </bottom>
    </border>
    <border>
      <top style="medium">
        <color rgb="FF000000"/>
      </top>
    </border>
    <border>
      <right style="thin">
        <color rgb="FF000000"/>
      </right>
    </border>
    <border>
      <left style="thin">
        <color rgb="FF000000"/>
      </left>
      <top style="medium">
        <color rgb="FF000000"/>
      </top>
      <bottom style="medium">
        <color rgb="FF000000"/>
      </bottom>
    </border>
    <border>
      <left style="medium">
        <color rgb="FF000000"/>
      </left>
      <right style="thin">
        <color rgb="FFFFFFFF"/>
      </right>
      <top style="medium">
        <color rgb="FF000000"/>
      </top>
      <bottom style="medium">
        <color rgb="FF000000"/>
      </bottom>
    </border>
    <border>
      <right style="thin">
        <color rgb="FFFFFFFF"/>
      </right>
      <top style="medium">
        <color rgb="FF000000"/>
      </top>
      <bottom style="medium">
        <color rgb="FF000000"/>
      </bottom>
    </border>
    <border>
      <right style="medium">
        <color rgb="FF434343"/>
      </right>
      <bottom style="medium">
        <color rgb="FF000000"/>
      </bottom>
    </border>
    <border>
      <left style="thin">
        <color rgb="FF000000"/>
      </left>
      <right style="thin">
        <color rgb="FF000000"/>
      </right>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bottom style="medium">
        <color rgb="FF000000"/>
      </bottom>
    </border>
    <border>
      <left style="medium">
        <color rgb="FF000000"/>
      </left>
      <right style="medium">
        <color rgb="FF434343"/>
      </right>
      <top style="medium">
        <color rgb="FF000000"/>
      </top>
      <bottom style="medium">
        <color rgb="FF000000"/>
      </bottom>
    </border>
    <border>
      <left style="thin">
        <color rgb="FF000000"/>
      </left>
      <bottom style="medium">
        <color rgb="FF000000"/>
      </bottom>
    </border>
    <border>
      <right style="medium">
        <color rgb="FF434343"/>
      </righ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bottom style="medium">
        <color rgb="FF000000"/>
      </bottom>
    </border>
    <border>
      <right/>
      <bottom style="medium">
        <color rgb="FF000000"/>
      </bottom>
    </border>
    <border>
      <left style="thin">
        <color rgb="FF000000"/>
      </left>
      <right style="thin">
        <color rgb="FF000000"/>
      </right>
    </border>
    <border>
      <right style="medium">
        <color rgb="FF000000"/>
      </right>
      <bottom style="thin">
        <color rgb="FF000000"/>
      </bottom>
    </border>
    <border>
      <left style="thin">
        <color rgb="FF000000"/>
      </left>
      <right style="thin">
        <color rgb="FF000000"/>
      </right>
      <bottom style="thin">
        <color rgb="FF000000"/>
      </bottom>
    </border>
    <border>
      <left style="thick">
        <color rgb="FF000000"/>
      </left>
      <top style="thick">
        <color rgb="FF000000"/>
      </top>
      <bottom style="thick">
        <color rgb="FF000000"/>
      </bottom>
    </border>
    <border>
      <right style="thick">
        <color rgb="FF000000"/>
      </right>
      <top style="thick">
        <color rgb="FF000000"/>
      </top>
      <bottom style="thick">
        <color rgb="FF000000"/>
      </bottom>
    </border>
    <border>
      <right style="medium">
        <color rgb="FF000000"/>
      </right>
      <top style="thin">
        <color rgb="FF000000"/>
      </top>
      <bottom style="thin">
        <color rgb="FF000000"/>
      </bottom>
    </border>
    <border>
      <left style="medium">
        <color rgb="FF000000"/>
      </left>
      <bottom style="thin">
        <color rgb="FF000000"/>
      </bottom>
    </border>
    <border>
      <left style="thin">
        <color rgb="FF000000"/>
      </left>
      <right style="medium">
        <color rgb="FF000000"/>
      </right>
    </border>
    <border>
      <left style="medium">
        <color rgb="FF000000"/>
      </left>
      <right style="thin">
        <color rgb="FF000000"/>
      </right>
    </border>
    <border>
      <left style="thin">
        <color rgb="FF000000"/>
      </left>
      <right style="medium">
        <color rgb="FF000000"/>
      </right>
      <bottom style="thin">
        <color rgb="FF000000"/>
      </bottom>
    </border>
    <border>
      <left style="medium">
        <color rgb="FF000000"/>
      </left>
      <right style="thin">
        <color rgb="FF000000"/>
      </right>
      <bottom style="thin">
        <color rgb="FF000000"/>
      </bottom>
    </border>
    <border>
      <left style="thick">
        <color rgb="FF434343"/>
      </left>
      <top style="thick">
        <color rgb="FF434343"/>
      </top>
    </border>
    <border>
      <top style="thick">
        <color rgb="FF434343"/>
      </top>
    </border>
    <border>
      <right style="thick">
        <color rgb="FF434343"/>
      </right>
      <top style="thick">
        <color rgb="FF434343"/>
      </top>
    </border>
    <border>
      <left style="thick">
        <color rgb="FF434343"/>
      </left>
      <right style="thick">
        <color rgb="FF434343"/>
      </right>
      <top style="thick">
        <color rgb="FF434343"/>
      </top>
    </border>
    <border>
      <left style="thick">
        <color rgb="FF434343"/>
      </left>
      <bottom style="thick">
        <color rgb="FF434343"/>
      </bottom>
    </border>
    <border>
      <bottom style="thick">
        <color rgb="FF434343"/>
      </bottom>
    </border>
    <border>
      <right style="thick">
        <color rgb="FF434343"/>
      </right>
      <bottom style="thick">
        <color rgb="FF434343"/>
      </bottom>
    </border>
    <border>
      <left style="thick">
        <color rgb="FF434343"/>
      </left>
      <right style="thick">
        <color rgb="FF434343"/>
      </right>
      <bottom style="thick">
        <color rgb="FF434343"/>
      </bottom>
    </border>
    <border>
      <left style="thick">
        <color rgb="FF434343"/>
      </left>
      <right style="thick">
        <color rgb="FF434343"/>
      </right>
    </border>
    <border>
      <left style="thick">
        <color rgb="FF434343"/>
      </left>
      <right style="thick">
        <color rgb="FF434343"/>
      </right>
      <top style="thick">
        <color rgb="FF434343"/>
      </top>
      <bottom style="thick">
        <color rgb="FF434343"/>
      </bottom>
    </border>
    <border>
      <left style="thick">
        <color rgb="FF434343"/>
      </left>
      <right style="thin">
        <color rgb="FF434343"/>
      </right>
      <top style="thick">
        <color rgb="FF434343"/>
      </top>
    </border>
    <border>
      <right style="thin">
        <color rgb="FF434343"/>
      </right>
      <top style="thick">
        <color rgb="FF434343"/>
      </top>
      <bottom style="thick">
        <color rgb="FF434343"/>
      </bottom>
    </border>
    <border>
      <right style="thick">
        <color rgb="FF434343"/>
      </right>
      <top style="thick">
        <color rgb="FF434343"/>
      </top>
      <bottom style="thick">
        <color rgb="FF434343"/>
      </bottom>
    </border>
    <border>
      <right style="thin">
        <color rgb="FF434343"/>
      </right>
      <top style="thick">
        <color rgb="FF434343"/>
      </top>
    </border>
    <border>
      <right style="thick">
        <color rgb="FF666666"/>
      </right>
      <top style="thick">
        <color rgb="FF434343"/>
      </top>
    </border>
    <border>
      <right style="medium">
        <color rgb="FF666666"/>
      </right>
      <top style="thick">
        <color rgb="FF434343"/>
      </top>
    </border>
    <border>
      <right style="thin">
        <color rgb="FF434343"/>
      </right>
    </border>
    <border>
      <right style="thick">
        <color rgb="FF666666"/>
      </right>
    </border>
    <border>
      <left style="thick">
        <color rgb="FF666666"/>
      </left>
      <right style="thin">
        <color rgb="FF434343"/>
      </right>
    </border>
    <border>
      <right style="thick">
        <color rgb="FF434343"/>
      </right>
    </border>
    <border>
      <right style="medium">
        <color rgb="FF666666"/>
      </right>
    </border>
    <border>
      <right style="thick">
        <color rgb="FF000000"/>
      </right>
    </border>
    <border>
      <right style="thin">
        <color rgb="FF434343"/>
      </right>
      <bottom style="thick">
        <color rgb="FF434343"/>
      </bottom>
    </border>
    <border>
      <right style="thick">
        <color rgb="FF666666"/>
      </right>
      <bottom style="thick">
        <color rgb="FF434343"/>
      </bottom>
    </border>
    <border>
      <right style="medium">
        <color rgb="FF666666"/>
      </right>
      <bottom style="thick">
        <color rgb="FF434343"/>
      </bottom>
    </border>
    <border>
      <right style="medium">
        <color rgb="FF666666"/>
      </right>
      <bottom style="thick">
        <color rgb="FF000000"/>
      </bottom>
    </border>
    <border>
      <right style="thin">
        <color rgb="FF434343"/>
      </right>
      <bottom style="thick">
        <color rgb="FF000000"/>
      </bottom>
    </border>
    <border>
      <right style="thick">
        <color rgb="FF666666"/>
      </right>
      <top style="thick">
        <color rgb="FF000000"/>
      </top>
    </border>
    <border>
      <right style="thick">
        <color rgb="FF666666"/>
      </right>
      <bottom style="thick">
        <color rgb="FF000000"/>
      </bottom>
    </border>
    <border>
      <left style="thick">
        <color rgb="FF666666"/>
      </left>
      <right style="thin">
        <color rgb="FF434343"/>
      </right>
      <bottom style="thick">
        <color rgb="FF000000"/>
      </bottom>
    </border>
    <border>
      <right style="thick">
        <color rgb="FF434343"/>
      </right>
      <bottom style="thick">
        <color rgb="FF000000"/>
      </bottom>
    </border>
    <border>
      <left style="thin">
        <color rgb="FF000000"/>
      </left>
      <right style="thin">
        <color rgb="FF000000"/>
      </right>
      <bottom style="thick">
        <color rgb="FF000000"/>
      </bottom>
    </border>
    <border>
      <top style="thick">
        <color rgb="FF000000"/>
      </top>
    </border>
    <border>
      <top style="thin">
        <color rgb="FF000000"/>
      </top>
    </border>
    <border>
      <top style="medium">
        <color rgb="FF000000"/>
      </top>
      <bottom style="thin">
        <color rgb="FFF3F3F3"/>
      </bottom>
    </border>
    <border>
      <left style="medium">
        <color rgb="FF000000"/>
      </left>
      <right style="medium">
        <color rgb="FF000000"/>
      </right>
      <top style="thin">
        <color rgb="FF000000"/>
      </top>
    </border>
    <border>
      <left style="thin">
        <color rgb="FF000000"/>
      </left>
      <right style="medium">
        <color rgb="FF000000"/>
      </right>
      <top style="medium">
        <color rgb="FF000000"/>
      </top>
      <bottom style="medium">
        <color rgb="FF000000"/>
      </bottom>
    </border>
    <border>
      <left style="medium">
        <color rgb="FF000000"/>
      </left>
      <right style="medium">
        <color rgb="FF000000"/>
      </right>
      <bottom style="thin">
        <color rgb="FF000000"/>
      </bottom>
    </border>
    <border>
      <left style="thick">
        <color rgb="FF000000"/>
      </left>
      <top style="thick">
        <color rgb="FF000000"/>
      </top>
    </border>
    <border>
      <right style="thick">
        <color rgb="FF000000"/>
      </right>
      <top style="thick">
        <color rgb="FF000000"/>
      </top>
    </border>
    <border>
      <left style="thick">
        <color rgb="FF000000"/>
      </left>
      <right style="thick">
        <color rgb="FF000000"/>
      </right>
      <top style="thick">
        <color rgb="FF000000"/>
      </top>
    </border>
    <border>
      <top style="thick">
        <color rgb="FF000000"/>
      </top>
      <bottom style="thick">
        <color rgb="FF000000"/>
      </bottom>
    </border>
    <border>
      <left style="thick">
        <color rgb="FF000000"/>
      </left>
      <right style="thick">
        <color rgb="FF000000"/>
      </right>
      <top style="thick">
        <color rgb="FF000000"/>
      </top>
      <bottom style="thick">
        <color rgb="FF000000"/>
      </bottom>
    </border>
    <border>
      <left style="thick">
        <color rgb="FF000000"/>
      </left>
      <right style="thick">
        <color rgb="FF000000"/>
      </right>
      <bottom style="thick">
        <color rgb="FF000000"/>
      </bottom>
    </border>
    <border>
      <left style="thick">
        <color rgb="FF000000"/>
      </left>
      <right style="thick">
        <color rgb="FF000000"/>
      </right>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ck">
        <color rgb="FF000000"/>
      </left>
      <right style="thick">
        <color rgb="FF000000"/>
      </right>
      <top style="thick">
        <color rgb="FF000000"/>
      </top>
      <bottom style="thin">
        <color rgb="FFF3F3F3"/>
      </bottom>
    </border>
    <border>
      <left style="thick">
        <color rgb="FF000000"/>
      </left>
      <right style="thick">
        <color rgb="FF000000"/>
      </right>
      <top style="thin">
        <color rgb="FFF3F3F3"/>
      </top>
      <bottom style="thick">
        <color rgb="FF000000"/>
      </bottom>
    </border>
    <border>
      <left style="thick">
        <color rgb="FF000000"/>
      </left>
      <right style="thin">
        <color rgb="FFF3F3F3"/>
      </right>
      <top style="thick">
        <color rgb="FF000000"/>
      </top>
    </border>
    <border>
      <left style="thick">
        <color rgb="FF000000"/>
      </left>
      <right style="thin">
        <color rgb="FFF3F3F3"/>
      </right>
      <bottom style="thick">
        <color rgb="FF000000"/>
      </bottom>
    </border>
    <border>
      <left style="thin">
        <color rgb="FFF3F3F3"/>
      </left>
      <right style="thin">
        <color rgb="FFF3F3F3"/>
      </right>
      <top style="medium">
        <color rgb="FF000000"/>
      </top>
      <bottom style="medium">
        <color rgb="FF000000"/>
      </bottom>
    </border>
    <border>
      <left style="thin">
        <color rgb="FFF3F3F3"/>
      </left>
      <top style="medium">
        <color rgb="FF000000"/>
      </top>
      <bottom style="medium">
        <color rgb="FF000000"/>
      </bottom>
    </border>
    <border>
      <right style="thin">
        <color rgb="FFF3F3F3"/>
      </right>
      <top style="medium">
        <color rgb="FF000000"/>
      </top>
      <bottom style="medium">
        <color rgb="FF000000"/>
      </bottom>
    </border>
    <border>
      <right style="thin">
        <color rgb="FF000000"/>
      </right>
      <top style="thin">
        <color rgb="FF000000"/>
      </top>
    </border>
    <border>
      <right style="thin">
        <color rgb="FF000000"/>
      </right>
      <top style="medium">
        <color rgb="FF000000"/>
      </top>
    </border>
    <border>
      <left style="thin">
        <color rgb="FF000000"/>
      </left>
      <top style="medium">
        <color rgb="FF000000"/>
      </top>
    </border>
    <border>
      <left style="thin">
        <color rgb="FF38761D"/>
      </left>
      <top style="medium">
        <color rgb="FF000000"/>
      </top>
    </border>
    <border>
      <right style="thin">
        <color rgb="FFFFFFFF"/>
      </right>
    </border>
    <border>
      <left style="thin">
        <color rgb="FFFFFFFF"/>
      </left>
    </border>
    <border>
      <left style="thin">
        <color rgb="FF38761D"/>
      </left>
    </border>
    <border>
      <right style="thin">
        <color rgb="FF38761D"/>
      </right>
    </border>
    <border>
      <left style="thin">
        <color rgb="FFFF9900"/>
      </left>
    </border>
    <border>
      <right style="thin">
        <color rgb="FFF1C232"/>
      </right>
    </border>
    <border>
      <left style="thin">
        <color rgb="FFF1C232"/>
      </left>
    </border>
    <border>
      <left style="thin">
        <color rgb="FFF3F3F3"/>
      </left>
      <right style="thin">
        <color rgb="FFF3F3F3"/>
      </right>
      <top style="medium">
        <color rgb="FF000000"/>
      </top>
    </border>
    <border>
      <left style="thin">
        <color rgb="FFFFFFFF"/>
      </left>
      <right style="thin">
        <color rgb="FFFFFFFF"/>
      </right>
    </border>
    <border>
      <left style="thin">
        <color rgb="FFFFFFFF"/>
      </left>
      <top style="medium">
        <color rgb="FF000000"/>
      </top>
    </border>
    <border>
      <right style="thin">
        <color rgb="FFFFFFFF"/>
      </right>
      <top style="medium">
        <color rgb="FF000000"/>
      </top>
    </border>
    <border>
      <right style="thin">
        <color rgb="FF666666"/>
      </right>
    </border>
    <border>
      <right style="thin">
        <color rgb="FF990000"/>
      </right>
    </border>
    <border>
      <left style="thin">
        <color rgb="FF990000"/>
      </left>
    </border>
    <border>
      <right style="thin">
        <color rgb="FF000000"/>
      </right>
      <top style="thin">
        <color rgb="FF000000"/>
      </top>
      <bottom style="medium">
        <color rgb="FF000000"/>
      </bottom>
    </border>
    <border>
      <right style="thin">
        <color rgb="FFFFD966"/>
      </right>
    </border>
    <border>
      <left style="thin">
        <color rgb="FFFFD966"/>
      </left>
    </border>
    <border>
      <right style="thin">
        <color rgb="FF00A651"/>
      </right>
    </border>
    <border>
      <left style="thin">
        <color rgb="FF00A651"/>
      </left>
    </border>
    <border>
      <right style="thin">
        <color rgb="FFCC0000"/>
      </right>
    </border>
    <border>
      <left style="thin">
        <color rgb="FFCC0000"/>
      </left>
    </border>
    <border>
      <right/>
    </border>
    <border>
      <right style="thin">
        <color rgb="FFF3F3F3"/>
      </right>
    </border>
    <border>
      <left style="thin">
        <color rgb="FFF3F3F3"/>
      </left>
    </border>
    <border>
      <left style="thin">
        <color rgb="FF000000"/>
      </left>
      <right style="thin">
        <color rgb="FF000000"/>
      </right>
      <top style="double">
        <color rgb="FFFFFFFF"/>
      </top>
      <bottom style="thin">
        <color rgb="FF000000"/>
      </bottom>
    </border>
    <border>
      <top style="double">
        <color rgb="FF000000"/>
      </top>
    </border>
    <border>
      <right style="thin">
        <color rgb="FFFD8C24"/>
      </right>
    </border>
    <border>
      <left style="thin">
        <color rgb="FFFD8C24"/>
      </left>
    </border>
    <border>
      <right style="medium">
        <color rgb="FFFFFFFF"/>
      </right>
    </border>
    <border>
      <left style="medium">
        <color rgb="FF000000"/>
      </left>
      <top style="thin">
        <color rgb="FF000000"/>
      </top>
    </border>
    <border>
      <left style="medium">
        <color rgb="FF000000"/>
      </left>
      <right style="thin">
        <color rgb="FF000000"/>
      </right>
      <top style="thin">
        <color rgb="FF000000"/>
      </top>
    </border>
    <border>
      <left style="medium">
        <color rgb="FF000000"/>
      </left>
      <top style="thin">
        <color rgb="FF000000"/>
      </top>
      <bottom style="thin">
        <color rgb="FF000000"/>
      </bottom>
    </border>
    <border>
      <left style="medium">
        <color rgb="FF000000"/>
      </left>
      <top style="thick">
        <color rgb="FF000000"/>
      </top>
      <bottom style="medium">
        <color rgb="FF000000"/>
      </bottom>
    </border>
    <border>
      <right style="medium">
        <color rgb="FF000000"/>
      </right>
      <top style="thick">
        <color rgb="FF000000"/>
      </top>
      <bottom style="medium">
        <color rgb="FF000000"/>
      </bottom>
    </border>
    <border>
      <left style="medium">
        <color rgb="FF000000"/>
      </left>
      <top style="thick">
        <color rgb="FF000000"/>
      </top>
    </border>
    <border>
      <right style="medium">
        <color rgb="FF000000"/>
      </right>
      <top style="thick">
        <color rgb="FF000000"/>
      </top>
    </border>
    <border>
      <top style="thick">
        <color rgb="FF000000"/>
      </top>
      <bottom style="thin">
        <color rgb="FF000000"/>
      </bottom>
    </border>
    <border>
      <left style="medium">
        <color rgb="FF000000"/>
      </left>
      <right style="thin">
        <color rgb="FF000000"/>
      </right>
      <top style="thin">
        <color rgb="FF000000"/>
      </top>
      <bottom style="thin">
        <color rgb="FF000000"/>
      </bottom>
    </border>
    <border>
      <left style="medium">
        <color rgb="FF000000"/>
      </left>
      <right style="thin">
        <color rgb="FFF3F3F3"/>
      </right>
      <top style="thin">
        <color rgb="FFF3F3F3"/>
      </top>
    </border>
    <border>
      <right style="thin">
        <color rgb="FFF3F3F3"/>
      </right>
      <bottom style="thin">
        <color rgb="FF000000"/>
      </bottom>
    </border>
    <border>
      <left style="medium">
        <color rgb="FF000000"/>
      </left>
      <right style="medium">
        <color rgb="FF000000"/>
      </right>
      <top style="thick">
        <color rgb="FF000000"/>
      </top>
      <bottom style="medium">
        <color rgb="FF000000"/>
      </bottom>
    </border>
    <border>
      <left style="medium">
        <color rgb="FF000000"/>
      </left>
      <right style="thin">
        <color rgb="FFF3F3F3"/>
      </right>
    </border>
    <border>
      <left style="thick">
        <color rgb="FF000000"/>
      </left>
    </border>
    <border>
      <right style="double">
        <color rgb="FF000000"/>
      </right>
    </border>
    <border>
      <bottom style="double">
        <color rgb="FF000000"/>
      </bottom>
    </border>
    <border>
      <right style="double">
        <color rgb="FF000000"/>
      </right>
      <bottom style="double">
        <color rgb="FF000000"/>
      </bottom>
    </border>
    <border>
      <left style="medium">
        <color rgb="FF000000"/>
      </left>
      <right style="dotted">
        <color rgb="FF000000"/>
      </right>
      <top style="medium">
        <color rgb="FF000000"/>
      </top>
      <bottom style="medium">
        <color rgb="FF000000"/>
      </bottom>
    </border>
    <border>
      <right style="thin">
        <color rgb="FFF3F3F3"/>
      </right>
      <bottom style="thin">
        <color rgb="FFF3F3F3"/>
      </bottom>
    </border>
    <border>
      <left style="thin">
        <color rgb="FF000000"/>
      </left>
      <top style="thin">
        <color rgb="FF000000"/>
      </top>
      <bottom style="thin">
        <color rgb="FFF3F3F3"/>
      </bottom>
    </border>
    <border>
      <top style="thin">
        <color rgb="FF000000"/>
      </top>
      <bottom style="thin">
        <color rgb="FFF3F3F3"/>
      </bottom>
    </border>
    <border>
      <right style="thin">
        <color rgb="FFF3F3F3"/>
      </right>
      <top style="thin">
        <color rgb="FF000000"/>
      </top>
      <bottom style="thin">
        <color rgb="FFF3F3F3"/>
      </bottom>
    </border>
    <border>
      <right style="thin">
        <color rgb="FFF3F3F3"/>
      </right>
      <top style="thin">
        <color rgb="FF000000"/>
      </top>
    </border>
    <border>
      <bottom style="thin">
        <color rgb="FFF3F3F3"/>
      </bottom>
    </border>
    <border>
      <right style="medium">
        <color rgb="FF000000"/>
      </right>
      <bottom style="thin">
        <color rgb="FFF3F3F3"/>
      </bottom>
    </border>
    <border>
      <top style="thin">
        <color rgb="FFF3F3F3"/>
      </top>
    </border>
    <border>
      <left style="thin">
        <color rgb="FF008000"/>
      </left>
    </border>
    <border>
      <left style="thin">
        <color rgb="FF008000"/>
      </left>
      <bottom style="thin">
        <color rgb="FFF3F3F3"/>
      </bottom>
    </border>
    <border>
      <left style="thin">
        <color rgb="FF00A651"/>
      </left>
      <bottom style="thin">
        <color rgb="FFF3F3F3"/>
      </bottom>
    </border>
    <border>
      <left style="thin">
        <color rgb="FF000000"/>
      </left>
      <bottom style="thin">
        <color rgb="FFF3F3F3"/>
      </bottom>
    </border>
    <border>
      <right style="medium">
        <color rgb="FF000000"/>
      </right>
      <top style="thin">
        <color rgb="FF000000"/>
      </top>
    </border>
    <border>
      <left style="thin">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left style="thin">
        <color rgb="FF000000"/>
      </left>
      <top style="thin">
        <color rgb="FF000000"/>
      </top>
      <bottom style="thick">
        <color rgb="FF000000"/>
      </bottom>
    </border>
    <border>
      <left style="thin">
        <color rgb="FF000000"/>
      </left>
      <right style="thin">
        <color rgb="FF000000"/>
      </right>
      <top style="thin">
        <color rgb="FF000000"/>
      </top>
      <bottom style="thick">
        <color rgb="FF000000"/>
      </bottom>
    </border>
    <border>
      <left style="thick">
        <color rgb="FF000000"/>
      </left>
      <bottom style="medium">
        <color rgb="FF000000"/>
      </bottom>
    </border>
    <border>
      <right style="thick">
        <color rgb="FF000000"/>
      </right>
      <bottom style="medium">
        <color rgb="FF000000"/>
      </bottom>
    </border>
    <border>
      <left style="thick">
        <color rgb="FF000000"/>
      </left>
      <right style="thick">
        <color rgb="FF000000"/>
      </right>
      <bottom style="thin">
        <color rgb="FF000000"/>
      </bottom>
    </border>
    <border>
      <left style="thick">
        <color rgb="FF000000"/>
      </left>
      <right style="thick">
        <color rgb="FF000000"/>
      </right>
      <top style="thin">
        <color rgb="FF000000"/>
      </top>
      <bottom style="thin">
        <color rgb="FF000000"/>
      </bottom>
    </border>
    <border>
      <left style="thick">
        <color rgb="FF000000"/>
      </left>
      <right style="thick">
        <color rgb="FF000000"/>
      </right>
      <top style="thin">
        <color rgb="FF000000"/>
      </top>
    </border>
    <border>
      <left style="thick">
        <color rgb="FF000000"/>
      </left>
      <right style="thick">
        <color rgb="FF000000"/>
      </right>
      <top style="thin">
        <color rgb="FF000000"/>
      </top>
      <bottom style="thick">
        <color rgb="FF000000"/>
      </bottom>
    </border>
    <border>
      <left style="thin">
        <color rgb="FF000000"/>
      </left>
      <right style="thin">
        <color rgb="FF000000"/>
      </right>
      <top style="medium">
        <color rgb="FF000000"/>
      </top>
    </border>
    <border>
      <left style="thin">
        <color rgb="FF000000"/>
      </left>
      <bottom style="medium">
        <color rgb="FF434343"/>
      </bottom>
    </border>
    <border>
      <bottom style="medium">
        <color rgb="FF434343"/>
      </bottom>
    </border>
    <border>
      <right style="medium">
        <color rgb="FF434343"/>
      </right>
      <bottom style="medium">
        <color rgb="FF434343"/>
      </bottom>
    </border>
    <border>
      <right style="medium">
        <color rgb="FF434343"/>
      </right>
      <bottom style="thick">
        <color rgb="FF434343"/>
      </bottom>
    </border>
    <border>
      <left style="medium">
        <color rgb="FF000000"/>
      </left>
      <right style="medium">
        <color rgb="FF000000"/>
      </right>
      <bottom style="thick">
        <color rgb="FF000000"/>
      </bottom>
    </border>
    <border>
      <right style="medium">
        <color rgb="FF434343"/>
      </right>
      <bottom style="thick">
        <color rgb="FF000000"/>
      </bottom>
    </border>
    <border>
      <left style="thin">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right style="thin">
        <color rgb="FFF3F3F3"/>
      </right>
      <top style="medium">
        <color rgb="FF000000"/>
      </top>
    </border>
    <border>
      <left style="medium">
        <color rgb="FF000000"/>
      </left>
      <bottom style="thin">
        <color rgb="FFF3F3F3"/>
      </bottom>
    </border>
    <border>
      <left style="thin">
        <color rgb="FF000000"/>
      </left>
      <right style="thin">
        <color rgb="FFFFFFFF"/>
      </right>
      <top style="medium">
        <color rgb="FF000000"/>
      </top>
      <bottom style="medium">
        <color rgb="FF000000"/>
      </bottom>
    </border>
    <border>
      <left style="thin">
        <color rgb="FFFFFFFF"/>
      </left>
      <right style="thin">
        <color rgb="FFFFFFFF"/>
      </right>
      <top style="medium">
        <color rgb="FF000000"/>
      </top>
      <bottom style="medium">
        <color rgb="FF000000"/>
      </bottom>
    </border>
    <border>
      <left style="thin">
        <color rgb="FFFFFFFF"/>
      </left>
      <right style="thin">
        <color rgb="FF000000"/>
      </right>
      <top style="medium">
        <color rgb="FF000000"/>
      </top>
    </border>
    <border>
      <left style="thin">
        <color rgb="FF000000"/>
      </left>
      <right/>
    </border>
    <border>
      <top style="medium">
        <color rgb="FF000000"/>
      </top>
      <bottom style="thick">
        <color rgb="FF000000"/>
      </bottom>
    </border>
    <border>
      <right style="thin">
        <color rgb="FF000000"/>
      </right>
      <top style="thick">
        <color rgb="FF000000"/>
      </top>
    </border>
    <border>
      <left style="thin">
        <color rgb="FF000000"/>
      </left>
      <right style="thin">
        <color rgb="FF000000"/>
      </right>
      <top style="thick">
        <color rgb="FF000000"/>
      </top>
    </border>
    <border>
      <right style="dotted">
        <color rgb="FF000000"/>
      </right>
      <bottom style="medium">
        <color rgb="FF000000"/>
      </bottom>
    </border>
    <border>
      <left style="dotted">
        <color rgb="FF000000"/>
      </left>
      <right style="medium">
        <color rgb="FF000000"/>
      </right>
      <bottom style="medium">
        <color rgb="FF000000"/>
      </bottom>
    </border>
    <border>
      <left style="dotted">
        <color rgb="FF000000"/>
      </left>
      <bottom style="medium">
        <color rgb="FF000000"/>
      </bottom>
    </border>
    <border>
      <right style="thick">
        <color rgb="FF000000"/>
      </right>
      <top style="medium">
        <color rgb="FF000000"/>
      </top>
    </border>
    <border>
      <left style="thick">
        <color rgb="FF000000"/>
      </left>
      <top style="medium">
        <color rgb="FF000000"/>
      </top>
      <bottom style="medium">
        <color rgb="FF000000"/>
      </bottom>
    </border>
    <border>
      <left style="thin">
        <color rgb="FF000000"/>
      </left>
      <right style="thick">
        <color rgb="FF000000"/>
      </right>
      <top style="medium">
        <color rgb="FF000000"/>
      </top>
      <bottom style="medium">
        <color rgb="FF000000"/>
      </bottom>
    </border>
    <border>
      <right style="thick">
        <color rgb="FF000000"/>
      </right>
      <top style="medium">
        <color rgb="FF000000"/>
      </top>
      <bottom style="medium">
        <color rgb="FF000000"/>
      </bottom>
    </border>
    <border>
      <left style="thick">
        <color rgb="FF000000"/>
      </left>
      <top style="medium">
        <color rgb="FF000000"/>
      </top>
    </border>
  </borders>
  <cellStyleXfs count="1">
    <xf borderId="0" fillId="0" fontId="0" numFmtId="0" applyAlignment="1" applyFont="1"/>
  </cellStyleXfs>
  <cellXfs count="27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3" fontId="2" numFmtId="0" xfId="0" applyAlignment="1" applyBorder="1" applyFill="1" applyFont="1">
      <alignment horizontal="center" readingOrder="0" vertical="center"/>
    </xf>
    <xf borderId="3" fillId="0" fontId="3" numFmtId="0" xfId="0" applyBorder="1" applyFont="1"/>
    <xf borderId="4" fillId="0" fontId="3" numFmtId="0" xfId="0" applyBorder="1" applyFont="1"/>
    <xf borderId="5" fillId="2" fontId="1" numFmtId="0" xfId="0" applyAlignment="1" applyBorder="1" applyFont="1">
      <alignment horizontal="center" readingOrder="0" vertical="center"/>
    </xf>
    <xf borderId="6" fillId="3" fontId="2" numFmtId="0" xfId="0" applyAlignment="1" applyBorder="1" applyFont="1">
      <alignment horizontal="center" readingOrder="0" vertical="center"/>
    </xf>
    <xf borderId="7" fillId="0" fontId="3" numFmtId="0" xfId="0" applyBorder="1" applyFont="1"/>
    <xf borderId="8" fillId="0" fontId="3" numFmtId="0" xfId="0" applyBorder="1" applyFont="1"/>
    <xf borderId="9" fillId="2" fontId="1" numFmtId="0" xfId="0" applyAlignment="1" applyBorder="1" applyFont="1">
      <alignment horizontal="center" readingOrder="0" vertical="center"/>
    </xf>
    <xf borderId="10" fillId="2" fontId="1" numFmtId="0" xfId="0" applyAlignment="1" applyBorder="1" applyFont="1">
      <alignment horizontal="center" readingOrder="0" vertical="center"/>
    </xf>
    <xf borderId="11" fillId="2" fontId="1" numFmtId="0" xfId="0" applyAlignment="1" applyBorder="1" applyFont="1">
      <alignment horizontal="center" readingOrder="0" vertical="center"/>
    </xf>
    <xf borderId="12" fillId="2" fontId="1" numFmtId="0" xfId="0" applyAlignment="1" applyBorder="1" applyFont="1">
      <alignment horizontal="center" readingOrder="0" vertical="center"/>
    </xf>
    <xf borderId="13" fillId="3" fontId="4" numFmtId="0" xfId="0" applyAlignment="1" applyBorder="1" applyFont="1">
      <alignment horizontal="center" readingOrder="0" vertical="center"/>
    </xf>
    <xf borderId="14" fillId="2" fontId="1" numFmtId="0" xfId="0" applyAlignment="1" applyBorder="1" applyFont="1">
      <alignment horizontal="center" readingOrder="0" vertical="center"/>
    </xf>
    <xf borderId="15" fillId="3" fontId="4" numFmtId="0" xfId="0" applyAlignment="1" applyBorder="1" applyFont="1">
      <alignment horizontal="center" readingOrder="0" vertical="center"/>
    </xf>
    <xf borderId="16" fillId="0" fontId="3" numFmtId="0" xfId="0" applyBorder="1" applyFont="1"/>
    <xf borderId="17" fillId="0" fontId="3" numFmtId="0" xfId="0" applyBorder="1" applyFont="1"/>
    <xf borderId="13" fillId="3" fontId="5" numFmtId="0" xfId="0" applyAlignment="1" applyBorder="1" applyFont="1">
      <alignment horizontal="center" readingOrder="0" vertical="center"/>
    </xf>
    <xf borderId="18" fillId="3" fontId="4" numFmtId="0" xfId="0" applyAlignment="1" applyBorder="1" applyFont="1">
      <alignment horizontal="center" readingOrder="0" vertical="center"/>
    </xf>
    <xf borderId="19" fillId="0" fontId="3" numFmtId="0" xfId="0" applyBorder="1" applyFont="1"/>
    <xf borderId="20" fillId="0" fontId="3" numFmtId="0" xfId="0" applyBorder="1" applyFont="1"/>
    <xf borderId="21" fillId="2" fontId="1" numFmtId="0" xfId="0" applyAlignment="1" applyBorder="1" applyFont="1">
      <alignment horizontal="center" readingOrder="0" vertical="center"/>
    </xf>
    <xf borderId="22" fillId="0" fontId="6" numFmtId="0" xfId="0" applyAlignment="1" applyBorder="1" applyFont="1">
      <alignment horizontal="center" readingOrder="0" vertical="center"/>
    </xf>
    <xf borderId="7" fillId="0" fontId="6" numFmtId="0" xfId="0" applyAlignment="1" applyBorder="1" applyFont="1">
      <alignment horizontal="center" readingOrder="0" vertical="center"/>
    </xf>
    <xf borderId="23" fillId="0" fontId="6" numFmtId="0" xfId="0" applyAlignment="1" applyBorder="1" applyFont="1">
      <alignment horizontal="center" readingOrder="0" vertical="center"/>
    </xf>
    <xf borderId="24" fillId="0" fontId="3" numFmtId="0" xfId="0" applyBorder="1" applyFont="1"/>
    <xf borderId="25" fillId="0" fontId="3" numFmtId="0" xfId="0" applyBorder="1" applyFont="1"/>
    <xf borderId="26" fillId="4" fontId="7" numFmtId="0" xfId="0" applyAlignment="1" applyBorder="1" applyFill="1" applyFont="1">
      <alignment horizontal="center" readingOrder="0" vertical="center"/>
    </xf>
    <xf borderId="26" fillId="4" fontId="8" numFmtId="0" xfId="0" applyAlignment="1" applyBorder="1" applyFont="1">
      <alignment horizontal="center" readingOrder="0" vertical="center"/>
    </xf>
    <xf borderId="26" fillId="0" fontId="9" numFmtId="0" xfId="0" applyAlignment="1" applyBorder="1" applyFont="1">
      <alignment horizontal="center" vertical="center"/>
    </xf>
    <xf borderId="27" fillId="5" fontId="4" numFmtId="0" xfId="0" applyAlignment="1" applyBorder="1" applyFill="1" applyFont="1">
      <alignment readingOrder="0" vertical="bottom"/>
    </xf>
    <xf borderId="27" fillId="5" fontId="4" numFmtId="0" xfId="0" applyAlignment="1" applyBorder="1" applyFont="1">
      <alignment horizontal="center" readingOrder="0" vertical="bottom"/>
    </xf>
    <xf borderId="17" fillId="5" fontId="4" numFmtId="0" xfId="0" applyAlignment="1" applyBorder="1" applyFont="1">
      <alignment horizontal="center" readingOrder="0"/>
    </xf>
    <xf borderId="26" fillId="5" fontId="10" numFmtId="0" xfId="0" applyAlignment="1" applyBorder="1" applyFont="1">
      <alignment horizontal="center" readingOrder="0" vertical="center"/>
    </xf>
    <xf borderId="26" fillId="5" fontId="4" numFmtId="0" xfId="0" applyAlignment="1" applyBorder="1" applyFont="1">
      <alignment horizontal="center" readingOrder="0" vertical="center"/>
    </xf>
    <xf borderId="18" fillId="6" fontId="11" numFmtId="0" xfId="0" applyAlignment="1" applyBorder="1" applyFill="1" applyFont="1">
      <alignment horizontal="center" readingOrder="0" vertical="center"/>
    </xf>
    <xf borderId="26" fillId="7" fontId="5" numFmtId="0" xfId="0" applyAlignment="1" applyBorder="1" applyFill="1" applyFont="1">
      <alignment horizontal="center" readingOrder="0" vertical="center"/>
    </xf>
    <xf borderId="26" fillId="8" fontId="5" numFmtId="0" xfId="0" applyAlignment="1" applyBorder="1" applyFill="1" applyFont="1">
      <alignment horizontal="center" readingOrder="0" vertical="center"/>
    </xf>
    <xf borderId="10" fillId="2" fontId="12" numFmtId="0" xfId="0" applyAlignment="1" applyBorder="1" applyFont="1">
      <alignment horizontal="center" readingOrder="0" vertical="center"/>
    </xf>
    <xf borderId="28" fillId="2" fontId="13" numFmtId="0" xfId="0" applyBorder="1" applyFont="1"/>
    <xf borderId="29" fillId="2" fontId="13" numFmtId="0" xfId="0" applyBorder="1" applyFont="1"/>
    <xf borderId="29" fillId="2" fontId="14" numFmtId="0" xfId="0" applyBorder="1" applyFont="1"/>
    <xf borderId="30" fillId="0" fontId="3" numFmtId="0" xfId="0" applyBorder="1" applyFont="1"/>
    <xf borderId="31" fillId="0" fontId="3" numFmtId="0" xfId="0" applyBorder="1" applyFont="1"/>
    <xf borderId="32" fillId="4" fontId="15" numFmtId="0" xfId="0" applyAlignment="1" applyBorder="1" applyFont="1">
      <alignment horizontal="center" readingOrder="0" vertical="center"/>
    </xf>
    <xf borderId="32" fillId="0" fontId="16" numFmtId="0" xfId="0" applyAlignment="1" applyBorder="1" applyFont="1">
      <alignment horizontal="center" readingOrder="0" vertical="center"/>
    </xf>
    <xf borderId="33" fillId="9" fontId="17" numFmtId="0" xfId="0" applyAlignment="1" applyBorder="1" applyFill="1" applyFont="1">
      <alignment horizontal="center" readingOrder="0" vertical="center"/>
    </xf>
    <xf borderId="33" fillId="9" fontId="17" numFmtId="0" xfId="0" applyAlignment="1" applyBorder="1" applyFont="1">
      <alignment readingOrder="0"/>
    </xf>
    <xf borderId="27" fillId="9" fontId="17" numFmtId="0" xfId="0" applyAlignment="1" applyBorder="1" applyFont="1">
      <alignment horizontal="center" readingOrder="0"/>
    </xf>
    <xf borderId="17" fillId="9" fontId="17" numFmtId="0" xfId="0" applyAlignment="1" applyBorder="1" applyFont="1">
      <alignment horizontal="center" readingOrder="0"/>
    </xf>
    <xf borderId="26" fillId="9" fontId="18" numFmtId="0" xfId="0" applyAlignment="1" applyBorder="1" applyFont="1">
      <alignment horizontal="center" readingOrder="0" vertical="center"/>
    </xf>
    <xf borderId="13" fillId="8" fontId="5" numFmtId="0" xfId="0" applyAlignment="1" applyBorder="1" applyFont="1">
      <alignment horizontal="center" readingOrder="0" vertical="center"/>
    </xf>
    <xf borderId="24" fillId="4" fontId="19" numFmtId="0" xfId="0" applyAlignment="1" applyBorder="1" applyFont="1">
      <alignment horizontal="center" readingOrder="0" vertical="center"/>
    </xf>
    <xf borderId="32" fillId="0" fontId="3" numFmtId="0" xfId="0" applyBorder="1" applyFont="1"/>
    <xf borderId="1" fillId="2" fontId="12" numFmtId="0" xfId="0" applyAlignment="1" applyBorder="1" applyFont="1">
      <alignment horizontal="center" readingOrder="0" vertical="center"/>
    </xf>
    <xf borderId="13" fillId="5" fontId="4" numFmtId="0" xfId="0" applyAlignment="1" applyBorder="1" applyFont="1">
      <alignment horizontal="center" readingOrder="0" vertical="center"/>
    </xf>
    <xf borderId="33" fillId="7" fontId="20" numFmtId="0" xfId="0" applyAlignment="1" applyBorder="1" applyFont="1">
      <alignment horizontal="center" vertical="center"/>
    </xf>
    <xf borderId="34" fillId="7" fontId="21" numFmtId="0" xfId="0" applyBorder="1" applyFont="1"/>
    <xf borderId="35" fillId="7" fontId="21" numFmtId="0" xfId="0" applyAlignment="1" applyBorder="1" applyFont="1">
      <alignment horizontal="center"/>
    </xf>
    <xf borderId="25" fillId="7" fontId="21" numFmtId="0" xfId="0" applyAlignment="1" applyBorder="1" applyFont="1">
      <alignment horizontal="center" readingOrder="0"/>
    </xf>
    <xf borderId="20" fillId="7" fontId="22" numFmtId="0" xfId="0" applyAlignment="1" applyBorder="1" applyFont="1">
      <alignment horizontal="center" readingOrder="0" vertical="center"/>
    </xf>
    <xf borderId="13" fillId="9" fontId="17" numFmtId="0" xfId="0" applyAlignment="1" applyBorder="1" applyFont="1">
      <alignment horizontal="center" readingOrder="0" vertical="center"/>
    </xf>
    <xf borderId="26" fillId="10" fontId="13" numFmtId="0" xfId="0" applyAlignment="1" applyBorder="1" applyFill="1" applyFont="1">
      <alignment horizontal="center" vertical="center"/>
    </xf>
    <xf borderId="27" fillId="10" fontId="23" numFmtId="0" xfId="0" applyAlignment="1" applyBorder="1" applyFont="1">
      <alignment vertical="bottom"/>
    </xf>
    <xf borderId="27" fillId="10" fontId="23" numFmtId="0" xfId="0" applyAlignment="1" applyBorder="1" applyFont="1">
      <alignment horizontal="center" vertical="bottom"/>
    </xf>
    <xf borderId="17" fillId="10" fontId="23" numFmtId="0" xfId="0" applyAlignment="1" applyBorder="1" applyFont="1">
      <alignment horizontal="center" readingOrder="0" vertical="bottom"/>
    </xf>
    <xf borderId="36" fillId="2" fontId="13" numFmtId="0" xfId="0" applyBorder="1" applyFont="1"/>
    <xf borderId="17" fillId="10" fontId="24" numFmtId="0" xfId="0" applyAlignment="1" applyBorder="1" applyFont="1">
      <alignment horizontal="center" readingOrder="0" vertical="center"/>
    </xf>
    <xf borderId="26" fillId="11" fontId="5" numFmtId="0" xfId="0" applyAlignment="1" applyBorder="1" applyFill="1" applyFont="1">
      <alignment horizontal="center" readingOrder="0" vertical="center"/>
    </xf>
    <xf borderId="26" fillId="8" fontId="25" numFmtId="0" xfId="0" applyAlignment="1" applyBorder="1" applyFont="1">
      <alignment horizontal="center" readingOrder="0" vertical="center"/>
    </xf>
    <xf borderId="32" fillId="0" fontId="26" numFmtId="0" xfId="0" applyAlignment="1" applyBorder="1" applyFont="1">
      <alignment horizontal="center" readingOrder="0" vertical="center"/>
    </xf>
    <xf borderId="32" fillId="0" fontId="27" numFmtId="0" xfId="0" applyAlignment="1" applyBorder="1" applyFont="1">
      <alignment horizontal="center" readingOrder="0" vertical="center"/>
    </xf>
    <xf borderId="33" fillId="12" fontId="28" numFmtId="0" xfId="0" applyAlignment="1" applyBorder="1" applyFill="1" applyFont="1">
      <alignment horizontal="center"/>
    </xf>
    <xf borderId="33" fillId="12" fontId="4" numFmtId="0" xfId="0" applyAlignment="1" applyBorder="1" applyFont="1">
      <alignment readingOrder="0"/>
    </xf>
    <xf borderId="27" fillId="12" fontId="4" numFmtId="0" xfId="0" applyAlignment="1" applyBorder="1" applyFont="1">
      <alignment horizontal="center" readingOrder="0"/>
    </xf>
    <xf borderId="17" fillId="12" fontId="4" numFmtId="0" xfId="0" applyAlignment="1" applyBorder="1" applyFont="1">
      <alignment horizontal="center" readingOrder="0"/>
    </xf>
    <xf borderId="26" fillId="12" fontId="29" numFmtId="0" xfId="0" applyAlignment="1" applyBorder="1" applyFont="1">
      <alignment horizontal="center" readingOrder="0" vertical="center"/>
    </xf>
    <xf borderId="37" fillId="4" fontId="30" numFmtId="0" xfId="0" applyAlignment="1" applyBorder="1" applyFont="1">
      <alignment horizontal="center" readingOrder="0" shrinkToFit="0" vertical="center" wrapText="1"/>
    </xf>
    <xf borderId="33" fillId="13" fontId="28" numFmtId="0" xfId="0" applyAlignment="1" applyBorder="1" applyFill="1" applyFont="1">
      <alignment horizontal="center"/>
    </xf>
    <xf borderId="33" fillId="13" fontId="17" numFmtId="0" xfId="0" applyAlignment="1" applyBorder="1" applyFont="1">
      <alignment readingOrder="0"/>
    </xf>
    <xf borderId="27" fillId="13" fontId="17" numFmtId="0" xfId="0" applyAlignment="1" applyBorder="1" applyFont="1">
      <alignment horizontal="center" readingOrder="0"/>
    </xf>
    <xf borderId="17" fillId="13" fontId="17" numFmtId="0" xfId="0" applyAlignment="1" applyBorder="1" applyFont="1">
      <alignment horizontal="center" readingOrder="0"/>
    </xf>
    <xf borderId="26" fillId="13" fontId="18" numFmtId="0" xfId="0" applyAlignment="1" applyBorder="1" applyFont="1">
      <alignment horizontal="center" readingOrder="0" vertical="center"/>
    </xf>
    <xf borderId="30" fillId="4" fontId="19" numFmtId="0" xfId="0" applyAlignment="1" applyBorder="1" applyFont="1">
      <alignment horizontal="center" readingOrder="0" vertical="center"/>
    </xf>
    <xf borderId="33" fillId="14" fontId="28" numFmtId="0" xfId="0" applyAlignment="1" applyBorder="1" applyFill="1" applyFont="1">
      <alignment horizontal="center"/>
    </xf>
    <xf borderId="33" fillId="14" fontId="28" numFmtId="0" xfId="0" applyAlignment="1" applyBorder="1" applyFont="1">
      <alignment readingOrder="0"/>
    </xf>
    <xf borderId="27" fillId="14" fontId="28" numFmtId="0" xfId="0" applyAlignment="1" applyBorder="1" applyFont="1">
      <alignment horizontal="center" readingOrder="0"/>
    </xf>
    <xf borderId="17" fillId="14" fontId="28" numFmtId="0" xfId="0" applyAlignment="1" applyBorder="1" applyFont="1">
      <alignment horizontal="center" readingOrder="0"/>
    </xf>
    <xf borderId="26" fillId="14" fontId="31" numFmtId="0" xfId="0" applyAlignment="1" applyBorder="1" applyFont="1">
      <alignment horizontal="center" readingOrder="0" vertical="center"/>
    </xf>
    <xf borderId="38" fillId="2" fontId="1" numFmtId="0" xfId="0" applyAlignment="1" applyBorder="1" applyFont="1">
      <alignment horizontal="center" readingOrder="0" vertical="center"/>
    </xf>
    <xf borderId="15" fillId="3" fontId="5" numFmtId="0" xfId="0" applyAlignment="1" applyBorder="1" applyFont="1">
      <alignment horizontal="center" readingOrder="0" vertical="center"/>
    </xf>
    <xf borderId="26" fillId="15" fontId="5" numFmtId="0" xfId="0" applyAlignment="1" applyBorder="1" applyFill="1" applyFont="1">
      <alignment horizontal="center" readingOrder="0" vertical="center"/>
    </xf>
    <xf borderId="13" fillId="0" fontId="32" numFmtId="0" xfId="0" applyAlignment="1" applyBorder="1" applyFont="1">
      <alignment horizontal="center"/>
    </xf>
    <xf borderId="0" fillId="2" fontId="1" numFmtId="0" xfId="0" applyAlignment="1" applyFont="1">
      <alignment horizontal="center" readingOrder="0" vertical="center"/>
    </xf>
    <xf borderId="15" fillId="4" fontId="33" numFmtId="0" xfId="0" applyAlignment="1" applyBorder="1" applyFont="1">
      <alignment horizontal="center" readingOrder="0" vertical="center"/>
    </xf>
    <xf borderId="9" fillId="2" fontId="34" numFmtId="0" xfId="0" applyAlignment="1" applyBorder="1" applyFont="1">
      <alignment horizontal="center" readingOrder="0" vertical="center"/>
    </xf>
    <xf borderId="32" fillId="0" fontId="35" numFmtId="0" xfId="0" applyAlignment="1" applyBorder="1" applyFont="1">
      <alignment horizontal="center"/>
    </xf>
    <xf borderId="32" fillId="0" fontId="36" numFmtId="0" xfId="0" applyAlignment="1" applyBorder="1" applyFont="1">
      <alignment horizontal="center"/>
    </xf>
    <xf borderId="39" fillId="16" fontId="5" numFmtId="0" xfId="0" applyAlignment="1" applyBorder="1" applyFill="1" applyFont="1">
      <alignment horizontal="center" readingOrder="0" vertical="center"/>
    </xf>
    <xf borderId="40" fillId="0" fontId="3" numFmtId="0" xfId="0" applyBorder="1" applyFont="1"/>
    <xf borderId="30" fillId="0" fontId="37" numFmtId="0" xfId="0" applyAlignment="1" applyBorder="1" applyFont="1">
      <alignment horizontal="center" readingOrder="0" vertical="center"/>
    </xf>
    <xf borderId="32" fillId="0" fontId="38" numFmtId="0" xfId="0" applyAlignment="1" applyBorder="1" applyFont="1">
      <alignment horizontal="center" readingOrder="0" vertical="center"/>
    </xf>
    <xf borderId="1" fillId="2" fontId="39" numFmtId="0" xfId="0" applyAlignment="1" applyBorder="1" applyFont="1">
      <alignment horizontal="center" readingOrder="0" vertical="bottom"/>
    </xf>
    <xf borderId="41" fillId="2" fontId="13" numFmtId="0" xfId="0" applyAlignment="1" applyBorder="1" applyFont="1">
      <alignment horizontal="right" readingOrder="0" vertical="bottom"/>
    </xf>
    <xf borderId="41" fillId="2" fontId="13" numFmtId="0" xfId="0" applyAlignment="1" applyBorder="1" applyFont="1">
      <alignment vertical="bottom"/>
    </xf>
    <xf borderId="0" fillId="2" fontId="13" numFmtId="0" xfId="0" applyAlignment="1" applyFont="1">
      <alignment vertical="bottom"/>
    </xf>
    <xf borderId="42" fillId="2" fontId="13" numFmtId="0" xfId="0" applyAlignment="1" applyBorder="1" applyFont="1">
      <alignment vertical="bottom"/>
    </xf>
    <xf borderId="43" fillId="8" fontId="25" numFmtId="0" xfId="0" applyAlignment="1" applyBorder="1" applyFont="1">
      <alignment horizontal="center" readingOrder="0"/>
    </xf>
    <xf borderId="44" fillId="0" fontId="3" numFmtId="0" xfId="0" applyBorder="1" applyFont="1"/>
    <xf borderId="45" fillId="0" fontId="3" numFmtId="0" xfId="0" applyBorder="1" applyFont="1"/>
    <xf borderId="18" fillId="8" fontId="40" numFmtId="0" xfId="0" applyAlignment="1" applyBorder="1" applyFont="1">
      <alignment horizontal="center" readingOrder="0" vertical="center"/>
    </xf>
    <xf borderId="46" fillId="0" fontId="3" numFmtId="0" xfId="0" applyBorder="1" applyFont="1"/>
    <xf borderId="0" fillId="8" fontId="40" numFmtId="0" xfId="0" applyAlignment="1" applyFont="1">
      <alignment horizontal="center" readingOrder="0" vertical="center"/>
    </xf>
    <xf borderId="0" fillId="5" fontId="25" numFmtId="0" xfId="0" applyAlignment="1" applyFont="1">
      <alignment horizontal="center" readingOrder="0" vertical="top"/>
    </xf>
    <xf borderId="47" fillId="0" fontId="3" numFmtId="0" xfId="0" applyBorder="1" applyFont="1"/>
    <xf borderId="15" fillId="8" fontId="25" numFmtId="0" xfId="0" applyAlignment="1" applyBorder="1" applyFont="1">
      <alignment horizontal="center" readingOrder="0" vertical="center"/>
    </xf>
    <xf borderId="16" fillId="8" fontId="25" numFmtId="0" xfId="0" applyAlignment="1" applyBorder="1" applyFont="1">
      <alignment horizontal="center" readingOrder="0" vertical="center"/>
    </xf>
    <xf borderId="27" fillId="0" fontId="3" numFmtId="0" xfId="0" applyBorder="1" applyFont="1"/>
    <xf borderId="48" fillId="8" fontId="41" numFmtId="0" xfId="0" applyAlignment="1" applyBorder="1" applyFont="1">
      <alignment horizontal="center" readingOrder="0" vertical="center"/>
    </xf>
    <xf borderId="27" fillId="8" fontId="25" numFmtId="0" xfId="0" applyAlignment="1" applyBorder="1" applyFont="1">
      <alignment horizontal="center" readingOrder="0" vertical="center"/>
    </xf>
    <xf borderId="49" fillId="8" fontId="29" numFmtId="0" xfId="0" applyAlignment="1" applyBorder="1" applyFont="1">
      <alignment horizontal="center" vertical="bottom"/>
    </xf>
    <xf borderId="50" fillId="8" fontId="29" numFmtId="0" xfId="0" applyAlignment="1" applyBorder="1" applyFont="1">
      <alignment horizontal="center" vertical="bottom"/>
    </xf>
    <xf borderId="17" fillId="8" fontId="29" numFmtId="0" xfId="0" applyAlignment="1" applyBorder="1" applyFont="1">
      <alignment horizontal="center" vertical="bottom"/>
    </xf>
    <xf borderId="35" fillId="17" fontId="42" numFmtId="0" xfId="0" applyAlignment="1" applyBorder="1" applyFill="1" applyFont="1">
      <alignment horizontal="center" readingOrder="0"/>
    </xf>
    <xf borderId="25" fillId="17" fontId="43" numFmtId="0" xfId="0" applyAlignment="1" applyBorder="1" applyFont="1">
      <alignment horizontal="center" readingOrder="0"/>
    </xf>
    <xf borderId="51" fillId="17" fontId="44" numFmtId="0" xfId="0" applyAlignment="1" applyBorder="1" applyFont="1">
      <alignment horizontal="center" readingOrder="0"/>
    </xf>
    <xf borderId="52" fillId="17" fontId="45" numFmtId="0" xfId="0" applyAlignment="1" applyBorder="1" applyFont="1">
      <alignment horizontal="center" readingOrder="0"/>
    </xf>
    <xf borderId="48" fillId="17" fontId="29" numFmtId="0" xfId="0" applyAlignment="1" applyBorder="1" applyFont="1">
      <alignment horizontal="center" readingOrder="0"/>
    </xf>
    <xf borderId="16" fillId="17" fontId="29" numFmtId="0" xfId="0" applyAlignment="1" applyBorder="1" applyFont="1">
      <alignment horizontal="center" readingOrder="0"/>
    </xf>
    <xf borderId="15" fillId="17" fontId="29" numFmtId="0" xfId="0" applyAlignment="1" applyBorder="1" applyFont="1">
      <alignment horizontal="center" readingOrder="0"/>
    </xf>
    <xf borderId="53" fillId="17" fontId="29" numFmtId="0" xfId="0" applyAlignment="1" applyBorder="1" applyFont="1">
      <alignment horizontal="center" readingOrder="0"/>
    </xf>
    <xf borderId="54" fillId="17" fontId="13" numFmtId="0" xfId="0" applyAlignment="1" applyBorder="1" applyFont="1">
      <alignment vertical="bottom"/>
    </xf>
    <xf borderId="27" fillId="17" fontId="29" numFmtId="0" xfId="0" applyAlignment="1" applyBorder="1" applyFont="1">
      <alignment horizontal="center" readingOrder="0"/>
    </xf>
    <xf borderId="52" fillId="17" fontId="13" numFmtId="0" xfId="0" applyAlignment="1" applyBorder="1" applyFont="1">
      <alignment vertical="bottom"/>
    </xf>
    <xf borderId="55" fillId="17" fontId="29" numFmtId="0" xfId="0" applyAlignment="1" applyBorder="1" applyFont="1">
      <alignment horizontal="center" readingOrder="0"/>
    </xf>
    <xf borderId="56" fillId="17" fontId="29" numFmtId="0" xfId="0" applyAlignment="1" applyBorder="1" applyFont="1">
      <alignment horizontal="center" readingOrder="0"/>
    </xf>
    <xf borderId="35" fillId="17" fontId="13" numFmtId="0" xfId="0" applyAlignment="1" applyBorder="1" applyFont="1">
      <alignment vertical="bottom"/>
    </xf>
    <xf borderId="42" fillId="8" fontId="40" numFmtId="0" xfId="0" applyAlignment="1" applyBorder="1" applyFont="1">
      <alignment horizontal="center" readingOrder="0" textRotation="90" vertical="center"/>
    </xf>
    <xf borderId="47" fillId="5" fontId="4" numFmtId="0" xfId="0" applyAlignment="1" applyBorder="1" applyFont="1">
      <alignment horizontal="center" readingOrder="0" vertical="center"/>
    </xf>
    <xf borderId="0" fillId="5" fontId="29" numFmtId="0" xfId="0" applyAlignment="1" applyFont="1">
      <alignment readingOrder="0" vertical="bottom"/>
    </xf>
    <xf borderId="0" fillId="0" fontId="46" numFmtId="0" xfId="0" applyAlignment="1" applyFont="1">
      <alignment horizontal="center" readingOrder="0" vertical="center"/>
    </xf>
    <xf borderId="31" fillId="0" fontId="46" numFmtId="0" xfId="0" applyAlignment="1" applyBorder="1" applyFont="1">
      <alignment horizontal="center" readingOrder="0" vertical="center"/>
    </xf>
    <xf borderId="57" fillId="0" fontId="46" numFmtId="0" xfId="0" applyAlignment="1" applyBorder="1" applyFont="1">
      <alignment horizontal="center" readingOrder="0" vertical="center"/>
    </xf>
    <xf borderId="47" fillId="0" fontId="46" numFmtId="0" xfId="0" applyAlignment="1" applyBorder="1" applyFont="1">
      <alignment horizontal="center" readingOrder="0" vertical="center"/>
    </xf>
    <xf borderId="0" fillId="4" fontId="47" numFmtId="0" xfId="0" applyAlignment="1" applyFont="1">
      <alignment horizontal="center" readingOrder="0"/>
    </xf>
    <xf borderId="42" fillId="4" fontId="47" numFmtId="0" xfId="0" applyAlignment="1" applyBorder="1" applyFont="1">
      <alignment horizontal="center" readingOrder="0"/>
    </xf>
    <xf borderId="42" fillId="0" fontId="3" numFmtId="0" xfId="0" applyBorder="1" applyFont="1"/>
    <xf borderId="0" fillId="5" fontId="48" numFmtId="0" xfId="0" applyAlignment="1" applyFont="1">
      <alignment readingOrder="0" vertical="bottom"/>
    </xf>
    <xf borderId="0" fillId="4" fontId="47" numFmtId="0" xfId="0" applyAlignment="1" applyFont="1">
      <alignment horizontal="center"/>
    </xf>
    <xf borderId="42" fillId="4" fontId="47" numFmtId="0" xfId="0" applyAlignment="1" applyBorder="1" applyFont="1">
      <alignment horizontal="center"/>
    </xf>
    <xf borderId="42" fillId="0" fontId="46" numFmtId="0" xfId="0" applyAlignment="1" applyBorder="1" applyFont="1">
      <alignment horizontal="center" readingOrder="0" vertical="center"/>
    </xf>
    <xf borderId="0" fillId="5" fontId="49" numFmtId="0" xfId="0" applyAlignment="1" applyFont="1">
      <alignment readingOrder="0" vertical="bottom"/>
    </xf>
    <xf borderId="47" fillId="9" fontId="17" numFmtId="0" xfId="0" applyAlignment="1" applyBorder="1" applyFont="1">
      <alignment horizontal="center" readingOrder="0" vertical="center"/>
    </xf>
    <xf borderId="0" fillId="9" fontId="18" numFmtId="0" xfId="0" applyAlignment="1" applyFont="1">
      <alignment readingOrder="0" vertical="bottom"/>
    </xf>
    <xf borderId="0" fillId="9" fontId="50" numFmtId="0" xfId="0" applyAlignment="1" applyFont="1">
      <alignment readingOrder="0" vertical="bottom"/>
    </xf>
    <xf borderId="0" fillId="9" fontId="51" numFmtId="0" xfId="0" applyAlignment="1" applyFont="1">
      <alignment readingOrder="0" vertical="bottom"/>
    </xf>
    <xf borderId="0" fillId="9" fontId="51" numFmtId="0" xfId="0" applyAlignment="1" applyFont="1">
      <alignment readingOrder="0" vertical="bottom"/>
    </xf>
    <xf borderId="44" fillId="4" fontId="47" numFmtId="0" xfId="0" applyAlignment="1" applyBorder="1" applyFont="1">
      <alignment horizontal="center"/>
    </xf>
    <xf borderId="43" fillId="0" fontId="3" numFmtId="0" xfId="0" applyBorder="1" applyFont="1"/>
    <xf borderId="58" fillId="17" fontId="13" numFmtId="0" xfId="0" applyAlignment="1" applyBorder="1" applyFont="1">
      <alignment horizontal="center" vertical="center"/>
    </xf>
    <xf borderId="59" fillId="17" fontId="13" numFmtId="0" xfId="0" applyAlignment="1" applyBorder="1" applyFont="1">
      <alignment horizontal="center" vertical="center"/>
    </xf>
    <xf borderId="59" fillId="17" fontId="52" numFmtId="0" xfId="0" applyBorder="1" applyFont="1"/>
    <xf borderId="58" fillId="17" fontId="53" numFmtId="0" xfId="0" applyBorder="1" applyFont="1"/>
    <xf borderId="60" fillId="17" fontId="54" numFmtId="0" xfId="0" applyBorder="1" applyFont="1"/>
    <xf borderId="60" fillId="17" fontId="55" numFmtId="0" xfId="0" applyAlignment="1" applyBorder="1" applyFont="1">
      <alignment readingOrder="0"/>
    </xf>
    <xf borderId="60" fillId="17" fontId="56" numFmtId="0" xfId="0" applyAlignment="1" applyBorder="1" applyFont="1">
      <alignment readingOrder="0"/>
    </xf>
    <xf borderId="59" fillId="17" fontId="57" numFmtId="0" xfId="0" applyAlignment="1" applyBorder="1" applyFont="1">
      <alignment readingOrder="0"/>
    </xf>
    <xf borderId="59" fillId="17" fontId="58" numFmtId="0" xfId="0" applyAlignment="1" applyBorder="1" applyFont="1">
      <alignment readingOrder="0"/>
    </xf>
    <xf borderId="58" fillId="17" fontId="59" numFmtId="0" xfId="0" applyBorder="1" applyFont="1"/>
    <xf borderId="59" fillId="17" fontId="59" numFmtId="0" xfId="0" applyBorder="1" applyFont="1"/>
    <xf borderId="61" fillId="8" fontId="40" numFmtId="0" xfId="0" applyAlignment="1" applyBorder="1" applyFont="1">
      <alignment horizontal="center" readingOrder="0" textRotation="90" vertical="center"/>
    </xf>
    <xf borderId="47" fillId="7" fontId="21" numFmtId="0" xfId="0" applyAlignment="1" applyBorder="1" applyFont="1">
      <alignment horizontal="center" readingOrder="0" vertical="center"/>
    </xf>
    <xf borderId="0" fillId="7" fontId="22" numFmtId="0" xfId="0" applyAlignment="1" applyFont="1">
      <alignment readingOrder="0" vertical="bottom"/>
    </xf>
    <xf borderId="0" fillId="7" fontId="60" numFmtId="0" xfId="0" applyAlignment="1" applyFont="1">
      <alignment readingOrder="0" vertical="bottom"/>
    </xf>
    <xf borderId="47" fillId="10" fontId="23" numFmtId="0" xfId="0" applyAlignment="1" applyBorder="1" applyFont="1">
      <alignment horizontal="center" readingOrder="0" vertical="center"/>
    </xf>
    <xf borderId="0" fillId="10" fontId="24" numFmtId="0" xfId="0" applyAlignment="1" applyFont="1">
      <alignment readingOrder="0" vertical="bottom"/>
    </xf>
    <xf borderId="0" fillId="10" fontId="61" numFmtId="0" xfId="0" applyAlignment="1" applyFont="1">
      <alignment readingOrder="0" vertical="bottom"/>
    </xf>
    <xf borderId="0" fillId="10" fontId="62" numFmtId="0" xfId="0" applyAlignment="1" applyFont="1">
      <alignment readingOrder="0" vertical="bottom"/>
    </xf>
    <xf borderId="0" fillId="18" fontId="1" numFmtId="0" xfId="0" applyAlignment="1" applyFill="1" applyFont="1">
      <alignment horizontal="center"/>
    </xf>
    <xf borderId="0" fillId="19" fontId="1" numFmtId="0" xfId="0" applyAlignment="1" applyFill="1" applyFont="1">
      <alignment horizontal="center"/>
    </xf>
    <xf borderId="47" fillId="19" fontId="1" numFmtId="0" xfId="0" applyAlignment="1" applyBorder="1" applyFont="1">
      <alignment horizontal="center"/>
    </xf>
    <xf borderId="47" fillId="12" fontId="4" numFmtId="0" xfId="0" applyAlignment="1" applyBorder="1" applyFont="1">
      <alignment horizontal="center" readingOrder="0" vertical="center"/>
    </xf>
    <xf borderId="0" fillId="12" fontId="29" numFmtId="0" xfId="0" applyAlignment="1" applyFont="1">
      <alignment readingOrder="0" vertical="center"/>
    </xf>
    <xf borderId="56" fillId="0" fontId="3" numFmtId="0" xfId="0" applyBorder="1" applyFont="1"/>
    <xf borderId="47" fillId="13" fontId="17" numFmtId="0" xfId="0" applyAlignment="1" applyBorder="1" applyFont="1">
      <alignment horizontal="center" readingOrder="0"/>
    </xf>
    <xf borderId="0" fillId="13" fontId="18" numFmtId="0" xfId="0" applyAlignment="1" applyFont="1">
      <alignment horizontal="left" readingOrder="0"/>
    </xf>
    <xf borderId="62" fillId="20" fontId="46" numFmtId="0" xfId="0" applyAlignment="1" applyBorder="1" applyFill="1" applyFont="1">
      <alignment horizontal="center" readingOrder="0" vertical="bottom"/>
    </xf>
    <xf borderId="62" fillId="0" fontId="46" numFmtId="0" xfId="0" applyAlignment="1" applyBorder="1" applyFont="1">
      <alignment horizontal="center" readingOrder="0" vertical="center"/>
    </xf>
    <xf borderId="62" fillId="4" fontId="47" numFmtId="0" xfId="0" applyAlignment="1" applyBorder="1" applyFont="1">
      <alignment horizontal="center" readingOrder="0"/>
    </xf>
    <xf borderId="62" fillId="4" fontId="1" numFmtId="0" xfId="0" applyAlignment="1" applyBorder="1" applyFont="1">
      <alignment horizontal="center" readingOrder="0"/>
    </xf>
    <xf borderId="15" fillId="17" fontId="13" numFmtId="0" xfId="0" applyBorder="1" applyFont="1"/>
    <xf borderId="15" fillId="17" fontId="59" numFmtId="0" xfId="0" applyAlignment="1" applyBorder="1" applyFont="1">
      <alignment readingOrder="0"/>
    </xf>
    <xf borderId="62" fillId="17" fontId="59" numFmtId="0" xfId="0" applyAlignment="1" applyBorder="1" applyFont="1">
      <alignment readingOrder="0"/>
    </xf>
    <xf borderId="16" fillId="17" fontId="59" numFmtId="0" xfId="0" applyAlignment="1" applyBorder="1" applyFont="1">
      <alignment readingOrder="0"/>
    </xf>
    <xf borderId="62" fillId="17" fontId="59" numFmtId="0" xfId="0" applyAlignment="1" applyBorder="1" applyFont="1">
      <alignment vertical="bottom"/>
    </xf>
    <xf borderId="27" fillId="17" fontId="59" numFmtId="0" xfId="0" applyAlignment="1" applyBorder="1" applyFont="1">
      <alignment readingOrder="0"/>
    </xf>
    <xf borderId="63" fillId="17" fontId="59" numFmtId="0" xfId="0" applyAlignment="1" applyBorder="1" applyFont="1">
      <alignment shrinkToFit="0" vertical="bottom" wrapText="0"/>
    </xf>
    <xf borderId="48" fillId="17" fontId="59" numFmtId="0" xfId="0" applyAlignment="1" applyBorder="1" applyFont="1">
      <alignment readingOrder="0"/>
    </xf>
    <xf borderId="31" fillId="8" fontId="40" numFmtId="0" xfId="0" applyAlignment="1" applyBorder="1" applyFont="1">
      <alignment horizontal="center" textRotation="90" vertical="center"/>
    </xf>
    <xf borderId="0" fillId="21" fontId="63" numFmtId="0" xfId="0" applyFill="1" applyFont="1"/>
    <xf borderId="47" fillId="19" fontId="46" numFmtId="0" xfId="0" applyAlignment="1" applyBorder="1" applyFont="1">
      <alignment horizontal="right" vertical="bottom"/>
    </xf>
    <xf borderId="42" fillId="19" fontId="46" numFmtId="0" xfId="0" applyAlignment="1" applyBorder="1" applyFont="1">
      <alignment horizontal="right" readingOrder="0" vertical="bottom"/>
    </xf>
    <xf borderId="64" fillId="19" fontId="46" numFmtId="0" xfId="0" applyAlignment="1" applyBorder="1" applyFont="1">
      <alignment horizontal="right" vertical="bottom"/>
    </xf>
    <xf borderId="0" fillId="19" fontId="46" numFmtId="0" xfId="0" applyAlignment="1" applyFont="1">
      <alignment horizontal="right" vertical="bottom"/>
    </xf>
    <xf borderId="0" fillId="18" fontId="63" numFmtId="0" xfId="0" applyFont="1"/>
    <xf borderId="47" fillId="22" fontId="46" numFmtId="0" xfId="0" applyAlignment="1" applyBorder="1" applyFill="1" applyFont="1">
      <alignment horizontal="right" vertical="bottom"/>
    </xf>
    <xf borderId="42" fillId="22" fontId="46" numFmtId="0" xfId="0" applyAlignment="1" applyBorder="1" applyFont="1">
      <alignment horizontal="right" readingOrder="0" vertical="bottom"/>
    </xf>
    <xf borderId="64" fillId="22" fontId="46" numFmtId="0" xfId="0" applyAlignment="1" applyBorder="1" applyFont="1">
      <alignment horizontal="right" vertical="bottom"/>
    </xf>
    <xf borderId="0" fillId="22" fontId="46" numFmtId="0" xfId="0" applyAlignment="1" applyFont="1">
      <alignment horizontal="right" vertical="bottom"/>
    </xf>
    <xf borderId="0" fillId="20" fontId="63" numFmtId="0" xfId="0" applyFont="1"/>
    <xf borderId="47" fillId="20" fontId="46" numFmtId="0" xfId="0" applyAlignment="1" applyBorder="1" applyFont="1">
      <alignment horizontal="right" vertical="bottom"/>
    </xf>
    <xf borderId="42" fillId="20" fontId="46" numFmtId="0" xfId="0" applyAlignment="1" applyBorder="1" applyFont="1">
      <alignment horizontal="right" readingOrder="0" vertical="bottom"/>
    </xf>
    <xf borderId="64" fillId="20" fontId="46" numFmtId="0" xfId="0" applyAlignment="1" applyBorder="1" applyFont="1">
      <alignment horizontal="right" vertical="bottom"/>
    </xf>
    <xf borderId="0" fillId="20" fontId="46" numFmtId="0" xfId="0" applyAlignment="1" applyFont="1">
      <alignment horizontal="right" vertical="bottom"/>
    </xf>
    <xf borderId="0" fillId="4" fontId="64" numFmtId="0" xfId="0" applyFont="1"/>
    <xf borderId="47" fillId="4" fontId="47" numFmtId="0" xfId="0" applyAlignment="1" applyBorder="1" applyFont="1">
      <alignment horizontal="right" vertical="bottom"/>
    </xf>
    <xf borderId="42" fillId="4" fontId="47" numFmtId="0" xfId="0" applyAlignment="1" applyBorder="1" applyFont="1">
      <alignment horizontal="right" readingOrder="0" vertical="bottom"/>
    </xf>
    <xf borderId="64" fillId="4" fontId="47" numFmtId="0" xfId="0" applyAlignment="1" applyBorder="1" applyFont="1">
      <alignment horizontal="right" vertical="bottom"/>
    </xf>
    <xf borderId="0" fillId="4" fontId="47" numFmtId="0" xfId="0" applyAlignment="1" applyFont="1">
      <alignment horizontal="right" vertical="bottom"/>
    </xf>
    <xf borderId="0" fillId="23" fontId="63" numFmtId="0" xfId="0" applyFill="1" applyFont="1"/>
    <xf borderId="47" fillId="23" fontId="46" numFmtId="0" xfId="0" applyAlignment="1" applyBorder="1" applyFont="1">
      <alignment horizontal="right" vertical="bottom"/>
    </xf>
    <xf borderId="42" fillId="23" fontId="46" numFmtId="0" xfId="0" applyAlignment="1" applyBorder="1" applyFont="1">
      <alignment horizontal="right" vertical="bottom"/>
    </xf>
    <xf borderId="64" fillId="23" fontId="46" numFmtId="0" xfId="0" applyAlignment="1" applyBorder="1" applyFont="1">
      <alignment horizontal="right" vertical="bottom"/>
    </xf>
    <xf borderId="0" fillId="23" fontId="46" numFmtId="0" xfId="0" applyAlignment="1" applyFont="1">
      <alignment horizontal="right" vertical="bottom"/>
    </xf>
    <xf borderId="0" fillId="0" fontId="63" numFmtId="0" xfId="0" applyFont="1"/>
    <xf borderId="47" fillId="0" fontId="46" numFmtId="0" xfId="0" applyAlignment="1" applyBorder="1" applyFont="1">
      <alignment horizontal="right" vertical="bottom"/>
    </xf>
    <xf borderId="42" fillId="0" fontId="46" numFmtId="0" xfId="0" applyAlignment="1" applyBorder="1" applyFont="1">
      <alignment horizontal="right" vertical="bottom"/>
    </xf>
    <xf borderId="64" fillId="0" fontId="46" numFmtId="0" xfId="0" applyAlignment="1" applyBorder="1" applyFont="1">
      <alignment horizontal="right" vertical="bottom"/>
    </xf>
    <xf borderId="0" fillId="0" fontId="46" numFmtId="0" xfId="0" applyAlignment="1" applyFont="1">
      <alignment horizontal="right" vertical="bottom"/>
    </xf>
    <xf borderId="65" fillId="0" fontId="3" numFmtId="0" xfId="0" applyBorder="1" applyFont="1"/>
    <xf borderId="44" fillId="0" fontId="63" numFmtId="9" xfId="0" applyBorder="1" applyFont="1" applyNumberFormat="1"/>
    <xf borderId="45" fillId="0" fontId="46" numFmtId="9" xfId="0" applyAlignment="1" applyBorder="1" applyFont="1" applyNumberFormat="1">
      <alignment horizontal="right" vertical="bottom"/>
    </xf>
    <xf borderId="43" fillId="0" fontId="46" numFmtId="9" xfId="0" applyAlignment="1" applyBorder="1" applyFont="1" applyNumberFormat="1">
      <alignment horizontal="right" vertical="bottom"/>
    </xf>
    <xf borderId="66" fillId="0" fontId="46" numFmtId="9" xfId="0" applyAlignment="1" applyBorder="1" applyFont="1" applyNumberFormat="1">
      <alignment horizontal="right" vertical="bottom"/>
    </xf>
    <xf borderId="44" fillId="0" fontId="46" numFmtId="9" xfId="0" applyAlignment="1" applyBorder="1" applyFont="1" applyNumberFormat="1">
      <alignment horizontal="right" vertical="bottom"/>
    </xf>
    <xf borderId="46" fillId="8" fontId="40" numFmtId="0" xfId="0" applyAlignment="1" applyBorder="1" applyFont="1">
      <alignment horizontal="center" readingOrder="0" vertical="center"/>
    </xf>
    <xf borderId="16" fillId="8" fontId="65" numFmtId="0" xfId="0" applyAlignment="1" applyBorder="1" applyFont="1">
      <alignment horizontal="center" readingOrder="0" vertical="center"/>
    </xf>
    <xf borderId="17" fillId="8" fontId="66" numFmtId="0" xfId="0" applyAlignment="1" applyBorder="1" applyFont="1">
      <alignment horizontal="center" readingOrder="0" vertical="center"/>
    </xf>
    <xf borderId="67" fillId="8" fontId="67" numFmtId="0" xfId="0" applyAlignment="1" applyBorder="1" applyFont="1">
      <alignment horizontal="center" readingOrder="0" vertical="center"/>
    </xf>
    <xf borderId="68" fillId="0" fontId="3" numFmtId="0" xfId="0" applyBorder="1" applyFont="1"/>
    <xf borderId="0" fillId="8" fontId="25" numFmtId="0" xfId="0" applyAlignment="1" applyFont="1">
      <alignment horizontal="center" readingOrder="0" vertical="center"/>
    </xf>
    <xf borderId="27" fillId="17" fontId="68" numFmtId="0" xfId="0" applyAlignment="1" applyBorder="1" applyFont="1">
      <alignment horizontal="center" readingOrder="0" vertical="bottom"/>
    </xf>
    <xf borderId="27" fillId="17" fontId="69" numFmtId="0" xfId="0" applyAlignment="1" applyBorder="1" applyFont="1">
      <alignment horizontal="center" vertical="bottom"/>
    </xf>
    <xf borderId="62" fillId="17" fontId="70" numFmtId="0" xfId="0" applyAlignment="1" applyBorder="1" applyFont="1">
      <alignment horizontal="center" readingOrder="0"/>
    </xf>
    <xf borderId="34" fillId="17" fontId="71" numFmtId="0" xfId="0" applyAlignment="1" applyBorder="1" applyFont="1">
      <alignment horizontal="center" readingOrder="0"/>
    </xf>
    <xf borderId="35" fillId="17" fontId="25" numFmtId="0" xfId="0" applyAlignment="1" applyBorder="1" applyFont="1">
      <alignment horizontal="center" readingOrder="0"/>
    </xf>
    <xf borderId="25" fillId="17" fontId="13" numFmtId="0" xfId="0" applyAlignment="1" applyBorder="1" applyFont="1">
      <alignment vertical="bottom"/>
    </xf>
    <xf borderId="56" fillId="17" fontId="13" numFmtId="0" xfId="0" applyAlignment="1" applyBorder="1" applyFont="1">
      <alignment vertical="bottom"/>
    </xf>
    <xf borderId="34" fillId="17" fontId="13" numFmtId="0" xfId="0" applyAlignment="1" applyBorder="1" applyFont="1">
      <alignment vertical="bottom"/>
    </xf>
    <xf borderId="61" fillId="8" fontId="25" numFmtId="0" xfId="0" applyAlignment="1" applyBorder="1" applyFont="1">
      <alignment horizontal="center" readingOrder="0" vertical="center"/>
    </xf>
    <xf borderId="0" fillId="5" fontId="29" numFmtId="0" xfId="0" applyAlignment="1" applyFont="1">
      <alignment horizontal="left" readingOrder="0" vertical="center"/>
    </xf>
    <xf borderId="0" fillId="4" fontId="47" numFmtId="0" xfId="0" applyAlignment="1" applyFont="1">
      <alignment horizontal="center" readingOrder="0" vertical="center"/>
    </xf>
    <xf borderId="31" fillId="4" fontId="1" numFmtId="0" xfId="0" applyAlignment="1" applyBorder="1" applyFont="1">
      <alignment horizontal="center" readingOrder="0" vertical="center"/>
    </xf>
    <xf borderId="31" fillId="4" fontId="47" numFmtId="0" xfId="0" applyAlignment="1" applyBorder="1" applyFont="1">
      <alignment horizontal="center" readingOrder="0" vertical="center"/>
    </xf>
    <xf borderId="0" fillId="4" fontId="47" numFmtId="0" xfId="0" applyAlignment="1" applyFont="1">
      <alignment horizontal="center" vertical="center"/>
    </xf>
    <xf borderId="30" fillId="4" fontId="47" numFmtId="0" xfId="0" applyAlignment="1" applyBorder="1" applyFont="1">
      <alignment horizontal="center" readingOrder="0" vertical="center"/>
    </xf>
    <xf borderId="0" fillId="9" fontId="18" numFmtId="0" xfId="0" applyAlignment="1" applyFont="1">
      <alignment horizontal="left" readingOrder="0" vertical="center"/>
    </xf>
    <xf borderId="0" fillId="9" fontId="72" numFmtId="0" xfId="0" applyAlignment="1" applyFont="1">
      <alignment horizontal="left" readingOrder="0" vertical="center"/>
    </xf>
    <xf borderId="44" fillId="4" fontId="47" numFmtId="0" xfId="0" applyAlignment="1" applyBorder="1" applyFont="1">
      <alignment horizontal="center" readingOrder="0" vertical="center"/>
    </xf>
    <xf borderId="65" fillId="4" fontId="47" numFmtId="0" xfId="0" applyAlignment="1" applyBorder="1" applyFont="1">
      <alignment horizontal="center" readingOrder="0" vertical="center"/>
    </xf>
    <xf borderId="30" fillId="0" fontId="46" numFmtId="0" xfId="0" applyAlignment="1" applyBorder="1" applyFont="1">
      <alignment horizontal="center" readingOrder="0" vertical="center"/>
    </xf>
    <xf borderId="44" fillId="17" fontId="73" numFmtId="0" xfId="0" applyAlignment="1" applyBorder="1" applyFont="1">
      <alignment horizontal="center" readingOrder="0" vertical="center"/>
    </xf>
    <xf borderId="69" fillId="17" fontId="74" numFmtId="0" xfId="0" applyAlignment="1" applyBorder="1" applyFont="1">
      <alignment horizontal="center" readingOrder="0" vertical="center"/>
    </xf>
    <xf borderId="65" fillId="17" fontId="75" numFmtId="0" xfId="0" applyAlignment="1" applyBorder="1" applyFont="1">
      <alignment horizontal="center" readingOrder="0" vertical="center"/>
    </xf>
    <xf borderId="44" fillId="17" fontId="76" numFmtId="0" xfId="0" applyAlignment="1" applyBorder="1" applyFont="1">
      <alignment horizontal="center" vertical="center"/>
    </xf>
    <xf borderId="65" fillId="17" fontId="59" numFmtId="0" xfId="0" applyAlignment="1" applyBorder="1" applyFont="1">
      <alignment horizontal="center" vertical="center"/>
    </xf>
    <xf borderId="44" fillId="0" fontId="77" numFmtId="0" xfId="0" applyAlignment="1" applyBorder="1" applyFont="1">
      <alignment horizontal="center" vertical="center"/>
    </xf>
    <xf borderId="30" fillId="17" fontId="78" numFmtId="0" xfId="0" applyAlignment="1" applyBorder="1" applyFont="1">
      <alignment horizontal="center" vertical="center"/>
    </xf>
    <xf borderId="31" fillId="17" fontId="79" numFmtId="0" xfId="0" applyAlignment="1" applyBorder="1" applyFont="1">
      <alignment horizontal="center" vertical="center"/>
    </xf>
    <xf borderId="44" fillId="17" fontId="59" numFmtId="0" xfId="0" applyAlignment="1" applyBorder="1" applyFont="1">
      <alignment horizontal="center" vertical="center"/>
    </xf>
    <xf borderId="66" fillId="10" fontId="23" numFmtId="0" xfId="0" applyAlignment="1" applyBorder="1" applyFont="1">
      <alignment horizontal="center" readingOrder="0" vertical="center"/>
    </xf>
    <xf borderId="0" fillId="10" fontId="24" numFmtId="0" xfId="0" applyAlignment="1" applyFont="1">
      <alignment readingOrder="0" vertical="center"/>
    </xf>
    <xf borderId="62" fillId="4" fontId="47" numFmtId="0" xfId="0" applyAlignment="1" applyBorder="1" applyFont="1">
      <alignment horizontal="center" readingOrder="0" vertical="center"/>
    </xf>
    <xf borderId="25" fillId="4" fontId="47" numFmtId="0" xfId="0" applyAlignment="1" applyBorder="1" applyFont="1">
      <alignment horizontal="center" readingOrder="0" vertical="center"/>
    </xf>
    <xf borderId="70" fillId="4" fontId="47" numFmtId="0" xfId="0" applyAlignment="1" applyBorder="1" applyFont="1">
      <alignment horizontal="center" readingOrder="0" vertical="center"/>
    </xf>
    <xf borderId="62" fillId="4" fontId="47" numFmtId="0" xfId="0" applyAlignment="1" applyBorder="1" applyFont="1">
      <alignment horizontal="center" vertical="center"/>
    </xf>
    <xf borderId="16" fillId="17" fontId="59" numFmtId="0" xfId="0" applyAlignment="1" applyBorder="1" applyFont="1">
      <alignment horizontal="center" vertical="center"/>
    </xf>
    <xf borderId="17" fillId="17" fontId="59" numFmtId="0" xfId="0" applyAlignment="1" applyBorder="1" applyFont="1">
      <alignment horizontal="center" vertical="center"/>
    </xf>
    <xf borderId="20" fillId="17" fontId="59" numFmtId="0" xfId="0" applyAlignment="1" applyBorder="1" applyFont="1">
      <alignment horizontal="center" vertical="center"/>
    </xf>
    <xf borderId="15" fillId="17" fontId="59" numFmtId="0" xfId="0" applyAlignment="1" applyBorder="1" applyFont="1">
      <alignment horizontal="center" vertical="center"/>
    </xf>
    <xf borderId="31" fillId="19" fontId="46" numFmtId="0" xfId="0" applyAlignment="1" applyBorder="1" applyFont="1">
      <alignment horizontal="right" vertical="bottom"/>
    </xf>
    <xf borderId="71" fillId="19" fontId="46" numFmtId="0" xfId="0" applyAlignment="1" applyBorder="1" applyFont="1">
      <alignment horizontal="right" vertical="bottom"/>
    </xf>
    <xf borderId="72" fillId="19" fontId="46" numFmtId="0" xfId="0" applyAlignment="1" applyBorder="1" applyFont="1">
      <alignment horizontal="right" vertical="bottom"/>
    </xf>
    <xf borderId="31" fillId="22" fontId="46" numFmtId="0" xfId="0" applyAlignment="1" applyBorder="1" applyFont="1">
      <alignment horizontal="right" vertical="bottom"/>
    </xf>
    <xf borderId="71" fillId="22" fontId="46" numFmtId="0" xfId="0" applyAlignment="1" applyBorder="1" applyFont="1">
      <alignment horizontal="right" vertical="bottom"/>
    </xf>
    <xf borderId="72" fillId="22" fontId="46" numFmtId="0" xfId="0" applyAlignment="1" applyBorder="1" applyFont="1">
      <alignment horizontal="right" vertical="bottom"/>
    </xf>
    <xf borderId="31" fillId="20" fontId="46" numFmtId="0" xfId="0" applyAlignment="1" applyBorder="1" applyFont="1">
      <alignment horizontal="right" vertical="bottom"/>
    </xf>
    <xf borderId="71" fillId="20" fontId="46" numFmtId="0" xfId="0" applyAlignment="1" applyBorder="1" applyFont="1">
      <alignment horizontal="right" vertical="bottom"/>
    </xf>
    <xf borderId="72" fillId="20" fontId="46" numFmtId="0" xfId="0" applyAlignment="1" applyBorder="1" applyFont="1">
      <alignment horizontal="right" vertical="bottom"/>
    </xf>
    <xf borderId="31" fillId="4" fontId="47" numFmtId="0" xfId="0" applyAlignment="1" applyBorder="1" applyFont="1">
      <alignment horizontal="right" vertical="bottom"/>
    </xf>
    <xf borderId="71" fillId="4" fontId="47" numFmtId="0" xfId="0" applyAlignment="1" applyBorder="1" applyFont="1">
      <alignment horizontal="right" vertical="bottom"/>
    </xf>
    <xf borderId="72" fillId="4" fontId="47" numFmtId="0" xfId="0" applyAlignment="1" applyBorder="1" applyFont="1">
      <alignment horizontal="right" vertical="bottom"/>
    </xf>
    <xf borderId="31" fillId="23" fontId="46" numFmtId="0" xfId="0" applyAlignment="1" applyBorder="1" applyFont="1">
      <alignment horizontal="right" vertical="bottom"/>
    </xf>
    <xf borderId="71" fillId="23" fontId="46" numFmtId="0" xfId="0" applyAlignment="1" applyBorder="1" applyFont="1">
      <alignment horizontal="right" vertical="bottom"/>
    </xf>
    <xf borderId="72" fillId="23" fontId="46" numFmtId="0" xfId="0" applyAlignment="1" applyBorder="1" applyFont="1">
      <alignment horizontal="right" vertical="bottom"/>
    </xf>
    <xf borderId="31" fillId="0" fontId="46" numFmtId="0" xfId="0" applyAlignment="1" applyBorder="1" applyFont="1">
      <alignment horizontal="right" vertical="bottom"/>
    </xf>
    <xf borderId="71" fillId="0" fontId="46" numFmtId="0" xfId="0" applyAlignment="1" applyBorder="1" applyFont="1">
      <alignment horizontal="right" vertical="bottom"/>
    </xf>
    <xf borderId="72" fillId="0" fontId="46" numFmtId="0" xfId="0" applyAlignment="1" applyBorder="1" applyFont="1">
      <alignment horizontal="right" vertical="bottom"/>
    </xf>
    <xf borderId="65" fillId="0" fontId="46" numFmtId="9" xfId="0" applyAlignment="1" applyBorder="1" applyFont="1" applyNumberFormat="1">
      <alignment horizontal="right" vertical="bottom"/>
    </xf>
    <xf borderId="73" fillId="0" fontId="46" numFmtId="9" xfId="0" applyAlignment="1" applyBorder="1" applyFont="1" applyNumberFormat="1">
      <alignment horizontal="right" vertical="bottom"/>
    </xf>
    <xf borderId="74" fillId="0" fontId="46" numFmtId="9" xfId="0" applyAlignment="1" applyBorder="1" applyFont="1" applyNumberFormat="1">
      <alignment horizontal="right" vertical="bottom"/>
    </xf>
    <xf borderId="75" fillId="17" fontId="25" numFmtId="0" xfId="0" applyAlignment="1" applyBorder="1" applyFont="1">
      <alignment horizontal="center" readingOrder="0" vertical="center"/>
    </xf>
    <xf borderId="76" fillId="0" fontId="3" numFmtId="0" xfId="0" applyBorder="1" applyFont="1"/>
    <xf borderId="76" fillId="17" fontId="25" numFmtId="0" xfId="0" applyAlignment="1" applyBorder="1" applyFont="1">
      <alignment horizontal="center" readingOrder="0" vertical="center"/>
    </xf>
    <xf borderId="75" fillId="17" fontId="25" numFmtId="0" xfId="0" applyAlignment="1" applyBorder="1" applyFont="1">
      <alignment horizontal="center" readingOrder="0" vertical="center"/>
    </xf>
    <xf borderId="77" fillId="0" fontId="3" numFmtId="0" xfId="0" applyBorder="1" applyFont="1"/>
    <xf borderId="78" fillId="17" fontId="25" numFmtId="0" xfId="0" applyAlignment="1" applyBorder="1" applyFont="1">
      <alignment horizontal="center" readingOrder="0" vertical="center"/>
    </xf>
    <xf borderId="78" fillId="17" fontId="25" numFmtId="0" xfId="0" applyAlignment="1" applyBorder="1" applyFont="1">
      <alignment horizontal="center" readingOrder="0" vertical="center"/>
    </xf>
    <xf borderId="0" fillId="0" fontId="13" numFmtId="0" xfId="0" applyFont="1"/>
    <xf borderId="79" fillId="0" fontId="3" numFmtId="0" xfId="0" applyBorder="1" applyFont="1"/>
    <xf borderId="80" fillId="0" fontId="3" numFmtId="0" xfId="0" applyBorder="1" applyFont="1"/>
    <xf borderId="81" fillId="0" fontId="3" numFmtId="0" xfId="0" applyBorder="1" applyFont="1"/>
    <xf borderId="82" fillId="0" fontId="3" numFmtId="0" xfId="0" applyBorder="1" applyFont="1"/>
    <xf borderId="83" fillId="0" fontId="3" numFmtId="0" xfId="0" applyBorder="1" applyFont="1"/>
    <xf borderId="84" fillId="17" fontId="10" numFmtId="0" xfId="0" applyAlignment="1" applyBorder="1" applyFont="1">
      <alignment horizontal="center" readingOrder="0" vertical="center"/>
    </xf>
    <xf borderId="84" fillId="17" fontId="10" numFmtId="164" xfId="0" applyAlignment="1" applyBorder="1" applyFont="1" applyNumberFormat="1">
      <alignment horizontal="center" readingOrder="0" vertical="bottom"/>
    </xf>
    <xf borderId="85" fillId="17" fontId="10" numFmtId="0" xfId="0" applyAlignment="1" applyBorder="1" applyFont="1">
      <alignment horizontal="center" readingOrder="0" vertical="bottom"/>
    </xf>
    <xf borderId="78" fillId="17" fontId="10" numFmtId="0" xfId="0" applyAlignment="1" applyBorder="1" applyFont="1">
      <alignment horizontal="center" readingOrder="0" vertical="bottom"/>
    </xf>
    <xf borderId="86" fillId="17" fontId="10" numFmtId="0" xfId="0" applyAlignment="1" applyBorder="1" applyFont="1">
      <alignment horizontal="center" readingOrder="0" vertical="bottom"/>
    </xf>
    <xf borderId="87" fillId="17" fontId="10" numFmtId="0" xfId="0" applyAlignment="1" applyBorder="1" applyFont="1">
      <alignment horizontal="center" readingOrder="0" vertical="bottom"/>
    </xf>
    <xf borderId="84" fillId="17" fontId="80" numFmtId="0" xfId="0" applyAlignment="1" applyBorder="1" applyFont="1">
      <alignment horizontal="center" vertical="bottom"/>
    </xf>
    <xf borderId="84" fillId="17" fontId="10" numFmtId="0" xfId="0" applyAlignment="1" applyBorder="1" applyFont="1">
      <alignment horizontal="center" readingOrder="0" shrinkToFit="0" vertical="bottom" wrapText="1"/>
    </xf>
    <xf borderId="84" fillId="17" fontId="10" numFmtId="0" xfId="0" applyAlignment="1" applyBorder="1" applyFont="1">
      <alignment horizontal="center" readingOrder="0" vertical="center"/>
    </xf>
    <xf borderId="84" fillId="0" fontId="13" numFmtId="0" xfId="0" applyBorder="1" applyFont="1"/>
    <xf borderId="76" fillId="20" fontId="81" numFmtId="165" xfId="0" applyAlignment="1" applyBorder="1" applyFont="1" applyNumberFormat="1">
      <alignment horizontal="center" readingOrder="0" vertical="center"/>
    </xf>
    <xf borderId="76" fillId="20" fontId="81" numFmtId="166" xfId="0" applyAlignment="1" applyBorder="1" applyFont="1" applyNumberFormat="1">
      <alignment horizontal="center" readingOrder="0" vertical="center"/>
    </xf>
    <xf borderId="76" fillId="4" fontId="81" numFmtId="0" xfId="0" applyAlignment="1" applyBorder="1" applyFont="1">
      <alignment horizontal="center" readingOrder="0" vertical="center"/>
    </xf>
    <xf borderId="76" fillId="20" fontId="81" numFmtId="0" xfId="0" applyAlignment="1" applyBorder="1" applyFont="1">
      <alignment horizontal="center" readingOrder="0" vertical="center"/>
    </xf>
    <xf borderId="88" fillId="4" fontId="82" numFmtId="0" xfId="0" applyAlignment="1" applyBorder="1" applyFont="1">
      <alignment horizontal="center" readingOrder="0" vertical="center"/>
    </xf>
    <xf borderId="88" fillId="4" fontId="81" numFmtId="0" xfId="0" applyAlignment="1" applyBorder="1" applyFont="1">
      <alignment horizontal="center" readingOrder="0" vertical="center"/>
    </xf>
    <xf borderId="89" fillId="4" fontId="14" numFmtId="0" xfId="0" applyAlignment="1" applyBorder="1" applyFont="1">
      <alignment horizontal="left" readingOrder="0" shrinkToFit="0" vertical="center" wrapText="0"/>
    </xf>
    <xf borderId="88" fillId="0" fontId="81" numFmtId="167" xfId="0" applyAlignment="1" applyBorder="1" applyFont="1" applyNumberFormat="1">
      <alignment horizontal="center" vertical="center"/>
    </xf>
    <xf borderId="89" fillId="0" fontId="81" numFmtId="167" xfId="0" applyAlignment="1" applyBorder="1" applyFont="1" applyNumberFormat="1">
      <alignment horizontal="center" vertical="center"/>
    </xf>
    <xf borderId="77" fillId="0" fontId="81" numFmtId="167" xfId="0" applyAlignment="1" applyBorder="1" applyFont="1" applyNumberFormat="1">
      <alignment horizontal="center" readingOrder="0" vertical="center"/>
    </xf>
    <xf borderId="90" fillId="0" fontId="81" numFmtId="0" xfId="0" applyAlignment="1" applyBorder="1" applyFont="1">
      <alignment horizontal="left" vertical="center"/>
    </xf>
    <xf borderId="76" fillId="0" fontId="13" numFmtId="0" xfId="0" applyAlignment="1" applyBorder="1" applyFont="1">
      <alignment vertical="center"/>
    </xf>
    <xf borderId="0" fillId="20" fontId="81" numFmtId="165" xfId="0" applyAlignment="1" applyFont="1" applyNumberFormat="1">
      <alignment horizontal="center" readingOrder="0" vertical="center"/>
    </xf>
    <xf borderId="0" fillId="20" fontId="81" numFmtId="166" xfId="0" applyAlignment="1" applyFont="1" applyNumberFormat="1">
      <alignment horizontal="center" readingOrder="0" vertical="center"/>
    </xf>
    <xf borderId="0" fillId="4" fontId="81" numFmtId="0" xfId="0" applyAlignment="1" applyFont="1">
      <alignment horizontal="center" readingOrder="0" vertical="center"/>
    </xf>
    <xf borderId="0" fillId="20" fontId="81" numFmtId="0" xfId="0" applyAlignment="1" applyFont="1">
      <alignment horizontal="center" readingOrder="0" vertical="center"/>
    </xf>
    <xf borderId="91" fillId="4" fontId="82" numFmtId="0" xfId="0" applyAlignment="1" applyBorder="1" applyFont="1">
      <alignment horizontal="center" readingOrder="0" vertical="center"/>
    </xf>
    <xf borderId="91" fillId="4" fontId="81" numFmtId="0" xfId="0" applyAlignment="1" applyBorder="1" applyFont="1">
      <alignment horizontal="center" readingOrder="0" vertical="center"/>
    </xf>
    <xf borderId="92" fillId="4" fontId="14" numFmtId="0" xfId="0" applyAlignment="1" applyBorder="1" applyFont="1">
      <alignment horizontal="left" readingOrder="0" shrinkToFit="0" vertical="center" wrapText="0"/>
    </xf>
    <xf borderId="93" fillId="24" fontId="81" numFmtId="167" xfId="0" applyAlignment="1" applyBorder="1" applyFill="1" applyFont="1" applyNumberFormat="1">
      <alignment horizontal="center" vertical="center"/>
    </xf>
    <xf borderId="92" fillId="24" fontId="81" numFmtId="167" xfId="0" applyAlignment="1" applyBorder="1" applyFont="1" applyNumberFormat="1">
      <alignment horizontal="center" vertical="center"/>
    </xf>
    <xf borderId="94" fillId="0" fontId="81" numFmtId="167" xfId="0" applyAlignment="1" applyBorder="1" applyFont="1" applyNumberFormat="1">
      <alignment horizontal="center" readingOrder="0" vertical="center"/>
    </xf>
    <xf borderId="95" fillId="0" fontId="81" numFmtId="0" xfId="0" applyAlignment="1" applyBorder="1" applyFont="1">
      <alignment horizontal="left" readingOrder="0" vertical="center"/>
    </xf>
    <xf borderId="0" fillId="0" fontId="13" numFmtId="0" xfId="0" applyAlignment="1" applyFont="1">
      <alignment vertical="center"/>
    </xf>
    <xf borderId="96" fillId="0" fontId="81" numFmtId="167" xfId="0" applyAlignment="1" applyBorder="1" applyFont="1" applyNumberFormat="1">
      <alignment horizontal="center" readingOrder="0" vertical="center"/>
    </xf>
    <xf borderId="95" fillId="0" fontId="81" numFmtId="0" xfId="0" applyAlignment="1" applyBorder="1" applyFont="1">
      <alignment horizontal="left" vertical="center"/>
    </xf>
    <xf borderId="96" fillId="0" fontId="3" numFmtId="0" xfId="0" applyBorder="1" applyFont="1"/>
    <xf borderId="0" fillId="4" fontId="81" numFmtId="0" xfId="0" applyAlignment="1" applyFont="1">
      <alignment horizontal="center" readingOrder="0" vertical="center"/>
    </xf>
    <xf borderId="91" fillId="4" fontId="81" numFmtId="0" xfId="0" applyAlignment="1" applyBorder="1" applyFont="1">
      <alignment horizontal="center" readingOrder="0" vertical="center"/>
    </xf>
    <xf borderId="92" fillId="4" fontId="14" numFmtId="0" xfId="0" applyAlignment="1" applyBorder="1" applyFont="1">
      <alignment horizontal="left" readingOrder="0" shrinkToFit="0" vertical="center" wrapText="0"/>
    </xf>
    <xf borderId="80" fillId="20" fontId="81" numFmtId="165" xfId="0" applyAlignment="1" applyBorder="1" applyFont="1" applyNumberFormat="1">
      <alignment horizontal="center" readingOrder="0" vertical="center"/>
    </xf>
    <xf borderId="80" fillId="4" fontId="81" numFmtId="166" xfId="0" applyAlignment="1" applyBorder="1" applyFont="1" applyNumberFormat="1">
      <alignment horizontal="center" readingOrder="0" vertical="center"/>
    </xf>
    <xf borderId="80" fillId="4" fontId="81" numFmtId="0" xfId="0" applyAlignment="1" applyBorder="1" applyFont="1">
      <alignment horizontal="center" readingOrder="0" vertical="center"/>
    </xf>
    <xf borderId="80" fillId="20" fontId="81" numFmtId="0" xfId="0" applyAlignment="1" applyBorder="1" applyFont="1">
      <alignment horizontal="center" readingOrder="0" vertical="center"/>
    </xf>
    <xf borderId="97" fillId="4" fontId="82" numFmtId="0" xfId="0" applyAlignment="1" applyBorder="1" applyFont="1">
      <alignment horizontal="center" readingOrder="0" vertical="center"/>
    </xf>
    <xf borderId="97" fillId="4" fontId="81" numFmtId="0" xfId="0" applyAlignment="1" applyBorder="1" applyFont="1">
      <alignment horizontal="center" readingOrder="0" vertical="center"/>
    </xf>
    <xf borderId="98" fillId="4" fontId="14" numFmtId="0" xfId="0" applyAlignment="1" applyBorder="1" applyFont="1">
      <alignment horizontal="left" readingOrder="0" shrinkToFit="0" vertical="center" wrapText="0"/>
    </xf>
    <xf borderId="97" fillId="0" fontId="81" numFmtId="167" xfId="0" applyAlignment="1" applyBorder="1" applyFont="1" applyNumberFormat="1">
      <alignment horizontal="center" vertical="center"/>
    </xf>
    <xf borderId="98" fillId="0" fontId="81" numFmtId="167" xfId="0" applyAlignment="1" applyBorder="1" applyFont="1" applyNumberFormat="1">
      <alignment horizontal="center" vertical="center"/>
    </xf>
    <xf borderId="81" fillId="0" fontId="81" numFmtId="167" xfId="0" applyAlignment="1" applyBorder="1" applyFont="1" applyNumberFormat="1">
      <alignment horizontal="center" vertical="center"/>
    </xf>
    <xf borderId="99" fillId="0" fontId="81" numFmtId="0" xfId="0" applyAlignment="1" applyBorder="1" applyFont="1">
      <alignment horizontal="left" vertical="center"/>
    </xf>
    <xf borderId="80" fillId="0" fontId="13" numFmtId="0" xfId="0" applyAlignment="1" applyBorder="1" applyFont="1">
      <alignment vertical="center"/>
    </xf>
    <xf borderId="93" fillId="4" fontId="81" numFmtId="167" xfId="0" applyAlignment="1" applyBorder="1" applyFont="1" applyNumberFormat="1">
      <alignment horizontal="center" vertical="center"/>
    </xf>
    <xf borderId="92" fillId="4" fontId="81" numFmtId="167" xfId="0" applyAlignment="1" applyBorder="1" applyFont="1" applyNumberFormat="1">
      <alignment horizontal="center" vertical="center"/>
    </xf>
    <xf borderId="94" fillId="0" fontId="81" numFmtId="167" xfId="0" applyAlignment="1" applyBorder="1" applyFont="1" applyNumberFormat="1">
      <alignment horizontal="center" readingOrder="0" vertical="center"/>
    </xf>
    <xf borderId="93" fillId="0" fontId="3" numFmtId="0" xfId="0" applyBorder="1" applyFont="1"/>
    <xf borderId="92" fillId="0" fontId="3" numFmtId="0" xfId="0" applyBorder="1" applyFont="1"/>
    <xf borderId="0" fillId="24" fontId="81" numFmtId="165" xfId="0" applyAlignment="1" applyFont="1" applyNumberFormat="1">
      <alignment horizontal="center" vertical="center"/>
    </xf>
    <xf borderId="94" fillId="0" fontId="3" numFmtId="0" xfId="0" applyBorder="1" applyFont="1"/>
    <xf borderId="95" fillId="0" fontId="81" numFmtId="167" xfId="0" applyAlignment="1" applyBorder="1" applyFont="1" applyNumberFormat="1">
      <alignment horizontal="left" vertical="center"/>
    </xf>
    <xf borderId="92" fillId="4" fontId="14" numFmtId="0" xfId="0" applyAlignment="1" applyBorder="1" applyFont="1">
      <alignment horizontal="left" shrinkToFit="0" vertical="center" wrapText="0"/>
    </xf>
    <xf borderId="91" fillId="0" fontId="81" numFmtId="167" xfId="0" applyAlignment="1" applyBorder="1" applyFont="1" applyNumberFormat="1">
      <alignment horizontal="center" vertical="center"/>
    </xf>
    <xf borderId="92" fillId="0" fontId="81" numFmtId="167" xfId="0" applyAlignment="1" applyBorder="1" applyFont="1" applyNumberFormat="1">
      <alignment horizontal="center" vertical="center"/>
    </xf>
    <xf borderId="94" fillId="0" fontId="81" numFmtId="0" xfId="0" applyAlignment="1" applyBorder="1" applyFont="1">
      <alignment horizontal="center" readingOrder="0" vertical="center"/>
    </xf>
    <xf borderId="91" fillId="4" fontId="81" numFmtId="0" xfId="0" applyAlignment="1" applyBorder="1" applyFont="1">
      <alignment horizontal="center" vertical="center"/>
    </xf>
    <xf borderId="92" fillId="4" fontId="14" numFmtId="0" xfId="0" applyAlignment="1" applyBorder="1" applyFont="1">
      <alignment shrinkToFit="0" vertical="center" wrapText="0"/>
    </xf>
    <xf borderId="91" fillId="0" fontId="81" numFmtId="167" xfId="0" applyAlignment="1" applyBorder="1" applyFont="1" applyNumberFormat="1">
      <alignment vertical="center"/>
    </xf>
    <xf borderId="92" fillId="0" fontId="81" numFmtId="167" xfId="0" applyAlignment="1" applyBorder="1" applyFont="1" applyNumberFormat="1">
      <alignment vertical="center"/>
    </xf>
    <xf borderId="94" fillId="0" fontId="81" numFmtId="167" xfId="0" applyAlignment="1" applyBorder="1" applyFont="1" applyNumberFormat="1">
      <alignment horizontal="center" vertical="center"/>
    </xf>
    <xf borderId="92" fillId="4" fontId="14" numFmtId="0" xfId="0" applyAlignment="1" applyBorder="1" applyFont="1">
      <alignment horizontal="left" shrinkToFit="0" vertical="center" wrapText="0"/>
    </xf>
    <xf borderId="91" fillId="0" fontId="3" numFmtId="0" xfId="0" applyBorder="1" applyFont="1"/>
    <xf borderId="0" fillId="4" fontId="81" numFmtId="166" xfId="0" applyAlignment="1" applyFont="1" applyNumberFormat="1">
      <alignment horizontal="center" readingOrder="0" vertical="center"/>
    </xf>
    <xf borderId="0" fillId="24" fontId="81" numFmtId="166" xfId="0" applyAlignment="1" applyFont="1" applyNumberFormat="1">
      <alignment horizontal="center" readingOrder="0" vertical="center"/>
    </xf>
    <xf borderId="91" fillId="4" fontId="46" numFmtId="0" xfId="0" applyAlignment="1" applyBorder="1" applyFont="1">
      <alignment horizontal="center" vertical="center"/>
    </xf>
    <xf borderId="92" fillId="4" fontId="14" numFmtId="0" xfId="0" applyAlignment="1" applyBorder="1" applyFont="1">
      <alignment shrinkToFit="0" vertical="center" wrapText="0"/>
    </xf>
    <xf borderId="91" fillId="0" fontId="13" numFmtId="167" xfId="0" applyAlignment="1" applyBorder="1" applyFont="1" applyNumberFormat="1">
      <alignment vertical="center"/>
    </xf>
    <xf borderId="92" fillId="0" fontId="13" numFmtId="167" xfId="0" applyAlignment="1" applyBorder="1" applyFont="1" applyNumberFormat="1">
      <alignment vertical="center"/>
    </xf>
    <xf borderId="94" fillId="0" fontId="46" numFmtId="167" xfId="0" applyAlignment="1" applyBorder="1" applyFont="1" applyNumberFormat="1">
      <alignment horizontal="center" vertical="center"/>
    </xf>
    <xf borderId="92" fillId="4" fontId="14" numFmtId="0" xfId="0" applyAlignment="1" applyBorder="1" applyFont="1">
      <alignment readingOrder="0" shrinkToFit="0" vertical="center" wrapText="0"/>
    </xf>
    <xf borderId="94" fillId="0" fontId="46" numFmtId="167" xfId="0" applyAlignment="1" applyBorder="1" applyFont="1" applyNumberFormat="1">
      <alignment horizontal="center" readingOrder="0" vertical="center"/>
    </xf>
    <xf borderId="0" fillId="4" fontId="46" numFmtId="0" xfId="0" applyAlignment="1" applyFont="1">
      <alignment horizontal="center" readingOrder="0" vertical="center"/>
    </xf>
    <xf borderId="0" fillId="4" fontId="83" numFmtId="0" xfId="0" applyAlignment="1" applyFont="1">
      <alignment horizontal="center" readingOrder="0" vertical="center"/>
    </xf>
    <xf borderId="91" fillId="4" fontId="46" numFmtId="0" xfId="0" applyAlignment="1" applyBorder="1" applyFont="1">
      <alignment horizontal="center" readingOrder="0" vertical="center"/>
    </xf>
    <xf borderId="80" fillId="4" fontId="81" numFmtId="166" xfId="0" applyAlignment="1" applyBorder="1" applyFont="1" applyNumberFormat="1">
      <alignment horizontal="center" vertical="center"/>
    </xf>
    <xf borderId="80" fillId="4" fontId="46" numFmtId="0" xfId="0" applyAlignment="1" applyBorder="1" applyFont="1">
      <alignment horizontal="center" vertical="center"/>
    </xf>
    <xf borderId="80" fillId="4" fontId="83" numFmtId="0" xfId="0" applyAlignment="1" applyBorder="1" applyFont="1">
      <alignment horizontal="center" vertical="center"/>
    </xf>
    <xf borderId="97" fillId="4" fontId="46" numFmtId="0" xfId="0" applyAlignment="1" applyBorder="1" applyFont="1">
      <alignment horizontal="center" vertical="center"/>
    </xf>
    <xf borderId="98" fillId="4" fontId="14" numFmtId="0" xfId="0" applyAlignment="1" applyBorder="1" applyFont="1">
      <alignment shrinkToFit="0" vertical="center" wrapText="0"/>
    </xf>
    <xf borderId="97" fillId="0" fontId="13" numFmtId="167" xfId="0" applyAlignment="1" applyBorder="1" applyFont="1" applyNumberFormat="1">
      <alignment vertical="center"/>
    </xf>
    <xf borderId="98" fillId="0" fontId="13" numFmtId="167" xfId="0" applyAlignment="1" applyBorder="1" applyFont="1" applyNumberFormat="1">
      <alignment vertical="center"/>
    </xf>
    <xf borderId="81" fillId="0" fontId="46" numFmtId="167" xfId="0" applyAlignment="1" applyBorder="1" applyFont="1" applyNumberFormat="1">
      <alignment horizontal="center" vertical="center"/>
    </xf>
    <xf borderId="80" fillId="0" fontId="13" numFmtId="0" xfId="0" applyBorder="1" applyFont="1"/>
    <xf borderId="0" fillId="0" fontId="13" numFmtId="0" xfId="0" applyAlignment="1" applyFont="1">
      <alignment vertical="bottom"/>
    </xf>
    <xf borderId="0" fillId="4" fontId="81" numFmtId="168" xfId="0" applyAlignment="1" applyFont="1" applyNumberFormat="1">
      <alignment horizontal="center" readingOrder="0" vertical="center"/>
    </xf>
    <xf borderId="80" fillId="0" fontId="13" numFmtId="0" xfId="0" applyAlignment="1" applyBorder="1" applyFont="1">
      <alignment vertical="bottom"/>
    </xf>
    <xf borderId="0" fillId="0" fontId="81" numFmtId="0" xfId="0" applyFont="1"/>
    <xf borderId="80" fillId="4" fontId="46" numFmtId="0" xfId="0" applyAlignment="1" applyBorder="1" applyFont="1">
      <alignment horizontal="center" readingOrder="0" vertical="center"/>
    </xf>
    <xf borderId="80" fillId="4" fontId="84" numFmtId="0" xfId="0" applyAlignment="1" applyBorder="1" applyFont="1">
      <alignment horizontal="center" readingOrder="0" vertical="center"/>
    </xf>
    <xf borderId="97" fillId="4" fontId="46" numFmtId="0" xfId="0" applyAlignment="1" applyBorder="1" applyFont="1">
      <alignment horizontal="center" readingOrder="0" vertical="center"/>
    </xf>
    <xf borderId="97" fillId="0" fontId="81" numFmtId="167" xfId="0" applyAlignment="1" applyBorder="1" applyFont="1" applyNumberFormat="1">
      <alignment horizontal="center" readingOrder="0" vertical="center"/>
    </xf>
    <xf borderId="0" fillId="24" fontId="81" numFmtId="165" xfId="0" applyAlignment="1" applyFont="1" applyNumberFormat="1">
      <alignment horizontal="center" readingOrder="0" vertical="center"/>
    </xf>
    <xf borderId="91" fillId="4" fontId="85" numFmtId="0" xfId="0" applyAlignment="1" applyBorder="1" applyFont="1">
      <alignment horizontal="center" readingOrder="0" vertical="center"/>
    </xf>
    <xf borderId="91" fillId="4" fontId="85" numFmtId="0" xfId="0" applyAlignment="1" applyBorder="1" applyFont="1">
      <alignment horizontal="center" vertical="center"/>
    </xf>
    <xf borderId="95" fillId="0" fontId="81" numFmtId="0" xfId="0" applyBorder="1" applyFont="1"/>
    <xf borderId="95" fillId="0" fontId="81" numFmtId="0" xfId="0" applyAlignment="1" applyBorder="1" applyFont="1">
      <alignment readingOrder="0"/>
    </xf>
    <xf borderId="80" fillId="24" fontId="81" numFmtId="165" xfId="0" applyAlignment="1" applyBorder="1" applyFont="1" applyNumberFormat="1">
      <alignment horizontal="center" readingOrder="0" vertical="center"/>
    </xf>
    <xf borderId="97" fillId="4" fontId="85" numFmtId="0" xfId="0" applyAlignment="1" applyBorder="1" applyFont="1">
      <alignment horizontal="center" vertical="center"/>
    </xf>
    <xf borderId="100" fillId="0" fontId="81" numFmtId="0" xfId="0" applyBorder="1" applyFont="1"/>
    <xf borderId="93" fillId="24" fontId="81" numFmtId="167" xfId="0" applyAlignment="1" applyBorder="1" applyFont="1" applyNumberFormat="1">
      <alignment horizontal="center" readingOrder="0" vertical="center"/>
    </xf>
    <xf borderId="47" fillId="0" fontId="14" numFmtId="0" xfId="0" applyAlignment="1" applyBorder="1" applyFont="1">
      <alignment horizontal="left" readingOrder="0" vertical="center"/>
    </xf>
    <xf borderId="91" fillId="0" fontId="13" numFmtId="167" xfId="0" applyAlignment="1" applyBorder="1" applyFont="1" applyNumberFormat="1">
      <alignment readingOrder="0" vertical="center"/>
    </xf>
    <xf borderId="92" fillId="24" fontId="81" numFmtId="167" xfId="0" applyAlignment="1" applyBorder="1" applyFont="1" applyNumberFormat="1">
      <alignment horizontal="center" readingOrder="0" vertical="center"/>
    </xf>
    <xf borderId="0" fillId="25" fontId="81" numFmtId="165" xfId="0" applyAlignment="1" applyFill="1" applyFont="1" applyNumberFormat="1">
      <alignment horizontal="center" readingOrder="0" vertical="center"/>
    </xf>
    <xf borderId="80" fillId="4" fontId="83" numFmtId="0" xfId="0" applyAlignment="1" applyBorder="1" applyFont="1">
      <alignment horizontal="center" readingOrder="0" vertical="center"/>
    </xf>
    <xf borderId="97" fillId="4" fontId="85" numFmtId="0" xfId="0" applyAlignment="1" applyBorder="1" applyFont="1">
      <alignment horizontal="center" readingOrder="0" vertical="center"/>
    </xf>
    <xf borderId="101" fillId="4" fontId="46" numFmtId="0" xfId="0" applyAlignment="1" applyBorder="1" applyFont="1">
      <alignment horizontal="center" readingOrder="0" vertical="center"/>
    </xf>
    <xf borderId="98" fillId="4" fontId="14" numFmtId="0" xfId="0" applyAlignment="1" applyBorder="1" applyFont="1">
      <alignment readingOrder="0" shrinkToFit="0" vertical="center" wrapText="0"/>
    </xf>
    <xf borderId="97" fillId="0" fontId="3" numFmtId="0" xfId="0" applyBorder="1" applyFont="1"/>
    <xf borderId="99" fillId="0" fontId="81" numFmtId="0" xfId="0" applyBorder="1" applyFont="1"/>
    <xf borderId="102" fillId="0" fontId="13" numFmtId="167" xfId="0" applyAlignment="1" applyBorder="1" applyFont="1" applyNumberFormat="1">
      <alignment vertical="center"/>
    </xf>
    <xf borderId="95" fillId="0" fontId="81" numFmtId="0" xfId="0" applyAlignment="1" applyBorder="1" applyFont="1">
      <alignment vertical="bottom"/>
    </xf>
    <xf borderId="0" fillId="26" fontId="46" numFmtId="0" xfId="0" applyAlignment="1" applyFill="1" applyFont="1">
      <alignment horizontal="center"/>
    </xf>
    <xf borderId="0" fillId="27" fontId="86" numFmtId="0" xfId="0" applyAlignment="1" applyFill="1" applyFont="1">
      <alignment horizontal="center" readingOrder="0"/>
    </xf>
    <xf borderId="91" fillId="4" fontId="87" numFmtId="0" xfId="0" applyBorder="1" applyFont="1"/>
    <xf borderId="91" fillId="28" fontId="1" numFmtId="0" xfId="0" applyAlignment="1" applyBorder="1" applyFill="1" applyFont="1">
      <alignment horizontal="center"/>
    </xf>
    <xf borderId="0" fillId="8" fontId="80" numFmtId="0" xfId="0" applyAlignment="1" applyFont="1">
      <alignment horizontal="center" vertical="center"/>
    </xf>
    <xf borderId="95" fillId="0" fontId="81" numFmtId="0" xfId="0" applyAlignment="1" applyBorder="1" applyFont="1">
      <alignment readingOrder="0" vertical="bottom"/>
    </xf>
    <xf borderId="47" fillId="4" fontId="85" numFmtId="0" xfId="0" applyAlignment="1" applyBorder="1" applyFont="1">
      <alignment horizontal="center" vertical="center"/>
    </xf>
    <xf borderId="0" fillId="4" fontId="85" numFmtId="0" xfId="0" applyAlignment="1" applyFont="1">
      <alignment horizontal="center" vertical="center"/>
    </xf>
    <xf borderId="42" fillId="4" fontId="46" numFmtId="0" xfId="0" applyAlignment="1" applyBorder="1" applyFont="1">
      <alignment horizontal="center" readingOrder="0" vertical="center"/>
    </xf>
    <xf borderId="42" fillId="4" fontId="88" numFmtId="0" xfId="0" applyAlignment="1" applyBorder="1" applyFont="1">
      <alignment readingOrder="0"/>
    </xf>
    <xf borderId="0" fillId="0" fontId="81" numFmtId="0" xfId="0" applyAlignment="1" applyFont="1">
      <alignment vertical="bottom"/>
    </xf>
    <xf borderId="7" fillId="4" fontId="81" numFmtId="168" xfId="0" applyAlignment="1" applyBorder="1" applyFont="1" applyNumberFormat="1">
      <alignment horizontal="center" readingOrder="0" vertical="center"/>
    </xf>
    <xf borderId="7" fillId="4" fontId="46" numFmtId="0" xfId="0" applyAlignment="1" applyBorder="1" applyFont="1">
      <alignment horizontal="center" readingOrder="0" vertical="center"/>
    </xf>
    <xf borderId="7" fillId="4" fontId="83" numFmtId="0" xfId="0" applyAlignment="1" applyBorder="1" applyFont="1">
      <alignment horizontal="center" readingOrder="0" vertical="center"/>
    </xf>
    <xf borderId="101" fillId="4" fontId="85" numFmtId="0" xfId="0" applyAlignment="1" applyBorder="1" applyFont="1">
      <alignment horizontal="center" vertical="center"/>
    </xf>
    <xf borderId="103" fillId="4" fontId="14" numFmtId="0" xfId="0" applyAlignment="1" applyBorder="1" applyFont="1">
      <alignment readingOrder="0" shrinkToFit="0" vertical="center" wrapText="0"/>
    </xf>
    <xf borderId="104" fillId="24" fontId="81" numFmtId="167" xfId="0" applyAlignment="1" applyBorder="1" applyFont="1" applyNumberFormat="1">
      <alignment horizontal="center" vertical="center"/>
    </xf>
    <xf borderId="103" fillId="0" fontId="3" numFmtId="0" xfId="0" applyBorder="1" applyFont="1"/>
    <xf borderId="105" fillId="0" fontId="3" numFmtId="0" xfId="0" applyBorder="1" applyFont="1"/>
    <xf borderId="100" fillId="0" fontId="81" numFmtId="0" xfId="0" applyAlignment="1" applyBorder="1" applyFont="1">
      <alignment vertical="bottom"/>
    </xf>
    <xf borderId="7" fillId="4" fontId="81" numFmtId="166" xfId="0" applyAlignment="1" applyBorder="1" applyFont="1" applyNumberFormat="1">
      <alignment horizontal="center" readingOrder="0" vertical="center"/>
    </xf>
    <xf borderId="7" fillId="4" fontId="85" numFmtId="0" xfId="0" applyAlignment="1" applyBorder="1" applyFont="1">
      <alignment horizontal="center" readingOrder="0" vertical="center"/>
    </xf>
    <xf borderId="7" fillId="4" fontId="85" numFmtId="0" xfId="0" applyAlignment="1" applyBorder="1" applyFont="1">
      <alignment horizontal="center" vertical="center"/>
    </xf>
    <xf borderId="106" fillId="4" fontId="46" numFmtId="0" xfId="0" applyAlignment="1" applyBorder="1" applyFont="1">
      <alignment horizontal="center" readingOrder="0" vertical="center"/>
    </xf>
    <xf borderId="7" fillId="4" fontId="14" numFmtId="0" xfId="0" applyAlignment="1" applyBorder="1" applyFont="1">
      <alignment readingOrder="0" shrinkToFit="0" vertical="center" wrapText="0"/>
    </xf>
    <xf borderId="103" fillId="24" fontId="81" numFmtId="167" xfId="0" applyAlignment="1" applyBorder="1" applyFont="1" applyNumberFormat="1">
      <alignment horizontal="center" vertical="center"/>
    </xf>
    <xf borderId="105" fillId="0" fontId="46" numFmtId="167" xfId="0" applyAlignment="1" applyBorder="1" applyFont="1" applyNumberFormat="1">
      <alignment horizontal="center" readingOrder="0" vertical="center"/>
    </xf>
    <xf borderId="7" fillId="0" fontId="81" numFmtId="0" xfId="0" applyAlignment="1" applyBorder="1" applyFont="1">
      <alignment vertical="bottom"/>
    </xf>
    <xf borderId="7" fillId="0" fontId="13" numFmtId="0" xfId="0" applyAlignment="1" applyBorder="1" applyFont="1">
      <alignment vertical="bottom"/>
    </xf>
    <xf borderId="91" fillId="24" fontId="81" numFmtId="167" xfId="0" applyAlignment="1" applyBorder="1" applyFont="1" applyNumberFormat="1">
      <alignment horizontal="center" readingOrder="0" vertical="center"/>
    </xf>
    <xf borderId="0" fillId="4" fontId="1" numFmtId="0" xfId="0" applyAlignment="1" applyFont="1">
      <alignment horizontal="center" readingOrder="0" vertical="center"/>
    </xf>
    <xf borderId="81" fillId="0" fontId="46" numFmtId="167" xfId="0" applyAlignment="1" applyBorder="1" applyFont="1" applyNumberFormat="1">
      <alignment horizontal="center" readingOrder="0" vertical="center"/>
    </xf>
    <xf borderId="99" fillId="0" fontId="81" numFmtId="0" xfId="0" applyAlignment="1" applyBorder="1" applyFont="1">
      <alignment vertical="bottom"/>
    </xf>
    <xf borderId="107" fillId="4" fontId="81" numFmtId="166" xfId="0" applyAlignment="1" applyBorder="1" applyFont="1" applyNumberFormat="1">
      <alignment horizontal="center" readingOrder="0" vertical="center"/>
    </xf>
    <xf borderId="76" fillId="4" fontId="46" numFmtId="0" xfId="0" applyAlignment="1" applyBorder="1" applyFont="1">
      <alignment horizontal="center" readingOrder="0" vertical="center"/>
    </xf>
    <xf borderId="108" fillId="20" fontId="81" numFmtId="0" xfId="0" applyAlignment="1" applyBorder="1" applyFont="1">
      <alignment horizontal="center" readingOrder="0" vertical="center"/>
    </xf>
    <xf borderId="88" fillId="4" fontId="46" numFmtId="0" xfId="0" applyAlignment="1" applyBorder="1" applyFont="1">
      <alignment horizontal="center" vertical="center"/>
    </xf>
    <xf borderId="88" fillId="0" fontId="13" numFmtId="167" xfId="0" applyBorder="1" applyFont="1" applyNumberFormat="1"/>
    <xf borderId="89" fillId="0" fontId="13" numFmtId="167" xfId="0" applyBorder="1" applyFont="1" applyNumberFormat="1"/>
    <xf borderId="77" fillId="0" fontId="46" numFmtId="167" xfId="0" applyAlignment="1" applyBorder="1" applyFont="1" applyNumberFormat="1">
      <alignment horizontal="center"/>
    </xf>
    <xf borderId="90" fillId="0" fontId="13" numFmtId="0" xfId="0" applyAlignment="1" applyBorder="1" applyFont="1">
      <alignment vertical="bottom"/>
    </xf>
    <xf borderId="76" fillId="0" fontId="13" numFmtId="0" xfId="0" applyAlignment="1" applyBorder="1" applyFont="1">
      <alignment vertical="bottom"/>
    </xf>
    <xf borderId="93" fillId="24" fontId="81" numFmtId="167" xfId="0" applyAlignment="1" applyBorder="1" applyFont="1" applyNumberFormat="1">
      <alignment horizontal="center"/>
    </xf>
    <xf borderId="92" fillId="24" fontId="81" numFmtId="167" xfId="0" applyAlignment="1" applyBorder="1" applyFont="1" applyNumberFormat="1">
      <alignment horizontal="center"/>
    </xf>
    <xf borderId="94" fillId="24" fontId="46" numFmtId="167" xfId="0" applyAlignment="1" applyBorder="1" applyFont="1" applyNumberFormat="1">
      <alignment horizontal="center"/>
    </xf>
    <xf borderId="95" fillId="0" fontId="13" numFmtId="0" xfId="0" applyAlignment="1" applyBorder="1" applyFont="1">
      <alignment vertical="bottom"/>
    </xf>
    <xf borderId="0" fillId="4" fontId="46" numFmtId="0" xfId="0" applyAlignment="1" applyFont="1">
      <alignment horizontal="center" vertical="center"/>
    </xf>
    <xf borderId="0" fillId="4" fontId="83" numFmtId="0" xfId="0" applyAlignment="1" applyFont="1">
      <alignment horizontal="center" vertical="center"/>
    </xf>
    <xf borderId="91" fillId="0" fontId="13" numFmtId="167" xfId="0" applyBorder="1" applyFont="1" applyNumberFormat="1"/>
    <xf borderId="92" fillId="0" fontId="13" numFmtId="167" xfId="0" applyBorder="1" applyFont="1" applyNumberFormat="1"/>
    <xf borderId="94" fillId="0" fontId="46" numFmtId="167" xfId="0" applyAlignment="1" applyBorder="1" applyFont="1" applyNumberFormat="1">
      <alignment horizontal="center"/>
    </xf>
    <xf borderId="99" fillId="0" fontId="13" numFmtId="0" xfId="0" applyAlignment="1" applyBorder="1" applyFont="1">
      <alignment vertical="bottom"/>
    </xf>
    <xf borderId="0" fillId="0" fontId="13" numFmtId="164" xfId="0" applyFont="1" applyNumberFormat="1"/>
    <xf borderId="91" fillId="0" fontId="13" numFmtId="0" xfId="0" applyBorder="1" applyFont="1"/>
    <xf borderId="92" fillId="0" fontId="13" numFmtId="0" xfId="0" applyBorder="1" applyFont="1"/>
    <xf borderId="0" fillId="0" fontId="13" numFmtId="0" xfId="0" applyAlignment="1" applyFont="1">
      <alignment vertical="center"/>
    </xf>
    <xf borderId="92" fillId="0" fontId="13" numFmtId="0" xfId="0" applyAlignment="1" applyBorder="1" applyFont="1">
      <alignment vertical="center"/>
    </xf>
    <xf borderId="94" fillId="0" fontId="13" numFmtId="0" xfId="0" applyAlignment="1" applyBorder="1" applyFont="1">
      <alignment vertical="center"/>
    </xf>
    <xf borderId="0" fillId="0" fontId="46" numFmtId="0" xfId="0" applyFont="1"/>
    <xf borderId="0" fillId="0" fontId="3" numFmtId="0" xfId="0" applyAlignment="1" applyFont="1">
      <alignment readingOrder="0"/>
    </xf>
    <xf borderId="0" fillId="4" fontId="89" numFmtId="0" xfId="0" applyAlignment="1" applyFont="1">
      <alignment horizontal="left" readingOrder="0"/>
    </xf>
    <xf borderId="11" fillId="2" fontId="90" numFmtId="0" xfId="0" applyAlignment="1" applyBorder="1" applyFont="1">
      <alignment horizontal="center" readingOrder="0" vertical="center"/>
    </xf>
    <xf borderId="1" fillId="2" fontId="90" numFmtId="0" xfId="0" applyAlignment="1" applyBorder="1" applyFont="1">
      <alignment horizontal="center" readingOrder="0" vertical="center"/>
    </xf>
    <xf borderId="21" fillId="2" fontId="90" numFmtId="0" xfId="0" applyAlignment="1" applyBorder="1" applyFont="1">
      <alignment horizontal="center" readingOrder="0" vertical="center"/>
    </xf>
    <xf borderId="39" fillId="3" fontId="2" numFmtId="0" xfId="0" applyAlignment="1" applyBorder="1" applyFont="1">
      <alignment horizontal="center" readingOrder="0" vertical="center"/>
    </xf>
    <xf borderId="109" fillId="0" fontId="3" numFmtId="0" xfId="0" applyBorder="1" applyFont="1"/>
    <xf borderId="0" fillId="2" fontId="90" numFmtId="0" xfId="0" applyAlignment="1" applyFont="1">
      <alignment horizontal="center" readingOrder="0" vertical="center"/>
    </xf>
    <xf borderId="24" fillId="3" fontId="2" numFmtId="0" xfId="0" applyAlignment="1" applyBorder="1" applyFont="1">
      <alignment horizontal="center" readingOrder="0" vertical="center"/>
    </xf>
    <xf borderId="62" fillId="0" fontId="3" numFmtId="0" xfId="0" applyBorder="1" applyFont="1"/>
    <xf borderId="5" fillId="2" fontId="90" numFmtId="0" xfId="0" applyAlignment="1" applyBorder="1" applyFont="1">
      <alignment horizontal="center" readingOrder="0" vertical="center"/>
    </xf>
    <xf borderId="10" fillId="2" fontId="90" numFmtId="0" xfId="0" applyAlignment="1" applyBorder="1" applyFont="1">
      <alignment horizontal="center" readingOrder="0" vertical="center"/>
    </xf>
    <xf borderId="9" fillId="2" fontId="90" numFmtId="0" xfId="0" applyAlignment="1" applyBorder="1" applyFont="1">
      <alignment horizontal="center" readingOrder="0" vertical="center"/>
    </xf>
    <xf borderId="14" fillId="2" fontId="90" numFmtId="0" xfId="0" applyAlignment="1" applyBorder="1" applyFont="1">
      <alignment horizontal="center" readingOrder="0" vertical="center"/>
    </xf>
    <xf borderId="7" fillId="0" fontId="6" numFmtId="0" xfId="0" applyAlignment="1" applyBorder="1" applyFont="1">
      <alignment horizontal="center" readingOrder="0" vertical="center"/>
    </xf>
    <xf borderId="12" fillId="2" fontId="90" numFmtId="0" xfId="0" applyAlignment="1" applyBorder="1" applyFont="1">
      <alignment horizontal="center" readingOrder="0" vertical="center"/>
    </xf>
    <xf borderId="33" fillId="29" fontId="17" numFmtId="0" xfId="0" applyAlignment="1" applyBorder="1" applyFill="1" applyFont="1">
      <alignment horizontal="left" readingOrder="0" shrinkToFit="0" vertical="center" wrapText="0"/>
    </xf>
    <xf borderId="53" fillId="29" fontId="17" numFmtId="0" xfId="0" applyAlignment="1" applyBorder="1" applyFont="1">
      <alignment horizontal="center" readingOrder="0" shrinkToFit="0" vertical="center" wrapText="0"/>
    </xf>
    <xf borderId="17" fillId="29" fontId="17" numFmtId="0" xfId="0" applyAlignment="1" applyBorder="1" applyFont="1">
      <alignment horizontal="center" readingOrder="0" vertical="center"/>
    </xf>
    <xf borderId="26" fillId="7" fontId="91" numFmtId="0" xfId="0" applyAlignment="1" applyBorder="1" applyFont="1">
      <alignment horizontal="center" readingOrder="0" vertical="center"/>
    </xf>
    <xf borderId="33" fillId="7" fontId="21" numFmtId="0" xfId="0" applyAlignment="1" applyBorder="1" applyFont="1">
      <alignment horizontal="left" readingOrder="0" shrinkToFit="0" vertical="center" wrapText="0"/>
    </xf>
    <xf borderId="53" fillId="7" fontId="21" numFmtId="0" xfId="0" applyAlignment="1" applyBorder="1" applyFont="1">
      <alignment horizontal="center" readingOrder="0" shrinkToFit="0" vertical="center" wrapText="0"/>
    </xf>
    <xf borderId="17" fillId="7" fontId="21" numFmtId="0" xfId="0" applyAlignment="1" applyBorder="1" applyFont="1">
      <alignment horizontal="center" readingOrder="0" vertical="center"/>
    </xf>
    <xf borderId="110" fillId="7" fontId="92" numFmtId="0" xfId="0" applyAlignment="1" applyBorder="1" applyFont="1">
      <alignment horizontal="center" readingOrder="0" shrinkToFit="0" vertical="center" wrapText="0"/>
    </xf>
    <xf borderId="33" fillId="30" fontId="17" numFmtId="0" xfId="0" applyAlignment="1" applyBorder="1" applyFill="1" applyFont="1">
      <alignment horizontal="left" readingOrder="0" vertical="center"/>
    </xf>
    <xf borderId="53" fillId="30" fontId="17" numFmtId="0" xfId="0" applyAlignment="1" applyBorder="1" applyFont="1">
      <alignment horizontal="center" readingOrder="0" vertical="center"/>
    </xf>
    <xf borderId="111" fillId="30" fontId="17" numFmtId="0" xfId="0" applyAlignment="1" applyBorder="1" applyFont="1">
      <alignment horizontal="center" readingOrder="0" vertical="center"/>
    </xf>
    <xf borderId="112" fillId="0" fontId="3" numFmtId="0" xfId="0" applyBorder="1" applyFont="1"/>
    <xf borderId="110" fillId="29" fontId="19" numFmtId="0" xfId="0" applyAlignment="1" applyBorder="1" applyFont="1">
      <alignment horizontal="center" readingOrder="0" shrinkToFit="0" vertical="center" wrapText="0"/>
    </xf>
    <xf borderId="33" fillId="31" fontId="4" numFmtId="0" xfId="0" applyAlignment="1" applyBorder="1" applyFill="1" applyFont="1">
      <alignment horizontal="left" readingOrder="0" vertical="center"/>
    </xf>
    <xf borderId="53" fillId="31" fontId="4" numFmtId="0" xfId="0" applyAlignment="1" applyBorder="1" applyFont="1">
      <alignment horizontal="center" readingOrder="0" vertical="center"/>
    </xf>
    <xf borderId="111" fillId="31" fontId="4" numFmtId="0" xfId="0" applyAlignment="1" applyBorder="1" applyFont="1">
      <alignment horizontal="center" readingOrder="0" vertical="center"/>
    </xf>
    <xf borderId="110" fillId="31" fontId="25" numFmtId="0" xfId="0" applyAlignment="1" applyBorder="1" applyFont="1">
      <alignment horizontal="center" readingOrder="0" shrinkToFit="0" vertical="center" wrapText="0"/>
    </xf>
    <xf borderId="33" fillId="13" fontId="28" numFmtId="0" xfId="0" applyAlignment="1" applyBorder="1" applyFont="1">
      <alignment horizontal="left" readingOrder="0" vertical="center"/>
    </xf>
    <xf borderId="27" fillId="13" fontId="28" numFmtId="0" xfId="0" applyAlignment="1" applyBorder="1" applyFont="1">
      <alignment horizontal="center" readingOrder="0" vertical="center"/>
    </xf>
    <xf borderId="111" fillId="13" fontId="28" numFmtId="0" xfId="0" applyAlignment="1" applyBorder="1" applyFont="1">
      <alignment horizontal="center" readingOrder="0" vertical="center"/>
    </xf>
    <xf borderId="110" fillId="32" fontId="93" numFmtId="0" xfId="0" applyAlignment="1" applyBorder="1" applyFill="1" applyFont="1">
      <alignment horizontal="center" readingOrder="0" shrinkToFit="0" vertical="center" wrapText="0"/>
    </xf>
    <xf borderId="33" fillId="32" fontId="94" numFmtId="0" xfId="0" applyAlignment="1" applyBorder="1" applyFont="1">
      <alignment horizontal="left" readingOrder="0" vertical="center"/>
    </xf>
    <xf borderId="27" fillId="32" fontId="94" numFmtId="0" xfId="0" applyAlignment="1" applyBorder="1" applyFont="1">
      <alignment horizontal="center" readingOrder="0" vertical="center"/>
    </xf>
    <xf borderId="111" fillId="32" fontId="94" numFmtId="0" xfId="0" applyAlignment="1" applyBorder="1" applyFont="1">
      <alignment horizontal="center" readingOrder="0" vertical="center"/>
    </xf>
    <xf borderId="33" fillId="33" fontId="95" numFmtId="0" xfId="0" applyAlignment="1" applyBorder="1" applyFill="1" applyFont="1">
      <alignment horizontal="left" readingOrder="0" vertical="center"/>
    </xf>
    <xf borderId="27" fillId="33" fontId="95" numFmtId="0" xfId="0" applyAlignment="1" applyBorder="1" applyFont="1">
      <alignment horizontal="center" readingOrder="0" vertical="center"/>
    </xf>
    <xf borderId="111" fillId="33" fontId="95" numFmtId="0" xfId="0" applyAlignment="1" applyBorder="1" applyFont="1">
      <alignment horizontal="center" readingOrder="0" vertical="center"/>
    </xf>
    <xf borderId="37" fillId="4" fontId="96" numFmtId="0" xfId="0" applyAlignment="1" applyBorder="1" applyFont="1">
      <alignment horizontal="center" readingOrder="0" vertical="center"/>
    </xf>
    <xf borderId="33" fillId="11" fontId="4" numFmtId="0" xfId="0" applyAlignment="1" applyBorder="1" applyFont="1">
      <alignment horizontal="left" readingOrder="0" vertical="center"/>
    </xf>
    <xf borderId="53" fillId="11" fontId="4" numFmtId="0" xfId="0" applyAlignment="1" applyBorder="1" applyFont="1">
      <alignment horizontal="center" readingOrder="0" vertical="center"/>
    </xf>
    <xf borderId="111" fillId="11" fontId="4" numFmtId="0" xfId="0" applyAlignment="1" applyBorder="1" applyFont="1">
      <alignment horizontal="center" readingOrder="0" vertical="center"/>
    </xf>
    <xf borderId="32" fillId="0" fontId="97" numFmtId="0" xfId="0" applyAlignment="1" applyBorder="1" applyFont="1">
      <alignment horizontal="center"/>
    </xf>
    <xf borderId="26" fillId="16" fontId="5" numFmtId="0" xfId="0" applyAlignment="1" applyBorder="1" applyFont="1">
      <alignment horizontal="center" readingOrder="0" vertical="center"/>
    </xf>
    <xf borderId="13" fillId="0" fontId="98" numFmtId="0" xfId="0" applyAlignment="1" applyBorder="1" applyFont="1">
      <alignment horizontal="center" readingOrder="0" vertical="center"/>
    </xf>
    <xf borderId="1" fillId="2" fontId="99" numFmtId="0" xfId="0" applyAlignment="1" applyBorder="1" applyFont="1">
      <alignment horizontal="left" readingOrder="0"/>
    </xf>
    <xf borderId="11" fillId="2" fontId="99" numFmtId="0" xfId="0" applyAlignment="1" applyBorder="1" applyFont="1">
      <alignment horizontal="left" readingOrder="0"/>
    </xf>
    <xf borderId="12" fillId="2" fontId="99" numFmtId="0" xfId="0" applyAlignment="1" applyBorder="1" applyFont="1">
      <alignment horizontal="left" readingOrder="0"/>
    </xf>
    <xf borderId="113" fillId="33" fontId="100" numFmtId="0" xfId="0" applyAlignment="1" applyBorder="1" applyFont="1">
      <alignment horizontal="center" readingOrder="0"/>
    </xf>
    <xf borderId="107" fillId="0" fontId="3" numFmtId="0" xfId="0" applyBorder="1" applyFont="1"/>
    <xf borderId="114" fillId="0" fontId="3" numFmtId="0" xfId="0" applyBorder="1" applyFont="1"/>
    <xf borderId="5" fillId="2" fontId="99" numFmtId="0" xfId="0" applyAlignment="1" applyBorder="1" applyFont="1">
      <alignment horizontal="left" readingOrder="0"/>
    </xf>
    <xf borderId="6" fillId="33" fontId="101" numFmtId="0" xfId="0" applyAlignment="1" applyBorder="1" applyFont="1">
      <alignment horizontal="center" readingOrder="0"/>
    </xf>
    <xf borderId="10" fillId="2" fontId="99" numFmtId="0" xfId="0" applyAlignment="1" applyBorder="1" applyFont="1">
      <alignment horizontal="left" readingOrder="0"/>
    </xf>
    <xf borderId="9" fillId="2" fontId="99" numFmtId="0" xfId="0" applyAlignment="1" applyBorder="1" applyFont="1">
      <alignment horizontal="left" readingOrder="0"/>
    </xf>
    <xf borderId="115" fillId="11" fontId="5" numFmtId="0" xfId="0" applyAlignment="1" applyBorder="1" applyFont="1">
      <alignment horizontal="center" readingOrder="0" vertical="center"/>
    </xf>
    <xf borderId="67" fillId="33" fontId="5" numFmtId="0" xfId="0" applyAlignment="1" applyBorder="1" applyFont="1">
      <alignment horizontal="center" readingOrder="0" vertical="center"/>
    </xf>
    <xf borderId="116" fillId="0" fontId="3" numFmtId="0" xfId="0" applyBorder="1" applyFont="1"/>
    <xf borderId="115" fillId="33" fontId="5" numFmtId="0" xfId="0" applyAlignment="1" applyBorder="1" applyFont="1">
      <alignment horizontal="center" vertical="center"/>
    </xf>
    <xf borderId="117" fillId="33" fontId="5" numFmtId="0" xfId="0" applyAlignment="1" applyBorder="1" applyFont="1">
      <alignment horizontal="center" readingOrder="0" vertical="center"/>
    </xf>
    <xf borderId="115" fillId="0" fontId="102" numFmtId="0" xfId="0" applyAlignment="1" applyBorder="1" applyFont="1">
      <alignment horizontal="center" readingOrder="0" vertical="center"/>
    </xf>
    <xf borderId="7" fillId="0" fontId="63" numFmtId="0" xfId="0" applyAlignment="1" applyBorder="1" applyFont="1">
      <alignment horizontal="center" readingOrder="0" vertical="center"/>
    </xf>
    <xf borderId="7" fillId="0" fontId="63" numFmtId="0" xfId="0" applyAlignment="1" applyBorder="1" applyFont="1">
      <alignment horizontal="center" readingOrder="0" vertical="center"/>
    </xf>
    <xf borderId="118" fillId="0" fontId="3" numFmtId="0" xfId="0" applyBorder="1" applyFont="1"/>
    <xf borderId="119" fillId="29" fontId="103" numFmtId="0" xfId="0" applyAlignment="1" applyBorder="1" applyFont="1">
      <alignment horizontal="center" readingOrder="0" vertical="center"/>
    </xf>
    <xf borderId="119" fillId="0" fontId="104" numFmtId="0" xfId="0" applyAlignment="1" applyBorder="1" applyFont="1">
      <alignment horizontal="center" readingOrder="0" vertical="center"/>
    </xf>
    <xf borderId="66" fillId="29" fontId="17" numFmtId="0" xfId="0" applyAlignment="1" applyBorder="1" applyFont="1">
      <alignment horizontal="left" readingOrder="0" shrinkToFit="0" vertical="center" wrapText="0"/>
    </xf>
    <xf borderId="66" fillId="29" fontId="17" numFmtId="0" xfId="0" applyAlignment="1" applyBorder="1" applyFont="1">
      <alignment horizontal="center" readingOrder="0" shrinkToFit="0" vertical="center" wrapText="0"/>
    </xf>
    <xf borderId="60" fillId="29" fontId="17" numFmtId="0" xfId="0" applyAlignment="1" applyBorder="1" applyFont="1">
      <alignment horizontal="center" readingOrder="0" vertical="center"/>
    </xf>
    <xf borderId="119" fillId="4" fontId="105" numFmtId="0" xfId="0" applyAlignment="1" applyBorder="1" applyFont="1">
      <alignment horizontal="center" readingOrder="0" vertical="center"/>
    </xf>
    <xf borderId="118" fillId="29" fontId="103" numFmtId="0" xfId="0" applyAlignment="1" applyBorder="1" applyFont="1">
      <alignment horizontal="center" readingOrder="0" vertical="center"/>
    </xf>
    <xf borderId="120" fillId="7" fontId="21" numFmtId="0" xfId="0" applyAlignment="1" applyBorder="1" applyFont="1">
      <alignment horizontal="left" readingOrder="0" shrinkToFit="0" vertical="center" wrapText="0"/>
    </xf>
    <xf borderId="120" fillId="7" fontId="21" numFmtId="0" xfId="0" applyAlignment="1" applyBorder="1" applyFont="1">
      <alignment horizontal="center" readingOrder="0" shrinkToFit="0" vertical="center" wrapText="0"/>
    </xf>
    <xf borderId="60" fillId="7" fontId="21" numFmtId="0" xfId="0" applyAlignment="1" applyBorder="1" applyFont="1">
      <alignment horizontal="center" readingOrder="0" vertical="center"/>
    </xf>
    <xf borderId="118" fillId="0" fontId="106" numFmtId="0" xfId="0" applyAlignment="1" applyBorder="1" applyFont="1">
      <alignment horizontal="center" readingOrder="0" vertical="center"/>
    </xf>
    <xf borderId="121" fillId="30" fontId="4" numFmtId="0" xfId="0" applyAlignment="1" applyBorder="1" applyFont="1">
      <alignment horizontal="left" readingOrder="0" vertical="center"/>
    </xf>
    <xf borderId="121" fillId="30" fontId="4" numFmtId="0" xfId="0" applyAlignment="1" applyBorder="1" applyFont="1">
      <alignment horizontal="center" readingOrder="0" vertical="center"/>
    </xf>
    <xf borderId="66" fillId="30" fontId="4" numFmtId="0" xfId="0" applyAlignment="1" applyBorder="1" applyFont="1">
      <alignment horizontal="center" readingOrder="0" vertical="center"/>
    </xf>
    <xf borderId="115" fillId="33" fontId="5" numFmtId="0" xfId="0" applyAlignment="1" applyBorder="1" applyFont="1">
      <alignment horizontal="center" readingOrder="0" vertical="center"/>
    </xf>
    <xf borderId="120" fillId="31" fontId="4" numFmtId="0" xfId="0" applyAlignment="1" applyBorder="1" applyFont="1">
      <alignment horizontal="left" readingOrder="0" vertical="center"/>
    </xf>
    <xf borderId="120" fillId="31" fontId="4" numFmtId="0" xfId="0" applyAlignment="1" applyBorder="1" applyFont="1">
      <alignment horizontal="center" readingOrder="0" vertical="center"/>
    </xf>
    <xf borderId="115" fillId="0" fontId="107" numFmtId="0" xfId="0" applyAlignment="1" applyBorder="1" applyFont="1">
      <alignment horizontal="center" readingOrder="0" vertical="center"/>
    </xf>
    <xf borderId="120" fillId="13" fontId="28" numFmtId="0" xfId="0" applyAlignment="1" applyBorder="1" applyFont="1">
      <alignment horizontal="left" readingOrder="0" vertical="center"/>
    </xf>
    <xf borderId="60" fillId="13" fontId="28" numFmtId="0" xfId="0" applyAlignment="1" applyBorder="1" applyFont="1">
      <alignment horizontal="center" readingOrder="0" vertical="center"/>
    </xf>
    <xf borderId="120" fillId="13" fontId="28" numFmtId="0" xfId="0" applyAlignment="1" applyBorder="1" applyFont="1">
      <alignment horizontal="center" readingOrder="0" vertical="center"/>
    </xf>
    <xf borderId="119" fillId="0" fontId="108" numFmtId="0" xfId="0" applyAlignment="1" applyBorder="1" applyFont="1">
      <alignment horizontal="center" readingOrder="0" vertical="center"/>
    </xf>
    <xf borderId="117" fillId="7" fontId="5" numFmtId="0" xfId="0" applyAlignment="1" applyBorder="1" applyFont="1">
      <alignment horizontal="center" readingOrder="0" vertical="center"/>
    </xf>
    <xf borderId="120" fillId="32" fontId="94" numFmtId="0" xfId="0" applyAlignment="1" applyBorder="1" applyFont="1">
      <alignment horizontal="left" readingOrder="0" vertical="center"/>
    </xf>
    <xf borderId="60" fillId="32" fontId="94" numFmtId="0" xfId="0" applyAlignment="1" applyBorder="1" applyFont="1">
      <alignment horizontal="center" readingOrder="0" vertical="center"/>
    </xf>
    <xf borderId="120" fillId="32" fontId="94" numFmtId="0" xfId="0" applyAlignment="1" applyBorder="1" applyFont="1">
      <alignment horizontal="center" readingOrder="0" vertical="center"/>
    </xf>
    <xf borderId="122" fillId="4" fontId="109" numFmtId="0" xfId="0" applyAlignment="1" applyBorder="1" applyFont="1">
      <alignment horizontal="center" readingOrder="0" vertical="center"/>
    </xf>
    <xf borderId="120" fillId="34" fontId="17" numFmtId="0" xfId="0" applyAlignment="1" applyBorder="1" applyFill="1" applyFont="1">
      <alignment horizontal="left" readingOrder="0" vertical="center"/>
    </xf>
    <xf borderId="60" fillId="34" fontId="17" numFmtId="0" xfId="0" applyAlignment="1" applyBorder="1" applyFont="1">
      <alignment horizontal="center" readingOrder="0" vertical="center"/>
    </xf>
    <xf borderId="120" fillId="34" fontId="17" numFmtId="0" xfId="0" applyAlignment="1" applyBorder="1" applyFont="1">
      <alignment horizontal="center" readingOrder="0" vertical="center"/>
    </xf>
    <xf borderId="118" fillId="4" fontId="110" numFmtId="0" xfId="0" applyAlignment="1" applyBorder="1" applyFont="1">
      <alignment horizontal="center" readingOrder="0" vertical="center"/>
    </xf>
    <xf borderId="14" fillId="2" fontId="99" numFmtId="0" xfId="0" applyAlignment="1" applyBorder="1" applyFont="1">
      <alignment horizontal="left" readingOrder="0"/>
    </xf>
    <xf borderId="123" fillId="4" fontId="111" numFmtId="0" xfId="0" applyAlignment="1" applyBorder="1" applyFont="1">
      <alignment horizontal="center" readingOrder="0" vertical="center"/>
    </xf>
    <xf borderId="120" fillId="35" fontId="4" numFmtId="0" xfId="0" applyAlignment="1" applyBorder="1" applyFill="1" applyFont="1">
      <alignment horizontal="left" readingOrder="0" vertical="center"/>
    </xf>
    <xf borderId="120" fillId="35" fontId="4" numFmtId="0" xfId="0" applyAlignment="1" applyBorder="1" applyFont="1">
      <alignment horizontal="center" readingOrder="0" vertical="center"/>
    </xf>
    <xf borderId="10" fillId="2" fontId="90" numFmtId="0" xfId="0" applyAlignment="1" applyBorder="1" applyFont="1">
      <alignment horizontal="left" readingOrder="0"/>
    </xf>
    <xf borderId="118" fillId="0" fontId="112" numFmtId="0" xfId="0" applyAlignment="1" applyBorder="1" applyFont="1">
      <alignment horizontal="center" readingOrder="0" vertical="center"/>
    </xf>
    <xf borderId="1" fillId="2" fontId="90" numFmtId="0" xfId="0" applyAlignment="1" applyBorder="1" applyFont="1">
      <alignment horizontal="left" readingOrder="0"/>
    </xf>
    <xf borderId="117" fillId="15" fontId="5" numFmtId="0" xfId="0" applyAlignment="1" applyBorder="1" applyFont="1">
      <alignment horizontal="center" readingOrder="0" vertical="center"/>
    </xf>
    <xf borderId="115" fillId="0" fontId="113" numFmtId="0" xfId="0" applyAlignment="1" applyBorder="1" applyFont="1">
      <alignment horizontal="center" readingOrder="0" vertical="center"/>
    </xf>
    <xf borderId="124" fillId="4" fontId="114" numFmtId="0" xfId="0" applyAlignment="1" applyBorder="1" applyFont="1">
      <alignment horizontal="center" readingOrder="0" vertical="center"/>
    </xf>
    <xf borderId="113" fillId="4" fontId="115" numFmtId="0" xfId="0" applyAlignment="1" applyBorder="1" applyFont="1">
      <alignment horizontal="center" readingOrder="0" vertical="center"/>
    </xf>
    <xf borderId="125" fillId="0" fontId="3" numFmtId="0" xfId="0" applyBorder="1" applyFont="1"/>
    <xf borderId="6" fillId="0" fontId="3" numFmtId="0" xfId="0" applyBorder="1" applyFont="1"/>
    <xf borderId="118" fillId="0" fontId="116" numFmtId="0" xfId="0" applyAlignment="1" applyBorder="1" applyFont="1">
      <alignment horizontal="center" readingOrder="0" vertical="center"/>
    </xf>
    <xf borderId="117" fillId="0" fontId="117" numFmtId="0" xfId="0" applyAlignment="1" applyBorder="1" applyFont="1">
      <alignment horizontal="center" readingOrder="0" vertical="center"/>
    </xf>
    <xf borderId="18" fillId="33" fontId="118" numFmtId="0" xfId="0" applyAlignment="1" applyBorder="1" applyFont="1">
      <alignment horizontal="center" readingOrder="0" vertical="center"/>
    </xf>
    <xf borderId="0" fillId="0" fontId="119" numFmtId="0" xfId="0" applyAlignment="1" applyFont="1">
      <alignment horizontal="left" readingOrder="0" vertical="center"/>
    </xf>
    <xf borderId="0" fillId="23" fontId="120" numFmtId="0" xfId="0" applyAlignment="1" applyFont="1">
      <alignment horizontal="center" readingOrder="0" vertical="center"/>
    </xf>
    <xf borderId="62" fillId="0" fontId="121" numFmtId="0" xfId="0" applyAlignment="1" applyBorder="1" applyFont="1">
      <alignment horizontal="center" readingOrder="0" vertical="center"/>
    </xf>
    <xf borderId="35" fillId="0" fontId="3" numFmtId="0" xfId="0" applyBorder="1" applyFont="1"/>
    <xf borderId="126" fillId="2" fontId="99" numFmtId="0" xfId="0" applyAlignment="1" applyBorder="1" applyFont="1">
      <alignment horizontal="left" readingOrder="0"/>
    </xf>
    <xf borderId="126" fillId="2" fontId="99" numFmtId="0" xfId="0" applyAlignment="1" applyBorder="1" applyFont="1">
      <alignment horizontal="left" readingOrder="0" vertical="center"/>
    </xf>
    <xf borderId="0" fillId="2" fontId="122" numFmtId="0" xfId="0" applyAlignment="1" applyFont="1">
      <alignment horizontal="left" readingOrder="0"/>
    </xf>
    <xf borderId="0" fillId="8" fontId="123" numFmtId="0" xfId="0" applyAlignment="1" applyFont="1">
      <alignment horizontal="center" readingOrder="0" vertical="center"/>
    </xf>
    <xf borderId="46" fillId="30" fontId="124" numFmtId="0" xfId="0" applyAlignment="1" applyBorder="1" applyFont="1">
      <alignment horizontal="center" readingOrder="0" vertical="center"/>
    </xf>
    <xf borderId="46" fillId="4" fontId="125" numFmtId="0" xfId="0" applyAlignment="1" applyBorder="1" applyFont="1">
      <alignment horizontal="center" readingOrder="0" vertical="center"/>
    </xf>
    <xf borderId="0" fillId="30" fontId="124" numFmtId="0" xfId="0" applyAlignment="1" applyFont="1">
      <alignment horizontal="center" readingOrder="0" vertical="center"/>
    </xf>
    <xf borderId="0" fillId="4" fontId="125" numFmtId="0" xfId="0" applyAlignment="1" applyFont="1">
      <alignment horizontal="center" readingOrder="0" vertical="center"/>
    </xf>
    <xf borderId="127" fillId="2" fontId="99" numFmtId="0" xfId="0" applyAlignment="1" applyBorder="1" applyFont="1">
      <alignment horizontal="left" readingOrder="0"/>
    </xf>
    <xf borderId="128" fillId="0" fontId="3" numFmtId="0" xfId="0" applyBorder="1" applyFont="1"/>
    <xf borderId="126" fillId="2" fontId="122" numFmtId="0" xfId="0" applyAlignment="1" applyBorder="1" applyFont="1">
      <alignment horizontal="left" readingOrder="0"/>
    </xf>
    <xf borderId="0" fillId="8" fontId="126" numFmtId="0" xfId="0" applyAlignment="1" applyFont="1">
      <alignment horizontal="center" readingOrder="0" vertical="center"/>
    </xf>
    <xf borderId="0" fillId="8" fontId="127" numFmtId="0" xfId="0" applyAlignment="1" applyFont="1">
      <alignment horizontal="left" readingOrder="0" vertical="center"/>
    </xf>
    <xf borderId="0" fillId="30" fontId="128" numFmtId="0" xfId="0" applyAlignment="1" applyFont="1">
      <alignment horizontal="center" readingOrder="0" vertical="center"/>
    </xf>
    <xf borderId="0" fillId="4" fontId="129" numFmtId="0" xfId="0" applyAlignment="1" applyFont="1">
      <alignment horizontal="center" readingOrder="0" vertical="center"/>
    </xf>
    <xf borderId="0" fillId="30" fontId="127" numFmtId="0" xfId="0" applyAlignment="1" applyFont="1">
      <alignment horizontal="center" readingOrder="0" vertical="center"/>
    </xf>
    <xf borderId="0" fillId="36" fontId="127" numFmtId="0" xfId="0" applyAlignment="1" applyFill="1" applyFont="1">
      <alignment horizontal="center" readingOrder="0" vertical="center"/>
    </xf>
    <xf borderId="0" fillId="8" fontId="130" numFmtId="0" xfId="0" applyAlignment="1" applyFont="1">
      <alignment horizontal="left" readingOrder="0" vertical="center"/>
    </xf>
    <xf borderId="0" fillId="7" fontId="131" numFmtId="0" xfId="0" applyAlignment="1" applyFont="1">
      <alignment horizontal="center" readingOrder="0" vertical="center"/>
    </xf>
    <xf borderId="0" fillId="11" fontId="132" numFmtId="0" xfId="0" applyAlignment="1" applyFont="1">
      <alignment horizontal="center" readingOrder="0" vertical="center"/>
    </xf>
    <xf borderId="0" fillId="11" fontId="103" numFmtId="0" xfId="0" applyAlignment="1" applyFont="1">
      <alignment horizontal="center" readingOrder="0" vertical="center"/>
    </xf>
    <xf borderId="0" fillId="8" fontId="130" numFmtId="0" xfId="0" applyAlignment="1" applyFont="1">
      <alignment horizontal="left" readingOrder="0" vertical="center"/>
    </xf>
    <xf borderId="0" fillId="17" fontId="127" numFmtId="0" xfId="0" applyAlignment="1" applyFont="1">
      <alignment horizontal="center" readingOrder="0" vertical="center"/>
    </xf>
    <xf borderId="0" fillId="37" fontId="127" numFmtId="0" xfId="0" applyAlignment="1" applyFill="1" applyFont="1">
      <alignment horizontal="center" readingOrder="0" vertical="center"/>
    </xf>
    <xf borderId="0" fillId="34" fontId="103" numFmtId="0" xfId="0" applyAlignment="1" applyFont="1">
      <alignment horizontal="center" readingOrder="0" vertical="center"/>
    </xf>
    <xf borderId="0" fillId="37" fontId="130" numFmtId="0" xfId="0" applyAlignment="1" applyFont="1">
      <alignment horizontal="center" readingOrder="0" vertical="center"/>
    </xf>
    <xf borderId="0" fillId="4" fontId="133" numFmtId="0" xfId="0" applyAlignment="1" applyFont="1">
      <alignment horizontal="center" readingOrder="0"/>
    </xf>
    <xf borderId="64" fillId="8" fontId="126" numFmtId="0" xfId="0" applyAlignment="1" applyBorder="1" applyFont="1">
      <alignment horizontal="center" readingOrder="0" vertical="center"/>
    </xf>
    <xf borderId="121" fillId="30" fontId="134" numFmtId="0" xfId="0" applyAlignment="1" applyBorder="1" applyFont="1">
      <alignment horizontal="center" readingOrder="0" vertical="center"/>
    </xf>
    <xf borderId="64" fillId="0" fontId="3" numFmtId="0" xfId="0" applyBorder="1" applyFont="1"/>
    <xf borderId="120" fillId="36" fontId="134" numFmtId="0" xfId="0" applyAlignment="1" applyBorder="1" applyFont="1">
      <alignment horizontal="center" readingOrder="0" vertical="center"/>
    </xf>
    <xf borderId="66" fillId="7" fontId="135" numFmtId="0" xfId="0" applyAlignment="1" applyBorder="1" applyFont="1">
      <alignment horizontal="center" readingOrder="0" shrinkToFit="0" vertical="center" wrapText="0"/>
    </xf>
    <xf borderId="66" fillId="37" fontId="136" numFmtId="0" xfId="0" applyAlignment="1" applyBorder="1" applyFont="1">
      <alignment horizontal="center" readingOrder="0" shrinkToFit="0" vertical="center" wrapText="0"/>
    </xf>
    <xf borderId="120" fillId="11" fontId="137" numFmtId="0" xfId="0" applyAlignment="1" applyBorder="1" applyFont="1">
      <alignment horizontal="center" readingOrder="0" vertical="center"/>
    </xf>
    <xf borderId="120" fillId="38" fontId="137" numFmtId="0" xfId="0" applyAlignment="1" applyBorder="1" applyFill="1" applyFont="1">
      <alignment horizontal="center" readingOrder="0" vertical="center"/>
    </xf>
    <xf borderId="0" fillId="38" fontId="103" numFmtId="0" xfId="0" applyAlignment="1" applyFont="1">
      <alignment horizontal="center" readingOrder="0" vertical="center"/>
    </xf>
    <xf borderId="60" fillId="32" fontId="134" numFmtId="0" xfId="0" applyAlignment="1" applyBorder="1" applyFont="1">
      <alignment horizontal="center" readingOrder="0" vertical="center"/>
    </xf>
    <xf borderId="0" fillId="32" fontId="127" numFmtId="0" xfId="0" applyAlignment="1" applyFont="1">
      <alignment horizontal="center" readingOrder="0" vertical="center"/>
    </xf>
    <xf borderId="60" fillId="34" fontId="137" numFmtId="0" xfId="0" applyAlignment="1" applyBorder="1" applyFont="1">
      <alignment horizontal="center" readingOrder="0" vertical="center"/>
    </xf>
    <xf borderId="60" fillId="13" fontId="138" numFmtId="0" xfId="0" applyAlignment="1" applyBorder="1" applyFont="1">
      <alignment horizontal="center" readingOrder="0" vertical="center"/>
    </xf>
    <xf borderId="0" fillId="13" fontId="139" numFmtId="0" xfId="0" applyAlignment="1" applyFont="1">
      <alignment horizontal="center" readingOrder="0" vertical="center"/>
    </xf>
    <xf borderId="60" fillId="39" fontId="134" numFmtId="0" xfId="0" applyAlignment="1" applyBorder="1" applyFill="1" applyFont="1">
      <alignment horizontal="center" readingOrder="0" vertical="center"/>
    </xf>
    <xf borderId="0" fillId="39" fontId="127" numFmtId="0" xfId="0" applyAlignment="1" applyFont="1">
      <alignment horizontal="center" readingOrder="0" vertical="center"/>
    </xf>
    <xf borderId="66" fillId="0" fontId="3" numFmtId="0" xfId="0" applyBorder="1" applyFont="1"/>
    <xf borderId="60" fillId="40" fontId="140" numFmtId="0" xfId="0" applyAlignment="1" applyBorder="1" applyFill="1" applyFont="1">
      <alignment horizontal="center" readingOrder="0" vertical="center"/>
    </xf>
    <xf borderId="0" fillId="40" fontId="141" numFmtId="0" xfId="0" applyAlignment="1" applyFont="1">
      <alignment horizontal="center" readingOrder="0" vertical="center"/>
    </xf>
    <xf borderId="0" fillId="40" fontId="142" numFmtId="0" xfId="0" applyAlignment="1" applyFont="1">
      <alignment horizontal="center" readingOrder="0" vertical="center"/>
    </xf>
    <xf borderId="66" fillId="8" fontId="124" numFmtId="0" xfId="0" applyAlignment="1" applyBorder="1" applyFont="1">
      <alignment horizontal="center" readingOrder="0" vertical="center"/>
    </xf>
    <xf borderId="43" fillId="32" fontId="136" numFmtId="0" xfId="0" applyAlignment="1" applyBorder="1" applyFont="1">
      <alignment horizontal="center" readingOrder="0" vertical="center"/>
    </xf>
    <xf borderId="46" fillId="32" fontId="127" numFmtId="0" xfId="0" applyAlignment="1" applyBorder="1" applyFont="1">
      <alignment horizontal="center" readingOrder="0" vertical="center"/>
    </xf>
    <xf borderId="64" fillId="8" fontId="127" numFmtId="0" xfId="0" applyAlignment="1" applyBorder="1" applyFont="1">
      <alignment horizontal="center" readingOrder="0" vertical="center"/>
    </xf>
    <xf borderId="61" fillId="4" fontId="143" numFmtId="0" xfId="0" applyAlignment="1" applyBorder="1" applyFont="1">
      <alignment horizontal="center" readingOrder="0" vertical="center"/>
    </xf>
    <xf borderId="56" fillId="17" fontId="144" numFmtId="0" xfId="0" applyAlignment="1" applyBorder="1" applyFont="1">
      <alignment horizontal="center" readingOrder="0" vertical="center"/>
    </xf>
    <xf borderId="31" fillId="41" fontId="145" numFmtId="0" xfId="0" applyAlignment="1" applyBorder="1" applyFill="1" applyFont="1">
      <alignment horizontal="center" vertical="center"/>
    </xf>
    <xf borderId="16" fillId="17" fontId="130" numFmtId="0" xfId="0" applyAlignment="1" applyBorder="1" applyFont="1">
      <alignment horizontal="center" vertical="center"/>
    </xf>
    <xf borderId="32" fillId="41" fontId="145" numFmtId="0" xfId="0" applyAlignment="1" applyBorder="1" applyFont="1">
      <alignment horizontal="center" vertical="center"/>
    </xf>
    <xf borderId="62" fillId="17" fontId="146" numFmtId="0" xfId="0" applyAlignment="1" applyBorder="1" applyFont="1">
      <alignment horizontal="center" vertical="center"/>
    </xf>
    <xf borderId="32" fillId="17" fontId="145" numFmtId="0" xfId="0" applyAlignment="1" applyBorder="1" applyFont="1">
      <alignment horizontal="center" vertical="center"/>
    </xf>
    <xf borderId="19" fillId="17" fontId="134" numFmtId="0" xfId="0" applyAlignment="1" applyBorder="1" applyFont="1">
      <alignment horizontal="center" vertical="center"/>
    </xf>
    <xf borderId="20" fillId="17" fontId="147" numFmtId="0" xfId="0" applyAlignment="1" applyBorder="1" applyFont="1">
      <alignment horizontal="center" vertical="center"/>
    </xf>
    <xf borderId="25" fillId="17" fontId="148" numFmtId="0" xfId="0" applyAlignment="1" applyBorder="1" applyFont="1">
      <alignment horizontal="center" vertical="center"/>
    </xf>
    <xf borderId="25" fillId="17" fontId="148" numFmtId="0" xfId="0" applyAlignment="1" applyBorder="1" applyFont="1">
      <alignment horizontal="center" readingOrder="0" vertical="center"/>
    </xf>
    <xf borderId="25" fillId="17" fontId="147" numFmtId="0" xfId="0" applyAlignment="1" applyBorder="1" applyFont="1">
      <alignment horizontal="center" vertical="center"/>
    </xf>
    <xf borderId="25" fillId="41" fontId="145" numFmtId="0" xfId="0" applyAlignment="1" applyBorder="1" applyFont="1">
      <alignment horizontal="center" vertical="center"/>
    </xf>
    <xf borderId="62" fillId="41" fontId="149" numFmtId="0" xfId="0" applyAlignment="1" applyBorder="1" applyFont="1">
      <alignment horizontal="center" vertical="center"/>
    </xf>
    <xf borderId="20" fillId="41" fontId="145" numFmtId="0" xfId="0" applyAlignment="1" applyBorder="1" applyFont="1">
      <alignment horizontal="center" vertical="center"/>
    </xf>
    <xf borderId="62" fillId="41" fontId="149" numFmtId="0" xfId="0" applyAlignment="1" applyBorder="1" applyFont="1">
      <alignment horizontal="center" readingOrder="0" vertical="center"/>
    </xf>
    <xf borderId="20" fillId="17" fontId="145" numFmtId="0" xfId="0" applyAlignment="1" applyBorder="1" applyFont="1">
      <alignment horizontal="center" vertical="center"/>
    </xf>
    <xf borderId="0" fillId="17" fontId="130" numFmtId="0" xfId="0" applyAlignment="1" applyFont="1">
      <alignment horizontal="center" readingOrder="0" vertical="center"/>
    </xf>
    <xf borderId="0" fillId="0" fontId="150" numFmtId="0" xfId="0" applyAlignment="1" applyFont="1">
      <alignment horizontal="center" readingOrder="0" vertical="center"/>
    </xf>
    <xf borderId="0" fillId="37" fontId="151" numFmtId="0" xfId="0" applyAlignment="1" applyFont="1">
      <alignment horizontal="center" readingOrder="0" vertical="center"/>
    </xf>
    <xf borderId="47" fillId="0" fontId="152" numFmtId="0" xfId="0" applyAlignment="1" applyBorder="1" applyFont="1">
      <alignment horizontal="left" readingOrder="0" vertical="center"/>
    </xf>
    <xf borderId="47" fillId="41" fontId="87" numFmtId="0" xfId="0" applyAlignment="1" applyBorder="1" applyFont="1">
      <alignment horizontal="center" vertical="center"/>
    </xf>
    <xf borderId="0" fillId="17" fontId="151" numFmtId="0" xfId="0" applyAlignment="1" applyFont="1">
      <alignment horizontal="center" readingOrder="0" vertical="center"/>
    </xf>
    <xf borderId="64" fillId="41" fontId="87" numFmtId="0" xfId="0" applyAlignment="1" applyBorder="1" applyFont="1">
      <alignment horizontal="center" vertical="center"/>
    </xf>
    <xf borderId="0" fillId="0" fontId="87" numFmtId="0" xfId="0" applyAlignment="1" applyFont="1">
      <alignment horizontal="center" readingOrder="0" vertical="center"/>
    </xf>
    <xf borderId="47" fillId="0" fontId="153" numFmtId="0" xfId="0" applyAlignment="1" applyBorder="1" applyFont="1">
      <alignment horizontal="left" readingOrder="0" vertical="center"/>
    </xf>
    <xf borderId="0" fillId="42" fontId="154" numFmtId="0" xfId="0" applyAlignment="1" applyFill="1" applyFont="1">
      <alignment horizontal="center" readingOrder="0" vertical="center"/>
    </xf>
    <xf borderId="0" fillId="42" fontId="155" numFmtId="0" xfId="0" applyAlignment="1" applyFont="1">
      <alignment horizontal="center" readingOrder="0" vertical="center"/>
    </xf>
    <xf borderId="0" fillId="38" fontId="150" numFmtId="0" xfId="0" applyAlignment="1" applyFont="1">
      <alignment horizontal="center" readingOrder="0" vertical="center"/>
    </xf>
    <xf borderId="47" fillId="0" fontId="156" numFmtId="0" xfId="0" applyAlignment="1" applyBorder="1" applyFont="1">
      <alignment horizontal="left" readingOrder="0" vertical="center"/>
    </xf>
    <xf borderId="0" fillId="43" fontId="154" numFmtId="0" xfId="0" applyAlignment="1" applyFill="1" applyFont="1">
      <alignment horizontal="center" readingOrder="0" vertical="center"/>
    </xf>
    <xf borderId="0" fillId="11" fontId="150" numFmtId="0" xfId="0" applyAlignment="1" applyFont="1">
      <alignment horizontal="center" readingOrder="0" vertical="center"/>
    </xf>
    <xf borderId="0" fillId="43" fontId="150" numFmtId="0" xfId="0" applyAlignment="1" applyFont="1">
      <alignment horizontal="center" readingOrder="0" vertical="center"/>
    </xf>
    <xf borderId="47" fillId="0" fontId="157" numFmtId="0" xfId="0" applyAlignment="1" applyBorder="1" applyFont="1">
      <alignment horizontal="left" vertical="center"/>
    </xf>
    <xf borderId="0" fillId="7" fontId="158" numFmtId="0" xfId="0" applyAlignment="1" applyFont="1">
      <alignment horizontal="center" readingOrder="0" vertical="center"/>
    </xf>
    <xf borderId="0" fillId="38" fontId="159" numFmtId="0" xfId="0" applyAlignment="1" applyFont="1">
      <alignment horizontal="center" readingOrder="0" vertical="center"/>
    </xf>
    <xf borderId="0" fillId="40" fontId="160" numFmtId="0" xfId="0" applyAlignment="1" applyFont="1">
      <alignment horizontal="center" readingOrder="0" vertical="center"/>
    </xf>
    <xf borderId="42" fillId="41" fontId="87" numFmtId="0" xfId="0" applyAlignment="1" applyBorder="1" applyFont="1">
      <alignment horizontal="center" vertical="center"/>
    </xf>
    <xf borderId="42" fillId="0" fontId="161" numFmtId="0" xfId="0" applyAlignment="1" applyBorder="1" applyFont="1">
      <alignment horizontal="center" readingOrder="0" vertical="center"/>
    </xf>
    <xf borderId="0" fillId="0" fontId="161" numFmtId="0" xfId="0" applyAlignment="1" applyFont="1">
      <alignment horizontal="center" readingOrder="0" vertical="center"/>
    </xf>
    <xf borderId="0" fillId="8" fontId="87" numFmtId="0" xfId="0" applyAlignment="1" applyFont="1">
      <alignment horizontal="center" vertical="center"/>
    </xf>
    <xf borderId="59" fillId="8" fontId="150" numFmtId="0" xfId="0" applyAlignment="1" applyBorder="1" applyFont="1">
      <alignment horizontal="center" vertical="center"/>
    </xf>
    <xf borderId="47" fillId="8" fontId="87" numFmtId="0" xfId="0" applyAlignment="1" applyBorder="1" applyFont="1">
      <alignment horizontal="left" vertical="center"/>
    </xf>
    <xf borderId="47" fillId="8" fontId="87" numFmtId="0" xfId="0" applyAlignment="1" applyBorder="1" applyFont="1">
      <alignment horizontal="center" vertical="center"/>
    </xf>
    <xf borderId="0" fillId="8" fontId="150" numFmtId="0" xfId="0" applyAlignment="1" applyFont="1">
      <alignment horizontal="center" vertical="center"/>
    </xf>
    <xf borderId="64" fillId="8" fontId="87" numFmtId="0" xfId="0" applyAlignment="1" applyBorder="1" applyFont="1">
      <alignment horizontal="center" vertical="center"/>
    </xf>
    <xf borderId="0" fillId="42" fontId="162" numFmtId="0" xfId="0" applyAlignment="1" applyFont="1">
      <alignment horizontal="center" readingOrder="0" vertical="center"/>
    </xf>
    <xf borderId="0" fillId="29" fontId="163" numFmtId="0" xfId="0" applyAlignment="1" applyFont="1">
      <alignment horizontal="center" readingOrder="0" vertical="center"/>
    </xf>
    <xf borderId="47" fillId="0" fontId="164" numFmtId="0" xfId="0" applyAlignment="1" applyBorder="1" applyFont="1">
      <alignment horizontal="left" vertical="center"/>
    </xf>
    <xf borderId="47" fillId="0" fontId="165" numFmtId="0" xfId="0" applyAlignment="1" applyBorder="1" applyFont="1">
      <alignment horizontal="left" vertical="center"/>
    </xf>
    <xf borderId="0" fillId="44" fontId="163" numFmtId="0" xfId="0" applyAlignment="1" applyFill="1" applyFont="1">
      <alignment horizontal="center" readingOrder="0" vertical="center"/>
    </xf>
    <xf borderId="47" fillId="43" fontId="154" numFmtId="0" xfId="0" applyAlignment="1" applyBorder="1" applyFont="1">
      <alignment horizontal="center" readingOrder="0" vertical="center"/>
    </xf>
    <xf borderId="0" fillId="32" fontId="146" numFmtId="0" xfId="0" applyAlignment="1" applyFont="1">
      <alignment horizontal="center" readingOrder="0" vertical="center"/>
    </xf>
    <xf borderId="47" fillId="0" fontId="166" numFmtId="0" xfId="0" applyAlignment="1" applyBorder="1" applyFont="1">
      <alignment horizontal="left" vertical="center"/>
    </xf>
    <xf borderId="0" fillId="34" fontId="150" numFmtId="0" xfId="0" applyAlignment="1" applyFont="1">
      <alignment horizontal="center" readingOrder="0" vertical="center"/>
    </xf>
    <xf borderId="0" fillId="43" fontId="167" numFmtId="0" xfId="0" applyAlignment="1" applyFont="1">
      <alignment horizontal="center" readingOrder="0" vertical="center"/>
    </xf>
    <xf borderId="0" fillId="30" fontId="163" numFmtId="0" xfId="0" applyAlignment="1" applyFont="1">
      <alignment horizontal="center" readingOrder="0" vertical="center"/>
    </xf>
    <xf borderId="0" fillId="35" fontId="151" numFmtId="0" xfId="0" applyAlignment="1" applyFont="1">
      <alignment horizontal="center" readingOrder="0" vertical="center"/>
    </xf>
    <xf borderId="0" fillId="35" fontId="146" numFmtId="0" xfId="0" applyAlignment="1" applyFont="1">
      <alignment horizontal="center" readingOrder="0" vertical="center"/>
    </xf>
    <xf borderId="0" fillId="31" fontId="151" numFmtId="0" xfId="0" applyAlignment="1" applyFont="1">
      <alignment horizontal="center" readingOrder="0" vertical="center"/>
    </xf>
    <xf borderId="0" fillId="32" fontId="168" numFmtId="0" xfId="0" applyAlignment="1" applyFont="1">
      <alignment horizontal="center" readingOrder="0" vertical="center"/>
    </xf>
    <xf borderId="0" fillId="17" fontId="169" numFmtId="0" xfId="0" applyAlignment="1" applyFont="1">
      <alignment horizontal="center" readingOrder="0" vertical="center"/>
    </xf>
    <xf borderId="0" fillId="33" fontId="170" numFmtId="0" xfId="0" applyAlignment="1" applyFont="1">
      <alignment horizontal="center" readingOrder="0" vertical="center"/>
    </xf>
    <xf borderId="47" fillId="0" fontId="171" numFmtId="0" xfId="0" applyAlignment="1" applyBorder="1" applyFont="1">
      <alignment horizontal="left" readingOrder="0" vertical="center"/>
    </xf>
    <xf borderId="0" fillId="45" fontId="150" numFmtId="0" xfId="0" applyAlignment="1" applyFill="1" applyFont="1">
      <alignment horizontal="center" readingOrder="0" vertical="center"/>
    </xf>
    <xf borderId="47" fillId="0" fontId="172" numFmtId="0" xfId="0" applyAlignment="1" applyBorder="1" applyFont="1">
      <alignment horizontal="left" vertical="center"/>
    </xf>
    <xf borderId="0" fillId="17" fontId="154" numFmtId="0" xfId="0" applyAlignment="1" applyFont="1">
      <alignment horizontal="center" readingOrder="0" vertical="center"/>
    </xf>
    <xf borderId="0" fillId="42" fontId="154" numFmtId="0" xfId="0" applyAlignment="1" applyFont="1">
      <alignment horizontal="center" readingOrder="0" vertical="bottom"/>
    </xf>
    <xf borderId="0" fillId="23" fontId="150" numFmtId="0" xfId="0" applyAlignment="1" applyFont="1">
      <alignment horizontal="center" readingOrder="0" vertical="center"/>
    </xf>
    <xf borderId="47" fillId="17" fontId="154" numFmtId="0" xfId="0" applyAlignment="1" applyBorder="1" applyFont="1">
      <alignment horizontal="center" readingOrder="0" vertical="center"/>
    </xf>
    <xf borderId="0" fillId="11" fontId="146" numFmtId="0" xfId="0" applyAlignment="1" applyFont="1">
      <alignment horizontal="center" readingOrder="0" vertical="center"/>
    </xf>
    <xf borderId="0" fillId="17" fontId="173" numFmtId="0" xfId="0" applyAlignment="1" applyFont="1">
      <alignment horizontal="center" readingOrder="0" vertical="center"/>
    </xf>
    <xf borderId="47" fillId="0" fontId="150" numFmtId="0" xfId="0" applyAlignment="1" applyBorder="1" applyFont="1">
      <alignment horizontal="center" readingOrder="0" vertical="center"/>
    </xf>
    <xf borderId="0" fillId="9" fontId="150" numFmtId="0" xfId="0" applyAlignment="1" applyFont="1">
      <alignment horizontal="center" readingOrder="0" vertical="bottom"/>
    </xf>
    <xf borderId="47" fillId="0" fontId="174" numFmtId="0" xfId="0" applyAlignment="1" applyBorder="1" applyFont="1">
      <alignment horizontal="left" readingOrder="0" vertical="center"/>
    </xf>
    <xf borderId="0" fillId="10" fontId="175" numFmtId="0" xfId="0" applyAlignment="1" applyFont="1">
      <alignment horizontal="center" readingOrder="0" vertical="bottom"/>
    </xf>
    <xf borderId="47" fillId="0" fontId="176" numFmtId="0" xfId="0" applyAlignment="1" applyBorder="1" applyFont="1">
      <alignment horizontal="left" vertical="center"/>
    </xf>
    <xf borderId="47" fillId="0" fontId="177" numFmtId="0" xfId="0" applyAlignment="1" applyBorder="1" applyFont="1">
      <alignment horizontal="left" readingOrder="0" vertical="center"/>
    </xf>
    <xf borderId="0" fillId="46" fontId="178" numFmtId="0" xfId="0" applyAlignment="1" applyFill="1" applyFont="1">
      <alignment horizontal="center" readingOrder="0" vertical="bottom"/>
    </xf>
    <xf borderId="47" fillId="0" fontId="179" numFmtId="0" xfId="0" applyAlignment="1" applyBorder="1" applyFont="1">
      <alignment readingOrder="0" shrinkToFit="0" vertical="bottom" wrapText="1"/>
    </xf>
    <xf borderId="47" fillId="0" fontId="180" numFmtId="0" xfId="0" applyAlignment="1" applyBorder="1" applyFont="1">
      <alignment horizontal="left" readingOrder="0" vertical="center"/>
    </xf>
    <xf borderId="47" fillId="17" fontId="151" numFmtId="0" xfId="0" applyAlignment="1" applyBorder="1" applyFont="1">
      <alignment horizontal="center" readingOrder="0" vertical="center"/>
    </xf>
    <xf borderId="0" fillId="0" fontId="181" numFmtId="0" xfId="0" applyAlignment="1" applyFont="1">
      <alignment horizontal="center" readingOrder="0" vertical="center"/>
    </xf>
    <xf borderId="0" fillId="10" fontId="175" numFmtId="0" xfId="0" applyAlignment="1" applyFont="1">
      <alignment horizontal="center" readingOrder="0" vertical="center"/>
    </xf>
    <xf borderId="0" fillId="13" fontId="163" numFmtId="0" xfId="0" applyAlignment="1" applyFont="1">
      <alignment horizontal="center" readingOrder="0"/>
    </xf>
    <xf borderId="64" fillId="17" fontId="151" numFmtId="0" xfId="0" applyAlignment="1" applyBorder="1" applyFont="1">
      <alignment horizontal="center" readingOrder="0" vertical="center"/>
    </xf>
    <xf borderId="108" fillId="8" fontId="150" numFmtId="0" xfId="0" applyAlignment="1" applyBorder="1" applyFont="1">
      <alignment horizontal="center" vertical="center"/>
    </xf>
    <xf borderId="60" fillId="8" fontId="87" numFmtId="0" xfId="0" applyAlignment="1" applyBorder="1" applyFont="1">
      <alignment horizontal="left" vertical="center"/>
    </xf>
    <xf borderId="0" fillId="17" fontId="146" numFmtId="0" xfId="0" applyAlignment="1" applyFont="1">
      <alignment horizontal="center" readingOrder="0" vertical="center"/>
    </xf>
    <xf borderId="47" fillId="0" fontId="182" numFmtId="0" xfId="0" applyAlignment="1" applyBorder="1" applyFont="1">
      <alignment readingOrder="0"/>
    </xf>
    <xf borderId="0" fillId="7" fontId="183" numFmtId="0" xfId="0" applyAlignment="1" applyFont="1">
      <alignment horizontal="center" readingOrder="0" vertical="center"/>
    </xf>
    <xf borderId="47" fillId="0" fontId="184" numFmtId="0" xfId="0" applyAlignment="1" applyBorder="1" applyFont="1">
      <alignment readingOrder="0"/>
    </xf>
    <xf borderId="0" fillId="10" fontId="185" numFmtId="0" xfId="0" applyAlignment="1" applyFont="1">
      <alignment horizontal="center" readingOrder="0" vertical="center"/>
    </xf>
    <xf borderId="47" fillId="0" fontId="186" numFmtId="0" xfId="0" applyAlignment="1" applyBorder="1" applyFont="1">
      <alignment readingOrder="0"/>
    </xf>
    <xf borderId="0" fillId="0" fontId="87" numFmtId="0" xfId="0" applyAlignment="1" applyFont="1">
      <alignment readingOrder="0"/>
    </xf>
    <xf borderId="0" fillId="9" fontId="161" numFmtId="0" xfId="0" applyAlignment="1" applyFont="1">
      <alignment horizontal="center" readingOrder="0" vertical="bottom"/>
    </xf>
    <xf borderId="0" fillId="5" fontId="146" numFmtId="0" xfId="0" applyAlignment="1" applyFont="1">
      <alignment horizontal="center" readingOrder="0" vertical="center"/>
    </xf>
    <xf borderId="47" fillId="0" fontId="187" numFmtId="0" xfId="0" applyAlignment="1" applyBorder="1" applyFont="1">
      <alignment readingOrder="0"/>
    </xf>
    <xf borderId="0" fillId="0" fontId="87" numFmtId="0" xfId="0" applyAlignment="1" applyFont="1">
      <alignment horizontal="center" vertical="center"/>
    </xf>
    <xf borderId="47" fillId="0" fontId="188" numFmtId="0" xfId="0" applyAlignment="1" applyBorder="1" applyFont="1">
      <alignment readingOrder="0"/>
    </xf>
    <xf borderId="47" fillId="0" fontId="189" numFmtId="0" xfId="0" applyAlignment="1" applyBorder="1" applyFont="1">
      <alignment horizontal="left" readingOrder="0" vertical="center"/>
    </xf>
    <xf borderId="0" fillId="0" fontId="190" numFmtId="0" xfId="0" applyAlignment="1" applyFont="1">
      <alignment readingOrder="0"/>
    </xf>
    <xf borderId="0" fillId="12" fontId="146" numFmtId="0" xfId="0" applyAlignment="1" applyFont="1">
      <alignment horizontal="center" readingOrder="0" vertical="center"/>
    </xf>
    <xf borderId="47" fillId="4" fontId="191" numFmtId="0" xfId="0" applyAlignment="1" applyBorder="1" applyFont="1">
      <alignment readingOrder="0" shrinkToFit="0" vertical="center" wrapText="0"/>
    </xf>
    <xf borderId="0" fillId="12" fontId="146" numFmtId="0" xfId="0" applyAlignment="1" applyFont="1">
      <alignment horizontal="center" readingOrder="0"/>
    </xf>
    <xf borderId="0" fillId="0" fontId="192" numFmtId="0" xfId="0" applyAlignment="1" applyFont="1">
      <alignment readingOrder="0"/>
    </xf>
    <xf borderId="47" fillId="4" fontId="193" numFmtId="0" xfId="0" applyAlignment="1" applyBorder="1" applyFont="1">
      <alignment readingOrder="0" shrinkToFit="0" vertical="center" wrapText="0"/>
    </xf>
    <xf borderId="0" fillId="0" fontId="194" numFmtId="0" xfId="0" applyAlignment="1" applyFont="1">
      <alignment readingOrder="0"/>
    </xf>
    <xf borderId="47" fillId="0" fontId="87" numFmtId="0" xfId="0" applyAlignment="1" applyBorder="1" applyFont="1">
      <alignment horizontal="left" readingOrder="0" vertical="center"/>
    </xf>
    <xf borderId="0" fillId="0" fontId="150" numFmtId="0" xfId="0" applyAlignment="1" applyFont="1">
      <alignment horizontal="center" vertical="center"/>
    </xf>
    <xf borderId="47" fillId="0" fontId="87" numFmtId="0" xfId="0" applyAlignment="1" applyBorder="1" applyFont="1">
      <alignment horizontal="left" vertical="center"/>
    </xf>
    <xf borderId="47" fillId="0" fontId="150" numFmtId="0" xfId="0" applyAlignment="1" applyBorder="1" applyFont="1">
      <alignment horizontal="center" vertical="center"/>
    </xf>
    <xf borderId="0" fillId="0" fontId="87" numFmtId="0" xfId="0" applyAlignment="1" applyFont="1">
      <alignment horizontal="left" vertical="center"/>
    </xf>
    <xf borderId="64" fillId="0" fontId="87" numFmtId="0" xfId="0" applyAlignment="1" applyBorder="1" applyFont="1">
      <alignment horizontal="center" vertical="center"/>
    </xf>
    <xf borderId="31" fillId="41" fontId="87" numFmtId="0" xfId="0" applyAlignment="1" applyBorder="1" applyFont="1">
      <alignment horizontal="center" vertical="center"/>
    </xf>
    <xf borderId="32" fillId="41" fontId="87" numFmtId="0" xfId="0" applyAlignment="1" applyBorder="1" applyFont="1">
      <alignment horizontal="center" vertical="center"/>
    </xf>
    <xf borderId="35" fillId="17" fontId="146" numFmtId="0" xfId="0" applyAlignment="1" applyBorder="1" applyFont="1">
      <alignment horizontal="center" readingOrder="0" vertical="center"/>
    </xf>
    <xf borderId="25" fillId="17" fontId="147" numFmtId="0" xfId="0" applyAlignment="1" applyBorder="1" applyFont="1">
      <alignment horizontal="center" shrinkToFit="0" vertical="center" wrapText="1"/>
    </xf>
    <xf borderId="25" fillId="41" fontId="87" numFmtId="0" xfId="0" applyAlignment="1" applyBorder="1" applyFont="1">
      <alignment horizontal="center" vertical="center"/>
    </xf>
    <xf borderId="62" fillId="41" fontId="195" numFmtId="0" xfId="0" applyAlignment="1" applyBorder="1" applyFont="1">
      <alignment horizontal="center" vertical="center"/>
    </xf>
    <xf borderId="25" fillId="41" fontId="150" numFmtId="0" xfId="0" applyAlignment="1" applyBorder="1" applyFont="1">
      <alignment horizontal="center" vertical="center"/>
    </xf>
    <xf borderId="25" fillId="41" fontId="195" numFmtId="0" xfId="0" applyAlignment="1" applyBorder="1" applyFont="1">
      <alignment horizontal="center" vertical="center"/>
    </xf>
    <xf borderId="20" fillId="41" fontId="87" numFmtId="0" xfId="0" applyAlignment="1" applyBorder="1" applyFont="1">
      <alignment horizontal="center" vertical="center"/>
    </xf>
    <xf borderId="47" fillId="0" fontId="196" numFmtId="0" xfId="0" applyAlignment="1" applyBorder="1" applyFont="1">
      <alignment horizontal="left" readingOrder="0" shrinkToFit="0" vertical="center" wrapText="1"/>
    </xf>
    <xf borderId="0" fillId="47" fontId="154" numFmtId="0" xfId="0" applyAlignment="1" applyFill="1" applyFont="1">
      <alignment horizontal="center" readingOrder="0" vertical="center"/>
    </xf>
    <xf borderId="47" fillId="47" fontId="154" numFmtId="0" xfId="0" applyAlignment="1" applyBorder="1" applyFont="1">
      <alignment horizontal="center" readingOrder="0" vertical="center"/>
    </xf>
    <xf borderId="0" fillId="8" fontId="151" numFmtId="0" xfId="0" applyAlignment="1" applyFont="1">
      <alignment horizontal="center" readingOrder="0" vertical="center"/>
    </xf>
    <xf borderId="0" fillId="41" fontId="87" numFmtId="0" xfId="0" applyAlignment="1" applyFont="1">
      <alignment horizontal="center" vertical="center"/>
    </xf>
    <xf borderId="42" fillId="47" fontId="154" numFmtId="0" xfId="0" applyAlignment="1" applyBorder="1" applyFont="1">
      <alignment horizontal="center" readingOrder="0" vertical="center"/>
    </xf>
    <xf borderId="0" fillId="0" fontId="197" numFmtId="0" xfId="0" applyAlignment="1" applyFont="1">
      <alignment horizontal="center" readingOrder="0" vertical="center"/>
    </xf>
    <xf borderId="47" fillId="0" fontId="198" numFmtId="0" xfId="0" applyAlignment="1" applyBorder="1" applyFont="1">
      <alignment horizontal="left" readingOrder="0" shrinkToFit="0" vertical="center" wrapText="1"/>
    </xf>
    <xf borderId="42" fillId="0" fontId="199" numFmtId="0" xfId="0" applyAlignment="1" applyBorder="1" applyFont="1">
      <alignment horizontal="center" readingOrder="0" vertical="center"/>
    </xf>
    <xf borderId="47" fillId="8" fontId="87" numFmtId="0" xfId="0" applyAlignment="1" applyBorder="1" applyFont="1">
      <alignment horizontal="left" shrinkToFit="0" vertical="center" wrapText="1"/>
    </xf>
    <xf borderId="47" fillId="8" fontId="150" numFmtId="0" xfId="0" applyAlignment="1" applyBorder="1" applyFont="1">
      <alignment horizontal="center" vertical="center"/>
    </xf>
    <xf borderId="47" fillId="0" fontId="200" numFmtId="0" xfId="0" applyAlignment="1" applyBorder="1" applyFont="1">
      <alignment horizontal="left" shrinkToFit="0" vertical="center" wrapText="1"/>
    </xf>
    <xf borderId="42" fillId="43" fontId="154" numFmtId="0" xfId="0" applyAlignment="1" applyBorder="1" applyFont="1">
      <alignment horizontal="center" readingOrder="0" vertical="center"/>
    </xf>
    <xf borderId="0" fillId="30" fontId="150" numFmtId="0" xfId="0" applyAlignment="1" applyFont="1">
      <alignment horizontal="center" readingOrder="0" vertical="center"/>
    </xf>
    <xf borderId="47" fillId="0" fontId="201" numFmtId="0" xfId="0" applyAlignment="1" applyBorder="1" applyFont="1">
      <alignment horizontal="left" shrinkToFit="0" vertical="center" wrapText="1"/>
    </xf>
    <xf borderId="42" fillId="17" fontId="151" numFmtId="0" xfId="0" applyAlignment="1" applyBorder="1" applyFont="1">
      <alignment horizontal="center"/>
    </xf>
    <xf borderId="47" fillId="17" fontId="151" numFmtId="0" xfId="0" applyAlignment="1" applyBorder="1" applyFont="1">
      <alignment horizontal="center"/>
    </xf>
    <xf borderId="47" fillId="0" fontId="202" numFmtId="0" xfId="0" applyAlignment="1" applyBorder="1" applyFont="1">
      <alignment horizontal="left" readingOrder="0" shrinkToFit="0" vertical="center" wrapText="1"/>
    </xf>
    <xf borderId="42" fillId="0" fontId="203" numFmtId="0" xfId="0" applyAlignment="1" applyBorder="1" applyFont="1">
      <alignment horizontal="center" readingOrder="0"/>
    </xf>
    <xf borderId="42" fillId="45" fontId="154" numFmtId="0" xfId="0" applyAlignment="1" applyBorder="1" applyFont="1">
      <alignment horizontal="center" readingOrder="0" vertical="center"/>
    </xf>
    <xf borderId="47" fillId="45" fontId="154" numFmtId="0" xfId="0" applyAlignment="1" applyBorder="1" applyFont="1">
      <alignment horizontal="center" readingOrder="0" vertical="center"/>
    </xf>
    <xf borderId="42" fillId="4" fontId="204" numFmtId="0" xfId="0" applyAlignment="1" applyBorder="1" applyFont="1">
      <alignment horizontal="center"/>
    </xf>
    <xf borderId="0" fillId="23" fontId="154" numFmtId="0" xfId="0" applyAlignment="1" applyFont="1">
      <alignment horizontal="center" readingOrder="0" vertical="center"/>
    </xf>
    <xf borderId="47" fillId="0" fontId="205" numFmtId="0" xfId="0" applyAlignment="1" applyBorder="1" applyFont="1">
      <alignment horizontal="left" shrinkToFit="0" vertical="center" wrapText="1"/>
    </xf>
    <xf borderId="42" fillId="4" fontId="206" numFmtId="0" xfId="0" applyAlignment="1" applyBorder="1" applyFont="1">
      <alignment horizontal="center"/>
    </xf>
    <xf borderId="0" fillId="11" fontId="146" numFmtId="0" xfId="0" applyAlignment="1" applyFont="1">
      <alignment horizontal="center" readingOrder="0" vertical="center"/>
    </xf>
    <xf borderId="47" fillId="17" fontId="154" numFmtId="0" xfId="0" applyAlignment="1" applyBorder="1" applyFont="1">
      <alignment horizontal="center" readingOrder="0"/>
    </xf>
    <xf borderId="47" fillId="17" fontId="151" numFmtId="0" xfId="0" applyAlignment="1" applyBorder="1" applyFont="1">
      <alignment horizontal="center" readingOrder="0"/>
    </xf>
    <xf borderId="47" fillId="0" fontId="87" numFmtId="0" xfId="0" applyAlignment="1" applyBorder="1" applyFont="1">
      <alignment horizontal="center" readingOrder="0" vertical="center"/>
    </xf>
    <xf borderId="47" fillId="0" fontId="207" numFmtId="0" xfId="0" applyAlignment="1" applyBorder="1" applyFont="1">
      <alignment horizontal="left" readingOrder="0" shrinkToFit="0" vertical="center" wrapText="1"/>
    </xf>
    <xf borderId="47" fillId="0" fontId="208" numFmtId="0" xfId="0" applyAlignment="1" applyBorder="1" applyFont="1">
      <alignment horizontal="left" readingOrder="0" shrinkToFit="0" vertical="center" wrapText="1"/>
    </xf>
    <xf borderId="47" fillId="0" fontId="209" numFmtId="0" xfId="0" applyAlignment="1" applyBorder="1" applyFont="1">
      <alignment horizontal="left" readingOrder="0" shrinkToFit="0" vertical="center" wrapText="1"/>
    </xf>
    <xf borderId="0" fillId="8" fontId="151" numFmtId="0" xfId="0" applyAlignment="1" applyFont="1">
      <alignment horizontal="center"/>
    </xf>
    <xf borderId="0" fillId="8" fontId="151" numFmtId="0" xfId="0" applyAlignment="1" applyFont="1">
      <alignment horizontal="center" readingOrder="0"/>
    </xf>
    <xf borderId="0" fillId="0" fontId="210" numFmtId="0" xfId="0" applyAlignment="1" applyFont="1">
      <alignment readingOrder="0"/>
    </xf>
    <xf borderId="0" fillId="8" fontId="145" numFmtId="0" xfId="0" applyAlignment="1" applyFont="1">
      <alignment horizontal="center" readingOrder="0" vertical="center"/>
    </xf>
    <xf borderId="0" fillId="0" fontId="211" numFmtId="0" xfId="0" applyAlignment="1" applyFont="1">
      <alignment readingOrder="0" shrinkToFit="0" wrapText="0"/>
    </xf>
    <xf borderId="0" fillId="0" fontId="212" numFmtId="0" xfId="0" applyAlignment="1" applyFont="1">
      <alignment readingOrder="0" shrinkToFit="0" vertical="top" wrapText="0"/>
    </xf>
    <xf borderId="0" fillId="0" fontId="213" numFmtId="0" xfId="0" applyAlignment="1" applyFont="1">
      <alignment readingOrder="0" shrinkToFit="0" wrapText="0"/>
    </xf>
    <xf borderId="47" fillId="0" fontId="214" numFmtId="0" xfId="0" applyAlignment="1" applyBorder="1" applyFont="1">
      <alignment horizontal="left" readingOrder="0" shrinkToFit="0" vertical="center" wrapText="0"/>
    </xf>
    <xf borderId="47" fillId="45" fontId="150" numFmtId="0" xfId="0" applyAlignment="1" applyBorder="1" applyFont="1">
      <alignment horizontal="center" readingOrder="0" vertical="center"/>
    </xf>
    <xf borderId="0" fillId="0" fontId="154" numFmtId="0" xfId="0" applyAlignment="1" applyFont="1">
      <alignment horizontal="center" readingOrder="0" vertical="center"/>
    </xf>
    <xf borderId="0" fillId="0" fontId="215" numFmtId="0" xfId="0" applyAlignment="1" applyFont="1">
      <alignment readingOrder="0" shrinkToFit="0" wrapText="0"/>
    </xf>
    <xf borderId="47" fillId="0" fontId="216" numFmtId="0" xfId="0" applyAlignment="1" applyBorder="1" applyFont="1">
      <alignment horizontal="left" readingOrder="0" shrinkToFit="0" vertical="center" wrapText="1"/>
    </xf>
    <xf borderId="0" fillId="8" fontId="151" numFmtId="0" xfId="0" applyAlignment="1" applyFont="1">
      <alignment readingOrder="0"/>
    </xf>
    <xf borderId="0" fillId="0" fontId="217" numFmtId="0" xfId="0" applyAlignment="1" applyFont="1">
      <alignment readingOrder="0" shrinkToFit="0" wrapText="1"/>
    </xf>
    <xf borderId="47" fillId="12" fontId="146" numFmtId="0" xfId="0" applyAlignment="1" applyBorder="1" applyFont="1">
      <alignment horizontal="center" readingOrder="0" vertical="center"/>
    </xf>
    <xf borderId="0" fillId="0" fontId="218" numFmtId="0" xfId="0" applyAlignment="1" applyFont="1">
      <alignment horizontal="center" readingOrder="0" vertical="center"/>
    </xf>
    <xf borderId="47" fillId="0" fontId="87" numFmtId="0" xfId="0" applyAlignment="1" applyBorder="1" applyFont="1">
      <alignment horizontal="left" readingOrder="0" shrinkToFit="0" vertical="center" wrapText="1"/>
    </xf>
    <xf borderId="47" fillId="0" fontId="87" numFmtId="0" xfId="0" applyAlignment="1" applyBorder="1" applyFont="1">
      <alignment horizontal="center" vertical="center"/>
    </xf>
    <xf borderId="47" fillId="0" fontId="87" numFmtId="0" xfId="0" applyAlignment="1" applyBorder="1" applyFont="1">
      <alignment horizontal="left" shrinkToFit="0" vertical="center" wrapText="1"/>
    </xf>
    <xf borderId="0" fillId="0" fontId="87" numFmtId="0" xfId="0" applyAlignment="1" applyFont="1">
      <alignment horizontal="left" shrinkToFit="0" vertical="center" wrapText="1"/>
    </xf>
    <xf borderId="56" fillId="17" fontId="219" numFmtId="0" xfId="0" applyAlignment="1" applyBorder="1" applyFont="1">
      <alignment horizontal="center" readingOrder="0" vertical="center"/>
    </xf>
    <xf borderId="31" fillId="41" fontId="13" numFmtId="0" xfId="0" applyAlignment="1" applyBorder="1" applyFont="1">
      <alignment horizontal="center" vertical="center"/>
    </xf>
    <xf borderId="62" fillId="17" fontId="5" numFmtId="0" xfId="0" applyAlignment="1" applyBorder="1" applyFont="1">
      <alignment horizontal="center" vertical="center"/>
    </xf>
    <xf borderId="32" fillId="41" fontId="13" numFmtId="0" xfId="0" applyAlignment="1" applyBorder="1" applyFont="1">
      <alignment horizontal="center" vertical="center"/>
    </xf>
    <xf borderId="19" fillId="17" fontId="25" numFmtId="0" xfId="0" applyAlignment="1" applyBorder="1" applyFont="1">
      <alignment horizontal="center" vertical="center"/>
    </xf>
    <xf borderId="20" fillId="17" fontId="5" numFmtId="0" xfId="0" applyAlignment="1" applyBorder="1" applyFont="1">
      <alignment horizontal="center" readingOrder="0" vertical="center"/>
    </xf>
    <xf borderId="25" fillId="17" fontId="48" numFmtId="0" xfId="0" applyAlignment="1" applyBorder="1" applyFont="1">
      <alignment horizontal="center" vertical="center"/>
    </xf>
    <xf borderId="25" fillId="17" fontId="48" numFmtId="0" xfId="0" applyAlignment="1" applyBorder="1" applyFont="1">
      <alignment horizontal="center" readingOrder="0" vertical="center"/>
    </xf>
    <xf borderId="25" fillId="17" fontId="5" numFmtId="0" xfId="0" applyAlignment="1" applyBorder="1" applyFont="1">
      <alignment horizontal="center" vertical="center"/>
    </xf>
    <xf borderId="25" fillId="41" fontId="13" numFmtId="0" xfId="0" applyAlignment="1" applyBorder="1" applyFont="1">
      <alignment horizontal="center" vertical="center"/>
    </xf>
    <xf borderId="62" fillId="41" fontId="63" numFmtId="0" xfId="0" applyAlignment="1" applyBorder="1" applyFont="1">
      <alignment horizontal="center" vertical="center"/>
    </xf>
    <xf borderId="62" fillId="41" fontId="63" numFmtId="0" xfId="0" applyAlignment="1" applyBorder="1" applyFont="1">
      <alignment horizontal="center" readingOrder="0" vertical="center"/>
    </xf>
    <xf borderId="20" fillId="41" fontId="13" numFmtId="0" xfId="0" applyAlignment="1" applyBorder="1" applyFont="1">
      <alignment horizontal="center" vertical="center"/>
    </xf>
    <xf borderId="0" fillId="17" fontId="29" numFmtId="0" xfId="0" applyAlignment="1" applyFont="1">
      <alignment horizontal="center" readingOrder="0" vertical="center"/>
    </xf>
    <xf borderId="0" fillId="48" fontId="46" numFmtId="0" xfId="0" applyAlignment="1" applyFill="1" applyFont="1">
      <alignment horizontal="center" readingOrder="0" vertical="center"/>
    </xf>
    <xf borderId="47" fillId="0" fontId="220" numFmtId="0" xfId="0" applyAlignment="1" applyBorder="1" applyFont="1">
      <alignment horizontal="left" readingOrder="0" vertical="center"/>
    </xf>
    <xf borderId="47" fillId="41" fontId="13" numFmtId="0" xfId="0" applyAlignment="1" applyBorder="1" applyFont="1">
      <alignment horizontal="center" vertical="center"/>
    </xf>
    <xf borderId="0" fillId="42" fontId="46" numFmtId="0" xfId="0" applyAlignment="1" applyFont="1">
      <alignment horizontal="center" readingOrder="0" vertical="center"/>
    </xf>
    <xf borderId="47" fillId="17" fontId="80" numFmtId="0" xfId="0" applyAlignment="1" applyBorder="1" applyFont="1">
      <alignment horizontal="center" readingOrder="0" vertical="center"/>
    </xf>
    <xf borderId="64" fillId="41" fontId="13" numFmtId="0" xfId="0" applyAlignment="1" applyBorder="1" applyFont="1">
      <alignment horizontal="center" vertical="center"/>
    </xf>
    <xf borderId="0" fillId="0" fontId="13" numFmtId="0" xfId="0" applyAlignment="1" applyFont="1">
      <alignment horizontal="center" readingOrder="0" vertical="center"/>
    </xf>
    <xf borderId="0" fillId="43" fontId="1" numFmtId="0" xfId="0" applyAlignment="1" applyFont="1">
      <alignment horizontal="center" readingOrder="0" vertical="center"/>
    </xf>
    <xf borderId="0" fillId="8" fontId="80" numFmtId="0" xfId="0" applyAlignment="1" applyFont="1">
      <alignment horizontal="center" readingOrder="0" vertical="center"/>
    </xf>
    <xf borderId="0" fillId="17" fontId="80" numFmtId="0" xfId="0" applyAlignment="1" applyFont="1">
      <alignment horizontal="center" readingOrder="0" vertical="center"/>
    </xf>
    <xf borderId="0" fillId="38" fontId="46" numFmtId="0" xfId="0" applyAlignment="1" applyFont="1">
      <alignment horizontal="center" readingOrder="0" vertical="center"/>
    </xf>
    <xf borderId="0" fillId="8" fontId="13" numFmtId="0" xfId="0" applyAlignment="1" applyFont="1">
      <alignment horizontal="center" vertical="center"/>
    </xf>
    <xf borderId="0" fillId="8" fontId="46" numFmtId="0" xfId="0" applyAlignment="1" applyFont="1">
      <alignment horizontal="center" vertical="center"/>
    </xf>
    <xf borderId="59" fillId="8" fontId="46" numFmtId="0" xfId="0" applyAlignment="1" applyBorder="1" applyFont="1">
      <alignment horizontal="center" vertical="center"/>
    </xf>
    <xf borderId="47" fillId="8" fontId="13" numFmtId="0" xfId="0" applyAlignment="1" applyBorder="1" applyFont="1">
      <alignment horizontal="left" vertical="center"/>
    </xf>
    <xf borderId="47" fillId="8" fontId="13" numFmtId="0" xfId="0" applyAlignment="1" applyBorder="1" applyFont="1">
      <alignment horizontal="center" vertical="center"/>
    </xf>
    <xf borderId="64" fillId="8" fontId="13" numFmtId="0" xfId="0" applyAlignment="1" applyBorder="1" applyFont="1">
      <alignment horizontal="center" vertical="center"/>
    </xf>
    <xf borderId="47" fillId="0" fontId="221" numFmtId="0" xfId="0" applyAlignment="1" applyBorder="1" applyFont="1">
      <alignment horizontal="left" vertical="center"/>
    </xf>
    <xf borderId="0" fillId="7" fontId="222" numFmtId="0" xfId="0" applyAlignment="1" applyFont="1">
      <alignment horizontal="center" readingOrder="0" vertical="center"/>
    </xf>
    <xf borderId="47" fillId="0" fontId="223" numFmtId="0" xfId="0" applyAlignment="1" applyBorder="1" applyFont="1">
      <alignment horizontal="left" vertical="center"/>
    </xf>
    <xf borderId="0" fillId="0" fontId="46" numFmtId="0" xfId="0" applyAlignment="1" applyFont="1">
      <alignment horizontal="center" readingOrder="0"/>
    </xf>
    <xf borderId="0" fillId="44" fontId="224" numFmtId="0" xfId="0" applyAlignment="1" applyFont="1">
      <alignment horizontal="center" readingOrder="0" vertical="center"/>
    </xf>
    <xf borderId="47" fillId="0" fontId="225" numFmtId="0" xfId="0" applyAlignment="1" applyBorder="1" applyFont="1">
      <alignment horizontal="left"/>
    </xf>
    <xf borderId="108" fillId="0" fontId="46" numFmtId="0" xfId="0" applyAlignment="1" applyBorder="1" applyFont="1">
      <alignment horizontal="center" readingOrder="0" vertical="center"/>
    </xf>
    <xf borderId="108" fillId="8" fontId="80" numFmtId="0" xfId="0" applyAlignment="1" applyBorder="1" applyFont="1">
      <alignment horizontal="center" readingOrder="0" vertical="center"/>
    </xf>
    <xf borderId="129" fillId="0" fontId="226" numFmtId="0" xfId="0" applyAlignment="1" applyBorder="1" applyFont="1">
      <alignment horizontal="left" vertical="center"/>
    </xf>
    <xf borderId="129" fillId="41" fontId="13" numFmtId="0" xfId="0" applyAlignment="1" applyBorder="1" applyFont="1">
      <alignment horizontal="center" vertical="center"/>
    </xf>
    <xf borderId="108" fillId="42" fontId="46" numFmtId="0" xfId="0" applyAlignment="1" applyBorder="1" applyFont="1">
      <alignment horizontal="center" readingOrder="0" vertical="center"/>
    </xf>
    <xf borderId="129" fillId="17" fontId="80" numFmtId="0" xfId="0" applyAlignment="1" applyBorder="1" applyFont="1">
      <alignment horizontal="center" readingOrder="0" vertical="center"/>
    </xf>
    <xf borderId="121" fillId="41" fontId="13" numFmtId="0" xfId="0" applyAlignment="1" applyBorder="1" applyFont="1">
      <alignment horizontal="center" vertical="center"/>
    </xf>
    <xf borderId="108" fillId="0" fontId="13" numFmtId="0" xfId="0" applyAlignment="1" applyBorder="1" applyFont="1">
      <alignment horizontal="center" readingOrder="0" vertical="center"/>
    </xf>
    <xf borderId="47" fillId="0" fontId="227" numFmtId="0" xfId="0" applyAlignment="1" applyBorder="1" applyFont="1">
      <alignment horizontal="left" readingOrder="0" vertical="center"/>
    </xf>
    <xf borderId="0" fillId="41" fontId="13" numFmtId="0" xfId="0" applyAlignment="1" applyFont="1">
      <alignment horizontal="center" vertical="center"/>
    </xf>
    <xf borderId="0" fillId="23" fontId="46" numFmtId="0" xfId="0" applyAlignment="1" applyFont="1">
      <alignment horizontal="center" readingOrder="0" vertical="center"/>
    </xf>
    <xf borderId="0" fillId="33" fontId="228" numFmtId="0" xfId="0" applyAlignment="1" applyFont="1">
      <alignment horizontal="center" readingOrder="0" vertical="center"/>
    </xf>
    <xf borderId="0" fillId="30" fontId="46" numFmtId="0" xfId="0" applyAlignment="1" applyFont="1">
      <alignment horizontal="center" readingOrder="0" vertical="center"/>
    </xf>
    <xf borderId="0" fillId="32" fontId="229" numFmtId="0" xfId="0" applyAlignment="1" applyFont="1">
      <alignment horizontal="center" readingOrder="0" vertical="center"/>
    </xf>
    <xf borderId="47" fillId="0" fontId="230" numFmtId="0" xfId="0" applyAlignment="1" applyBorder="1" applyFont="1">
      <alignment horizontal="left" shrinkToFit="0" vertical="center" wrapText="1"/>
    </xf>
    <xf borderId="0" fillId="11" fontId="10" numFmtId="0" xfId="0" applyAlignment="1" applyFont="1">
      <alignment horizontal="center" readingOrder="0" vertical="center"/>
    </xf>
    <xf borderId="47" fillId="0" fontId="231" numFmtId="0" xfId="0" applyAlignment="1" applyBorder="1" applyFont="1">
      <alignment horizontal="left" vertical="center"/>
    </xf>
    <xf borderId="0" fillId="0" fontId="232" numFmtId="0" xfId="0" applyFont="1"/>
    <xf borderId="47" fillId="0" fontId="233" numFmtId="0" xfId="0" applyAlignment="1" applyBorder="1" applyFont="1">
      <alignment horizontal="left" readingOrder="0" vertical="center"/>
    </xf>
    <xf borderId="0" fillId="29" fontId="224" numFmtId="0" xfId="0" applyAlignment="1" applyFont="1">
      <alignment horizontal="center" readingOrder="0" vertical="center"/>
    </xf>
    <xf borderId="47" fillId="17" fontId="1" numFmtId="0" xfId="0" applyAlignment="1" applyBorder="1" applyFont="1">
      <alignment horizontal="center" readingOrder="0" vertical="center"/>
    </xf>
    <xf borderId="0" fillId="46" fontId="234" numFmtId="0" xfId="0" applyAlignment="1" applyFont="1">
      <alignment horizontal="center" readingOrder="0" vertical="bottom"/>
    </xf>
    <xf borderId="0" fillId="10" fontId="235" numFmtId="0" xfId="0" applyAlignment="1" applyFont="1">
      <alignment horizontal="center" readingOrder="0" vertical="bottom"/>
    </xf>
    <xf borderId="0" fillId="8" fontId="80" numFmtId="0" xfId="0" applyAlignment="1" applyFont="1">
      <alignment horizontal="center" vertical="center"/>
    </xf>
    <xf borderId="47" fillId="0" fontId="236" numFmtId="0" xfId="0" applyAlignment="1" applyBorder="1" applyFont="1">
      <alignment horizontal="left" readingOrder="0" vertical="center"/>
    </xf>
    <xf borderId="47" fillId="0" fontId="237" numFmtId="0" xfId="0" applyAlignment="1" applyBorder="1" applyFont="1">
      <alignment horizontal="left" vertical="center"/>
    </xf>
    <xf borderId="0" fillId="8" fontId="151" numFmtId="0" xfId="0" applyAlignment="1" applyFont="1">
      <alignment horizontal="center" vertical="center"/>
    </xf>
    <xf borderId="47" fillId="0" fontId="238" numFmtId="0" xfId="0" applyAlignment="1" applyBorder="1" applyFont="1">
      <alignment horizontal="left" readingOrder="0" shrinkToFit="0" vertical="center" wrapText="1"/>
    </xf>
    <xf borderId="0" fillId="0" fontId="239" numFmtId="0" xfId="0" applyAlignment="1" applyFont="1">
      <alignment readingOrder="0" shrinkToFit="0" wrapText="1"/>
    </xf>
    <xf borderId="0" fillId="0" fontId="121" numFmtId="0" xfId="0" applyAlignment="1" applyFont="1">
      <alignment horizontal="center" readingOrder="0"/>
    </xf>
    <xf borderId="0" fillId="0" fontId="240" numFmtId="0" xfId="0" applyAlignment="1" applyFont="1">
      <alignment readingOrder="0"/>
    </xf>
    <xf borderId="47" fillId="0" fontId="241" numFmtId="0" xfId="0" applyAlignment="1" applyBorder="1" applyFont="1">
      <alignment horizontal="left" readingOrder="0" vertical="center"/>
    </xf>
    <xf borderId="0" fillId="0" fontId="13" numFmtId="0" xfId="0" applyAlignment="1" applyFont="1">
      <alignment horizontal="center" vertical="center"/>
    </xf>
    <xf borderId="0" fillId="0" fontId="46" numFmtId="0" xfId="0" applyAlignment="1" applyFont="1">
      <alignment horizontal="center" vertical="center"/>
    </xf>
    <xf borderId="47" fillId="0" fontId="13" numFmtId="0" xfId="0" applyAlignment="1" applyBorder="1" applyFont="1">
      <alignment horizontal="left" vertical="center"/>
    </xf>
    <xf borderId="0" fillId="0" fontId="13" numFmtId="0" xfId="0" applyAlignment="1" applyFont="1">
      <alignment horizontal="left" vertical="center"/>
    </xf>
    <xf borderId="64" fillId="0" fontId="13" numFmtId="0" xfId="0" applyAlignment="1" applyBorder="1" applyFont="1">
      <alignment horizontal="center" vertical="center"/>
    </xf>
    <xf borderId="18" fillId="33" fontId="242" numFmtId="0" xfId="0" applyAlignment="1" applyBorder="1" applyFont="1">
      <alignment horizontal="center" readingOrder="0" vertical="center"/>
    </xf>
    <xf borderId="0" fillId="0" fontId="243" numFmtId="0" xfId="0" applyAlignment="1" applyFont="1">
      <alignment horizontal="left" readingOrder="0" vertical="center"/>
    </xf>
    <xf borderId="0" fillId="0" fontId="243" numFmtId="0" xfId="0" applyAlignment="1" applyFont="1">
      <alignment horizontal="center" readingOrder="0" vertical="center"/>
    </xf>
    <xf borderId="30" fillId="23" fontId="244" numFmtId="0" xfId="0" applyAlignment="1" applyBorder="1" applyFont="1">
      <alignment horizontal="center" readingOrder="0" vertical="center"/>
    </xf>
    <xf borderId="0" fillId="23" fontId="244" numFmtId="0" xfId="0" applyAlignment="1" applyFont="1">
      <alignment horizontal="center" readingOrder="0" vertical="center"/>
    </xf>
    <xf borderId="13" fillId="8" fontId="46" numFmtId="0" xfId="0" applyAlignment="1" applyBorder="1" applyFont="1">
      <alignment horizontal="center" readingOrder="0" vertical="center"/>
    </xf>
    <xf borderId="62" fillId="0" fontId="46" numFmtId="0" xfId="0" applyAlignment="1" applyBorder="1" applyFont="1">
      <alignment horizontal="center" readingOrder="0"/>
    </xf>
    <xf borderId="62" fillId="0" fontId="46" numFmtId="0" xfId="0" applyAlignment="1" applyBorder="1" applyFont="1">
      <alignment horizontal="center"/>
    </xf>
    <xf borderId="126" fillId="2" fontId="245" numFmtId="0" xfId="0" applyAlignment="1" applyBorder="1" applyFont="1">
      <alignment horizontal="left" readingOrder="0"/>
    </xf>
    <xf borderId="126" fillId="2" fontId="245" numFmtId="0" xfId="0" applyAlignment="1" applyBorder="1" applyFont="1">
      <alignment horizontal="left" readingOrder="0" vertical="center"/>
    </xf>
    <xf borderId="28" fillId="2" fontId="245" numFmtId="0" xfId="0" applyAlignment="1" applyBorder="1" applyFont="1">
      <alignment horizontal="left" readingOrder="0"/>
    </xf>
    <xf borderId="0" fillId="2" fontId="245" numFmtId="0" xfId="0" applyAlignment="1" applyFont="1">
      <alignment horizontal="left" readingOrder="0"/>
    </xf>
    <xf borderId="46" fillId="49" fontId="10" numFmtId="0" xfId="0" applyAlignment="1" applyBorder="1" applyFill="1" applyFont="1">
      <alignment horizontal="center" readingOrder="0" vertical="center"/>
    </xf>
    <xf borderId="46" fillId="50" fontId="246" numFmtId="0" xfId="0" applyAlignment="1" applyBorder="1" applyFill="1" applyFont="1">
      <alignment horizontal="center" readingOrder="0" vertical="center"/>
    </xf>
    <xf borderId="18" fillId="8" fontId="29" numFmtId="0" xfId="0" applyAlignment="1" applyBorder="1" applyFont="1">
      <alignment horizontal="center" readingOrder="0" vertical="center"/>
    </xf>
    <xf borderId="46" fillId="37" fontId="10" numFmtId="0" xfId="0" applyAlignment="1" applyBorder="1" applyFont="1">
      <alignment horizontal="center" readingOrder="0" vertical="center"/>
    </xf>
    <xf borderId="130" fillId="34" fontId="247" numFmtId="0" xfId="0" applyAlignment="1" applyBorder="1" applyFont="1">
      <alignment horizontal="center" readingOrder="0" vertical="center"/>
    </xf>
    <xf borderId="131" fillId="34" fontId="247" numFmtId="0" xfId="0" applyAlignment="1" applyBorder="1" applyFont="1">
      <alignment horizontal="center" readingOrder="0" vertical="center"/>
    </xf>
    <xf borderId="13" fillId="8" fontId="247" numFmtId="0" xfId="0" applyAlignment="1" applyBorder="1" applyFont="1">
      <alignment horizontal="center" vertical="center"/>
    </xf>
    <xf borderId="46" fillId="51" fontId="248" numFmtId="0" xfId="0" applyAlignment="1" applyBorder="1" applyFill="1" applyFont="1">
      <alignment horizontal="center" readingOrder="0" vertical="center"/>
    </xf>
    <xf borderId="132" fillId="51" fontId="248" numFmtId="0" xfId="0" applyAlignment="1" applyBorder="1" applyFont="1">
      <alignment horizontal="center" readingOrder="0" vertical="center"/>
    </xf>
    <xf borderId="46" fillId="34" fontId="247" numFmtId="0" xfId="0" applyAlignment="1" applyBorder="1" applyFont="1">
      <alignment horizontal="center" readingOrder="0" vertical="center"/>
    </xf>
    <xf borderId="46" fillId="8" fontId="29" numFmtId="0" xfId="0" applyAlignment="1" applyBorder="1" applyFont="1">
      <alignment horizontal="center" readingOrder="0" vertical="center"/>
    </xf>
    <xf borderId="46" fillId="30" fontId="80" numFmtId="0" xfId="0" applyAlignment="1" applyBorder="1" applyFont="1">
      <alignment horizontal="center" readingOrder="0"/>
    </xf>
    <xf borderId="46" fillId="29" fontId="247" numFmtId="0" xfId="0" applyAlignment="1" applyBorder="1" applyFont="1">
      <alignment horizontal="center" readingOrder="0" vertical="center"/>
    </xf>
    <xf borderId="131" fillId="29" fontId="247" numFmtId="0" xfId="0" applyAlignment="1" applyBorder="1" applyFont="1">
      <alignment horizontal="center" readingOrder="0" vertical="center"/>
    </xf>
    <xf borderId="46" fillId="7" fontId="249" numFmtId="0" xfId="0" applyAlignment="1" applyBorder="1" applyFont="1">
      <alignment horizontal="center" readingOrder="0" vertical="center"/>
    </xf>
    <xf borderId="46" fillId="46" fontId="234" numFmtId="0" xfId="0" applyAlignment="1" applyBorder="1" applyFont="1">
      <alignment horizontal="center" readingOrder="0" vertical="center"/>
    </xf>
    <xf borderId="46" fillId="9" fontId="247" numFmtId="0" xfId="0" applyAlignment="1" applyBorder="1" applyFont="1">
      <alignment horizontal="center" readingOrder="0" vertical="center"/>
    </xf>
    <xf borderId="46" fillId="5" fontId="10" numFmtId="0" xfId="0" applyAlignment="1" applyBorder="1" applyFont="1">
      <alignment horizontal="center" readingOrder="0" vertical="center"/>
    </xf>
    <xf borderId="46" fillId="6" fontId="14" numFmtId="0" xfId="0" applyAlignment="1" applyBorder="1" applyFont="1">
      <alignment horizontal="center" readingOrder="0" vertical="center"/>
    </xf>
    <xf borderId="0" fillId="49" fontId="10" numFmtId="0" xfId="0" applyAlignment="1" applyFont="1">
      <alignment horizontal="center" readingOrder="0" vertical="center"/>
    </xf>
    <xf borderId="0" fillId="50" fontId="246" numFmtId="0" xfId="0" applyAlignment="1" applyFont="1">
      <alignment horizontal="center" readingOrder="0" vertical="center"/>
    </xf>
    <xf borderId="133" fillId="49" fontId="10" numFmtId="0" xfId="0" applyAlignment="1" applyBorder="1" applyFont="1">
      <alignment horizontal="center" readingOrder="0" vertical="center"/>
    </xf>
    <xf borderId="134" fillId="37" fontId="10" numFmtId="0" xfId="0" applyAlignment="1" applyBorder="1" applyFont="1">
      <alignment horizontal="center" readingOrder="0" vertical="center"/>
    </xf>
    <xf borderId="133" fillId="0" fontId="3" numFmtId="0" xfId="0" applyBorder="1" applyFont="1"/>
    <xf borderId="0" fillId="37" fontId="10" numFmtId="0" xfId="0" applyAlignment="1" applyFont="1">
      <alignment horizontal="center" readingOrder="0" vertical="center"/>
    </xf>
    <xf borderId="0" fillId="34" fontId="247" numFmtId="0" xfId="0" applyAlignment="1" applyFont="1">
      <alignment horizontal="center" readingOrder="0" vertical="center"/>
    </xf>
    <xf borderId="0" fillId="51" fontId="248" numFmtId="0" xfId="0" applyAlignment="1" applyFont="1">
      <alignment horizontal="center" readingOrder="0" vertical="center"/>
    </xf>
    <xf borderId="135" fillId="51" fontId="248" numFmtId="0" xfId="0" applyAlignment="1" applyBorder="1" applyFont="1">
      <alignment horizontal="center" readingOrder="0" vertical="center"/>
    </xf>
    <xf borderId="42" fillId="34" fontId="247" numFmtId="0" xfId="0" applyAlignment="1" applyBorder="1" applyFont="1">
      <alignment horizontal="center" readingOrder="0" vertical="center"/>
    </xf>
    <xf borderId="62" fillId="30" fontId="80" numFmtId="0" xfId="0" applyAlignment="1" applyBorder="1" applyFont="1">
      <alignment horizontal="center" readingOrder="0"/>
    </xf>
    <xf borderId="0" fillId="29" fontId="247" numFmtId="0" xfId="0" applyAlignment="1" applyFont="1">
      <alignment horizontal="center" readingOrder="0" vertical="center"/>
    </xf>
    <xf borderId="42" fillId="29" fontId="247" numFmtId="0" xfId="0" applyAlignment="1" applyBorder="1" applyFont="1">
      <alignment horizontal="center" readingOrder="0" vertical="center"/>
    </xf>
    <xf borderId="0" fillId="7" fontId="249" numFmtId="0" xfId="0" applyAlignment="1" applyFont="1">
      <alignment horizontal="center" readingOrder="0" vertical="center"/>
    </xf>
    <xf borderId="32" fillId="8" fontId="247" numFmtId="0" xfId="0" applyAlignment="1" applyBorder="1" applyFont="1">
      <alignment horizontal="center" vertical="center"/>
    </xf>
    <xf borderId="0" fillId="46" fontId="234" numFmtId="0" xfId="0" applyAlignment="1" applyFont="1">
      <alignment horizontal="center" readingOrder="0" vertical="center"/>
    </xf>
    <xf borderId="0" fillId="9" fontId="247" numFmtId="0" xfId="0" applyAlignment="1" applyFont="1">
      <alignment horizontal="center" readingOrder="0" vertical="center"/>
    </xf>
    <xf borderId="32" fillId="8" fontId="46" numFmtId="0" xfId="0" applyAlignment="1" applyBorder="1" applyFont="1">
      <alignment horizontal="center" readingOrder="0" vertical="center"/>
    </xf>
    <xf borderId="0" fillId="5" fontId="10" numFmtId="0" xfId="0" applyAlignment="1" applyFont="1">
      <alignment horizontal="center" readingOrder="0" vertical="center"/>
    </xf>
    <xf borderId="0" fillId="6" fontId="14" numFmtId="0" xfId="0" applyAlignment="1" applyFont="1">
      <alignment horizontal="center" readingOrder="0" vertical="center"/>
    </xf>
    <xf borderId="127" fillId="2" fontId="245" numFmtId="0" xfId="0" applyAlignment="1" applyBorder="1" applyFont="1">
      <alignment horizontal="left" readingOrder="0"/>
    </xf>
    <xf borderId="128" fillId="2" fontId="245" numFmtId="0" xfId="0" applyAlignment="1" applyBorder="1" applyFont="1">
      <alignment horizontal="left" readingOrder="0"/>
    </xf>
    <xf borderId="16" fillId="2" fontId="245" numFmtId="0" xfId="0" applyAlignment="1" applyBorder="1" applyFont="1">
      <alignment horizontal="left" readingOrder="0"/>
    </xf>
    <xf borderId="0" fillId="8" fontId="4" numFmtId="0" xfId="0" applyAlignment="1" applyFont="1">
      <alignment horizontal="center" readingOrder="0" vertical="center"/>
    </xf>
    <xf borderId="0" fillId="8" fontId="29" numFmtId="0" xfId="0" applyAlignment="1" applyFont="1">
      <alignment horizontal="left" readingOrder="0" vertical="center"/>
    </xf>
    <xf borderId="0" fillId="49" fontId="29" numFmtId="0" xfId="0" applyAlignment="1" applyFont="1">
      <alignment horizontal="center" readingOrder="0" vertical="center"/>
    </xf>
    <xf borderId="0" fillId="50" fontId="250" numFmtId="0" xfId="0" applyAlignment="1" applyFont="1">
      <alignment horizontal="center" readingOrder="0" vertical="center"/>
    </xf>
    <xf borderId="133" fillId="49" fontId="29" numFmtId="0" xfId="0" applyAlignment="1" applyBorder="1" applyFont="1">
      <alignment horizontal="center" readingOrder="0" vertical="center"/>
    </xf>
    <xf borderId="0" fillId="37" fontId="29" numFmtId="0" xfId="0" applyAlignment="1" applyFont="1">
      <alignment horizontal="center" readingOrder="0" vertical="center"/>
    </xf>
    <xf borderId="134" fillId="37" fontId="29" numFmtId="0" xfId="0" applyAlignment="1" applyBorder="1" applyFont="1">
      <alignment horizontal="center" readingOrder="0" vertical="center"/>
    </xf>
    <xf borderId="0" fillId="34" fontId="63" numFmtId="0" xfId="0" applyAlignment="1" applyFont="1">
      <alignment horizontal="center" readingOrder="0" vertical="center"/>
    </xf>
    <xf borderId="0" fillId="51" fontId="251" numFmtId="0" xfId="0" applyAlignment="1" applyFont="1">
      <alignment horizontal="center" readingOrder="0" vertical="center"/>
    </xf>
    <xf borderId="136" fillId="0" fontId="3" numFmtId="0" xfId="0" applyBorder="1" applyFont="1"/>
    <xf borderId="135" fillId="51" fontId="251" numFmtId="0" xfId="0" applyAlignment="1" applyBorder="1" applyFont="1">
      <alignment horizontal="center" readingOrder="0" vertical="center"/>
    </xf>
    <xf borderId="42" fillId="34" fontId="63" numFmtId="0" xfId="0" applyAlignment="1" applyBorder="1" applyFont="1">
      <alignment horizontal="center" readingOrder="0" vertical="center"/>
    </xf>
    <xf borderId="46" fillId="30" fontId="29" numFmtId="0" xfId="0" applyAlignment="1" applyBorder="1" applyFont="1">
      <alignment horizontal="center" vertical="center"/>
    </xf>
    <xf borderId="0" fillId="29" fontId="63" numFmtId="0" xfId="0" applyAlignment="1" applyFont="1">
      <alignment horizontal="center" readingOrder="0" vertical="center"/>
    </xf>
    <xf borderId="42" fillId="29" fontId="63" numFmtId="0" xfId="0" applyAlignment="1" applyBorder="1" applyFont="1">
      <alignment horizontal="center" readingOrder="0" vertical="center"/>
    </xf>
    <xf borderId="0" fillId="7" fontId="22" numFmtId="0" xfId="0" applyAlignment="1" applyFont="1">
      <alignment horizontal="center" readingOrder="0" vertical="center"/>
    </xf>
    <xf borderId="0" fillId="46" fontId="252" numFmtId="0" xfId="0" applyAlignment="1" applyFont="1">
      <alignment horizontal="center" readingOrder="0" vertical="center"/>
    </xf>
    <xf borderId="0" fillId="9" fontId="18" numFmtId="0" xfId="0" applyAlignment="1" applyFont="1">
      <alignment horizontal="center" readingOrder="0" vertical="center"/>
    </xf>
    <xf borderId="0" fillId="5" fontId="29" numFmtId="0" xfId="0" applyAlignment="1" applyFont="1">
      <alignment horizontal="center" readingOrder="0" vertical="center"/>
    </xf>
    <xf borderId="0" fillId="30" fontId="29" numFmtId="0" xfId="0" applyAlignment="1" applyFont="1">
      <alignment horizontal="center" vertical="center"/>
    </xf>
    <xf borderId="0" fillId="34" fontId="18" numFmtId="0" xfId="0" applyAlignment="1" applyFont="1">
      <alignment horizontal="center" readingOrder="0" vertical="center"/>
    </xf>
    <xf borderId="0" fillId="25" fontId="29" numFmtId="0" xfId="0" applyAlignment="1" applyFont="1">
      <alignment horizontal="center" readingOrder="0" vertical="center"/>
    </xf>
    <xf borderId="0" fillId="52" fontId="29" numFmtId="0" xfId="0" applyAlignment="1" applyFill="1" applyFont="1">
      <alignment horizontal="center" readingOrder="0" vertical="center"/>
    </xf>
    <xf borderId="0" fillId="53" fontId="29" numFmtId="0" xfId="0" applyAlignment="1" applyFill="1" applyFont="1">
      <alignment horizontal="center" readingOrder="0" vertical="center"/>
    </xf>
    <xf borderId="0" fillId="32" fontId="253" numFmtId="0" xfId="0" applyAlignment="1" applyFont="1">
      <alignment horizontal="center" readingOrder="0" vertical="center"/>
    </xf>
    <xf borderId="0" fillId="4" fontId="254" numFmtId="0" xfId="0" applyAlignment="1" applyFont="1">
      <alignment horizontal="center" readingOrder="0" vertical="center"/>
    </xf>
    <xf borderId="0" fillId="54" fontId="29" numFmtId="0" xfId="0" applyAlignment="1" applyFill="1" applyFont="1">
      <alignment horizontal="center" readingOrder="0" vertical="center"/>
    </xf>
    <xf borderId="0" fillId="36" fontId="29" numFmtId="0" xfId="0" applyAlignment="1" applyFont="1">
      <alignment horizontal="center" vertical="center"/>
    </xf>
    <xf borderId="0" fillId="30" fontId="18" numFmtId="0" xfId="0" applyAlignment="1" applyFont="1">
      <alignment horizontal="center" readingOrder="0" vertical="center"/>
    </xf>
    <xf borderId="0" fillId="11" fontId="29" numFmtId="0" xfId="0" applyAlignment="1" applyFont="1">
      <alignment horizontal="center" readingOrder="0" vertical="center"/>
    </xf>
    <xf borderId="134" fillId="11" fontId="29" numFmtId="0" xfId="0" applyAlignment="1" applyBorder="1" applyFont="1">
      <alignment horizontal="center" readingOrder="0" vertical="center"/>
    </xf>
    <xf borderId="0" fillId="10" fontId="24" numFmtId="0" xfId="0" applyAlignment="1" applyFont="1">
      <alignment horizontal="center" readingOrder="0" vertical="center"/>
    </xf>
    <xf borderId="137" fillId="10" fontId="24" numFmtId="0" xfId="0" applyAlignment="1" applyBorder="1" applyFont="1">
      <alignment horizontal="center" readingOrder="0" vertical="center"/>
    </xf>
    <xf borderId="20" fillId="8" fontId="46" numFmtId="0" xfId="0" applyAlignment="1" applyBorder="1" applyFont="1">
      <alignment horizontal="center" readingOrder="0" vertical="center"/>
    </xf>
    <xf borderId="0" fillId="9" fontId="63" numFmtId="0" xfId="0" applyAlignment="1" applyFont="1">
      <alignment horizontal="center" readingOrder="0" vertical="center"/>
    </xf>
    <xf borderId="134" fillId="53" fontId="29" numFmtId="0" xfId="0" applyAlignment="1" applyBorder="1" applyFont="1">
      <alignment horizontal="center" readingOrder="0" vertical="center"/>
    </xf>
    <xf borderId="0" fillId="54" fontId="29" numFmtId="0" xfId="0" applyAlignment="1" applyFont="1">
      <alignment horizontal="center" vertical="center"/>
    </xf>
    <xf borderId="0" fillId="55" fontId="29" numFmtId="0" xfId="0" applyAlignment="1" applyFill="1" applyFont="1">
      <alignment horizontal="center" readingOrder="0" vertical="center"/>
    </xf>
    <xf borderId="0" fillId="7" fontId="22" numFmtId="0" xfId="0" applyAlignment="1" applyFont="1">
      <alignment horizontal="center" vertical="center"/>
    </xf>
    <xf borderId="138" fillId="0" fontId="3" numFmtId="0" xfId="0" applyBorder="1" applyFont="1"/>
    <xf borderId="139" fillId="7" fontId="22" numFmtId="0" xfId="0" applyAlignment="1" applyBorder="1" applyFont="1">
      <alignment horizontal="center" readingOrder="0" vertical="center"/>
    </xf>
    <xf borderId="133" fillId="36" fontId="29" numFmtId="0" xfId="0" applyAlignment="1" applyBorder="1" applyFont="1">
      <alignment horizontal="center" readingOrder="0" vertical="center"/>
    </xf>
    <xf borderId="134" fillId="36" fontId="29" numFmtId="0" xfId="0" applyAlignment="1" applyBorder="1" applyFont="1">
      <alignment horizontal="center" readingOrder="0" vertical="center"/>
    </xf>
    <xf borderId="0" fillId="31" fontId="29" numFmtId="0" xfId="0" applyAlignment="1" applyFont="1">
      <alignment horizontal="center" readingOrder="0" vertical="center"/>
    </xf>
    <xf borderId="20" fillId="8" fontId="247" numFmtId="0" xfId="0" applyAlignment="1" applyBorder="1" applyFont="1">
      <alignment horizontal="center" vertical="center"/>
    </xf>
    <xf borderId="62" fillId="11" fontId="1" numFmtId="0" xfId="0" applyAlignment="1" applyBorder="1" applyFont="1">
      <alignment horizontal="center" vertical="center"/>
    </xf>
    <xf borderId="56" fillId="11" fontId="18" numFmtId="0" xfId="0" applyAlignment="1" applyBorder="1" applyFont="1">
      <alignment horizontal="center" vertical="center"/>
    </xf>
    <xf borderId="0" fillId="44" fontId="18" numFmtId="0" xfId="0" applyAlignment="1" applyFont="1">
      <alignment horizontal="center" readingOrder="0" vertical="center"/>
    </xf>
    <xf borderId="140" fillId="2" fontId="245" numFmtId="0" xfId="0" applyAlignment="1" applyBorder="1" applyFont="1">
      <alignment horizontal="left" readingOrder="0"/>
    </xf>
    <xf borderId="0" fillId="52" fontId="255" numFmtId="0" xfId="0" applyAlignment="1" applyFont="1">
      <alignment horizontal="center" readingOrder="0" vertical="center"/>
    </xf>
    <xf borderId="134" fillId="17" fontId="29" numFmtId="0" xfId="0" applyAlignment="1" applyBorder="1" applyFont="1">
      <alignment horizontal="center" readingOrder="0" vertical="center"/>
    </xf>
    <xf borderId="141" fillId="17" fontId="29" numFmtId="0" xfId="0" applyAlignment="1" applyBorder="1" applyFont="1">
      <alignment horizontal="center" readingOrder="0" vertical="center"/>
    </xf>
    <xf borderId="46" fillId="17" fontId="29" numFmtId="0" xfId="0" applyAlignment="1" applyBorder="1" applyFont="1">
      <alignment horizontal="center" readingOrder="0" vertical="center"/>
    </xf>
    <xf borderId="142" fillId="17" fontId="29" numFmtId="0" xfId="0" applyAlignment="1" applyBorder="1" applyFont="1">
      <alignment horizontal="center" readingOrder="0" vertical="center"/>
    </xf>
    <xf borderId="143" fillId="0" fontId="3" numFmtId="0" xfId="0" applyBorder="1" applyFont="1"/>
    <xf borderId="134" fillId="17" fontId="48" numFmtId="0" xfId="0" applyAlignment="1" applyBorder="1" applyFont="1">
      <alignment horizontal="center" readingOrder="0" vertical="center"/>
    </xf>
    <xf borderId="0" fillId="19" fontId="256" numFmtId="0" xfId="0" applyAlignment="1" applyFont="1">
      <alignment horizontal="center" readingOrder="0" vertical="center"/>
    </xf>
    <xf borderId="0" fillId="17" fontId="255" numFmtId="0" xfId="0" applyAlignment="1" applyFont="1">
      <alignment horizontal="center" readingOrder="0" vertical="center"/>
    </xf>
    <xf borderId="0" fillId="13" fontId="29" numFmtId="0" xfId="0" applyAlignment="1" applyFont="1">
      <alignment horizontal="center" readingOrder="0" vertical="center"/>
    </xf>
    <xf borderId="46" fillId="8" fontId="46" numFmtId="0" xfId="0" applyAlignment="1" applyBorder="1" applyFont="1">
      <alignment horizontal="center" readingOrder="0" vertical="center"/>
    </xf>
    <xf borderId="30" fillId="37" fontId="29" numFmtId="0" xfId="0" applyAlignment="1" applyBorder="1" applyFont="1">
      <alignment horizontal="center" vertical="center"/>
    </xf>
    <xf borderId="144" fillId="0" fontId="3" numFmtId="0" xfId="0" applyBorder="1" applyFont="1"/>
    <xf borderId="0" fillId="29" fontId="18" numFmtId="0" xfId="0" applyAlignment="1" applyFont="1">
      <alignment horizontal="center" readingOrder="0" vertical="center"/>
    </xf>
    <xf borderId="0" fillId="36" fontId="29" numFmtId="0" xfId="0" applyAlignment="1" applyFont="1">
      <alignment horizontal="center" readingOrder="0" vertical="center"/>
    </xf>
    <xf borderId="0" fillId="0" fontId="63" numFmtId="0" xfId="0" applyAlignment="1" applyFont="1">
      <alignment horizontal="center" readingOrder="0" vertical="center"/>
    </xf>
    <xf borderId="0" fillId="12" fontId="29" numFmtId="0" xfId="0" applyAlignment="1" applyFont="1">
      <alignment horizontal="center" readingOrder="0" vertical="center"/>
    </xf>
    <xf borderId="134" fillId="49" fontId="29" numFmtId="0" xfId="0" applyAlignment="1" applyBorder="1" applyFont="1">
      <alignment horizontal="center" readingOrder="0" vertical="center"/>
    </xf>
    <xf borderId="0" fillId="7" fontId="29" numFmtId="0" xfId="0" applyAlignment="1" applyFont="1">
      <alignment horizontal="center" readingOrder="0" vertical="center"/>
    </xf>
    <xf borderId="134" fillId="54" fontId="29" numFmtId="0" xfId="0" applyAlignment="1" applyBorder="1" applyFont="1">
      <alignment horizontal="center" readingOrder="0" vertical="center"/>
    </xf>
    <xf borderId="0" fillId="0" fontId="254" numFmtId="0" xfId="0" applyAlignment="1" applyFont="1">
      <alignment horizontal="center" readingOrder="0" vertical="center"/>
    </xf>
    <xf borderId="31" fillId="8" fontId="46" numFmtId="0" xfId="0" applyAlignment="1" applyBorder="1" applyFont="1">
      <alignment horizontal="center" readingOrder="0" vertical="center"/>
    </xf>
    <xf borderId="0" fillId="34" fontId="18" numFmtId="0" xfId="0" applyAlignment="1" applyFont="1">
      <alignment horizontal="center" vertical="center"/>
    </xf>
    <xf borderId="145" fillId="0" fontId="3" numFmtId="0" xfId="0" applyBorder="1" applyFont="1"/>
    <xf borderId="146" fillId="50" fontId="250" numFmtId="0" xfId="0" applyAlignment="1" applyBorder="1" applyFont="1">
      <alignment horizontal="center" readingOrder="0" vertical="center"/>
    </xf>
    <xf borderId="133" fillId="54" fontId="29" numFmtId="0" xfId="0" applyAlignment="1" applyBorder="1" applyFont="1">
      <alignment horizontal="center" readingOrder="0" vertical="center"/>
    </xf>
    <xf borderId="0" fillId="56" fontId="251" numFmtId="0" xfId="0" applyAlignment="1" applyFill="1" applyFont="1">
      <alignment horizontal="center" readingOrder="0" vertical="center"/>
    </xf>
    <xf borderId="0" fillId="37" fontId="29" numFmtId="0" xfId="0" applyAlignment="1" applyFont="1">
      <alignment horizontal="center" vertical="center"/>
    </xf>
    <xf borderId="0" fillId="57" fontId="29" numFmtId="0" xfId="0" applyAlignment="1" applyFill="1" applyFont="1">
      <alignment horizontal="center" readingOrder="0" vertical="center"/>
    </xf>
    <xf borderId="0" fillId="13" fontId="18" numFmtId="0" xfId="0" applyAlignment="1" applyFont="1">
      <alignment horizontal="center" readingOrder="0" vertical="center"/>
    </xf>
    <xf borderId="62" fillId="8" fontId="29" numFmtId="0" xfId="0" applyAlignment="1" applyBorder="1" applyFont="1">
      <alignment horizontal="left" readingOrder="0" vertical="center"/>
    </xf>
    <xf borderId="62" fillId="6" fontId="14" numFmtId="0" xfId="0" applyAlignment="1" applyBorder="1" applyFont="1">
      <alignment horizontal="center" readingOrder="0" vertical="center"/>
    </xf>
    <xf borderId="62" fillId="7" fontId="29" numFmtId="0" xfId="0" applyAlignment="1" applyBorder="1" applyFont="1">
      <alignment horizontal="center" readingOrder="0" vertical="center"/>
    </xf>
    <xf borderId="62" fillId="7" fontId="22" numFmtId="0" xfId="0" applyAlignment="1" applyBorder="1" applyFont="1">
      <alignment horizontal="center" vertical="center"/>
    </xf>
    <xf borderId="9" fillId="2" fontId="245" numFmtId="0" xfId="0" applyAlignment="1" applyBorder="1" applyFont="1">
      <alignment horizontal="left" readingOrder="0"/>
    </xf>
    <xf borderId="11" fillId="2" fontId="245" numFmtId="0" xfId="0" applyAlignment="1" applyBorder="1" applyFont="1">
      <alignment horizontal="left" readingOrder="0"/>
    </xf>
    <xf borderId="64" fillId="8" fontId="4" numFmtId="0" xfId="0" applyAlignment="1" applyBorder="1" applyFont="1">
      <alignment horizontal="center" readingOrder="0" vertical="center"/>
    </xf>
    <xf borderId="66" fillId="7" fontId="92" numFmtId="0" xfId="0" applyAlignment="1" applyBorder="1" applyFont="1">
      <alignment horizontal="center" vertical="center"/>
    </xf>
    <xf borderId="46" fillId="6" fontId="244" numFmtId="0" xfId="0" applyAlignment="1" applyBorder="1" applyFont="1">
      <alignment horizontal="left" readingOrder="0" vertical="center"/>
    </xf>
    <xf borderId="120" fillId="9" fontId="19" numFmtId="0" xfId="0" applyAlignment="1" applyBorder="1" applyFont="1">
      <alignment horizontal="center" readingOrder="0" vertical="center"/>
    </xf>
    <xf borderId="0" fillId="6" fontId="257" numFmtId="0" xfId="0" applyAlignment="1" applyFont="1">
      <alignment horizontal="right" readingOrder="0" vertical="center"/>
    </xf>
    <xf borderId="120" fillId="10" fontId="258" numFmtId="0" xfId="0" applyAlignment="1" applyBorder="1" applyFont="1">
      <alignment horizontal="center" readingOrder="0" vertical="center"/>
    </xf>
    <xf borderId="121" fillId="13" fontId="19" numFmtId="0" xfId="0" applyAlignment="1" applyBorder="1" applyFont="1">
      <alignment horizontal="center" readingOrder="0" vertical="center"/>
    </xf>
    <xf borderId="129" fillId="5" fontId="25" numFmtId="0" xfId="0" applyAlignment="1" applyBorder="1" applyFont="1">
      <alignment horizontal="center" readingOrder="0" vertical="center"/>
    </xf>
    <xf borderId="52" fillId="0" fontId="3" numFmtId="0" xfId="0" applyBorder="1" applyFont="1"/>
    <xf borderId="147" fillId="12" fontId="25" numFmtId="0" xfId="0" applyAlignment="1" applyBorder="1" applyFont="1">
      <alignment horizontal="center" readingOrder="0" vertical="center"/>
    </xf>
    <xf borderId="0" fillId="6" fontId="29" numFmtId="0" xfId="0" applyAlignment="1" applyFont="1">
      <alignment horizontal="center" readingOrder="0" vertical="center"/>
    </xf>
    <xf borderId="66" fillId="8" fontId="83" numFmtId="0" xfId="0" applyAlignment="1" applyBorder="1" applyFont="1">
      <alignment horizontal="center" readingOrder="0" vertical="center"/>
    </xf>
    <xf borderId="47" fillId="14" fontId="259" numFmtId="0" xfId="0" applyAlignment="1" applyBorder="1" applyFont="1">
      <alignment horizontal="center" readingOrder="0" vertical="center"/>
    </xf>
    <xf borderId="46" fillId="6" fontId="63" numFmtId="0" xfId="0" applyAlignment="1" applyBorder="1" applyFont="1">
      <alignment horizontal="left" readingOrder="0" vertical="center"/>
    </xf>
    <xf borderId="0" fillId="6" fontId="3" numFmtId="0" xfId="0" applyFont="1"/>
    <xf borderId="0" fillId="6" fontId="250" numFmtId="0" xfId="0" applyAlignment="1" applyFont="1">
      <alignment horizontal="center" readingOrder="0" vertical="center"/>
    </xf>
    <xf borderId="0" fillId="14" fontId="250" numFmtId="0" xfId="0" applyAlignment="1" applyFont="1">
      <alignment horizontal="center" readingOrder="0" vertical="center"/>
    </xf>
    <xf borderId="43" fillId="17" fontId="63" numFmtId="0" xfId="0" applyAlignment="1" applyBorder="1" applyFont="1">
      <alignment horizontal="center" readingOrder="0" vertical="center"/>
    </xf>
    <xf borderId="0" fillId="17" fontId="63" numFmtId="0" xfId="0" applyAlignment="1" applyFont="1">
      <alignment horizontal="center" readingOrder="0" vertical="center"/>
    </xf>
    <xf borderId="0" fillId="6" fontId="257" numFmtId="0" xfId="0" applyAlignment="1" applyFont="1">
      <alignment horizontal="left" readingOrder="0" vertical="center"/>
    </xf>
    <xf borderId="58" fillId="25" fontId="29" numFmtId="0" xfId="0" applyAlignment="1" applyBorder="1" applyFont="1">
      <alignment horizontal="center" readingOrder="0" vertical="center"/>
    </xf>
    <xf borderId="134" fillId="25" fontId="29" numFmtId="0" xfId="0" applyAlignment="1" applyBorder="1" applyFont="1">
      <alignment horizontal="center" readingOrder="0" vertical="center"/>
    </xf>
    <xf borderId="58" fillId="32" fontId="253" numFmtId="0" xfId="0" applyAlignment="1" applyBorder="1" applyFont="1">
      <alignment horizontal="center" readingOrder="0" vertical="center"/>
    </xf>
    <xf borderId="134" fillId="0" fontId="3" numFmtId="0" xfId="0" applyBorder="1" applyFont="1"/>
    <xf borderId="0" fillId="6" fontId="63" numFmtId="0" xfId="0" applyAlignment="1" applyFont="1">
      <alignment horizontal="center" vertical="center"/>
    </xf>
    <xf borderId="148" fillId="0" fontId="3" numFmtId="0" xfId="0" applyBorder="1" applyFont="1"/>
    <xf borderId="149" fillId="32" fontId="253" numFmtId="0" xfId="0" applyAlignment="1" applyBorder="1" applyFont="1">
      <alignment horizontal="center" readingOrder="0" vertical="center"/>
    </xf>
    <xf borderId="0" fillId="6" fontId="50" numFmtId="0" xfId="0" applyAlignment="1" applyFont="1">
      <alignment horizontal="center" readingOrder="0" vertical="center"/>
    </xf>
    <xf borderId="58" fillId="54" fontId="29" numFmtId="0" xfId="0" applyAlignment="1" applyBorder="1" applyFont="1">
      <alignment horizontal="center" readingOrder="0" vertical="center"/>
    </xf>
    <xf borderId="58" fillId="52" fontId="29" numFmtId="0" xfId="0" applyAlignment="1" applyBorder="1" applyFont="1">
      <alignment horizontal="center" readingOrder="0" vertical="center"/>
    </xf>
    <xf borderId="58" fillId="11" fontId="29" numFmtId="0" xfId="0" applyAlignment="1" applyBorder="1" applyFont="1">
      <alignment horizontal="center" readingOrder="0" vertical="center"/>
    </xf>
    <xf borderId="58" fillId="50" fontId="250" numFmtId="0" xfId="0" applyAlignment="1" applyBorder="1" applyFont="1">
      <alignment horizontal="center" readingOrder="0" vertical="center"/>
    </xf>
    <xf borderId="58" fillId="53" fontId="29" numFmtId="0" xfId="0" applyAlignment="1" applyBorder="1" applyFont="1">
      <alignment horizontal="center" readingOrder="0" vertical="center"/>
    </xf>
    <xf borderId="141" fillId="53" fontId="29" numFmtId="0" xfId="0" applyAlignment="1" applyBorder="1" applyFont="1">
      <alignment horizontal="center" readingOrder="0" vertical="center"/>
    </xf>
    <xf borderId="58" fillId="32" fontId="260" numFmtId="0" xfId="0" applyAlignment="1" applyBorder="1" applyFont="1">
      <alignment horizontal="center" readingOrder="0" vertical="center"/>
    </xf>
    <xf borderId="0" fillId="32" fontId="261" numFmtId="0" xfId="0" applyAlignment="1" applyFont="1">
      <alignment horizontal="center" readingOrder="0" vertical="center"/>
    </xf>
    <xf borderId="58" fillId="58" fontId="29" numFmtId="0" xfId="0" applyAlignment="1" applyBorder="1" applyFill="1" applyFont="1">
      <alignment horizontal="center" readingOrder="0" vertical="center"/>
    </xf>
    <xf borderId="0" fillId="6" fontId="257" numFmtId="0" xfId="0" applyAlignment="1" applyFont="1">
      <alignment horizontal="center" readingOrder="0" vertical="center"/>
    </xf>
    <xf borderId="0" fillId="58" fontId="29" numFmtId="0" xfId="0" applyAlignment="1" applyFont="1">
      <alignment horizontal="center" readingOrder="0" vertical="center"/>
    </xf>
    <xf borderId="58" fillId="33" fontId="262" numFmtId="0" xfId="0" applyAlignment="1" applyBorder="1" applyFont="1">
      <alignment horizontal="center" readingOrder="0" vertical="center"/>
    </xf>
    <xf borderId="0" fillId="33" fontId="262" numFmtId="0" xfId="0" applyAlignment="1" applyFont="1">
      <alignment horizontal="center" readingOrder="0" vertical="center"/>
    </xf>
    <xf borderId="0" fillId="6" fontId="13" numFmtId="0" xfId="0" applyAlignment="1" applyFont="1">
      <alignment vertical="center"/>
    </xf>
    <xf borderId="58" fillId="17" fontId="63" numFmtId="0" xfId="0" applyAlignment="1" applyBorder="1" applyFont="1">
      <alignment horizontal="center" readingOrder="0" vertical="center"/>
    </xf>
    <xf borderId="58" fillId="59" fontId="263" numFmtId="0" xfId="0" applyAlignment="1" applyBorder="1" applyFill="1" applyFont="1">
      <alignment horizontal="center" readingOrder="0" vertical="center"/>
    </xf>
    <xf borderId="0" fillId="59" fontId="263" numFmtId="0" xfId="0" applyAlignment="1" applyFont="1">
      <alignment horizontal="center" readingOrder="0" vertical="center"/>
    </xf>
    <xf borderId="58" fillId="60" fontId="264" numFmtId="0" xfId="0" applyAlignment="1" applyBorder="1" applyFill="1" applyFont="1">
      <alignment horizontal="center" readingOrder="0" vertical="center"/>
    </xf>
    <xf borderId="0" fillId="60" fontId="264" numFmtId="0" xfId="0" applyAlignment="1" applyFont="1">
      <alignment horizontal="center" readingOrder="0" vertical="center"/>
    </xf>
    <xf borderId="58" fillId="54" fontId="252" numFmtId="0" xfId="0" applyAlignment="1" applyBorder="1" applyFont="1">
      <alignment horizontal="center" readingOrder="0" vertical="center"/>
    </xf>
    <xf borderId="0" fillId="54" fontId="252" numFmtId="0" xfId="0" applyAlignment="1" applyFont="1">
      <alignment horizontal="center" readingOrder="0" vertical="center"/>
    </xf>
    <xf borderId="150" fillId="0" fontId="3" numFmtId="0" xfId="0" applyBorder="1" applyFont="1"/>
    <xf borderId="151" fillId="54" fontId="252" numFmtId="0" xfId="0" applyAlignment="1" applyBorder="1" applyFont="1">
      <alignment horizontal="center" readingOrder="0" vertical="center"/>
    </xf>
    <xf borderId="58" fillId="7" fontId="29" numFmtId="0" xfId="0" applyAlignment="1" applyBorder="1" applyFont="1">
      <alignment horizontal="center" readingOrder="0" vertical="center"/>
    </xf>
    <xf borderId="58" fillId="19" fontId="256" numFmtId="0" xfId="0" applyAlignment="1" applyBorder="1" applyFont="1">
      <alignment horizontal="center" readingOrder="0" vertical="center"/>
    </xf>
    <xf borderId="152" fillId="0" fontId="3" numFmtId="0" xfId="0" applyBorder="1" applyFont="1"/>
    <xf borderId="153" fillId="19" fontId="256" numFmtId="0" xfId="0" applyAlignment="1" applyBorder="1" applyFont="1">
      <alignment horizontal="center" readingOrder="0" vertical="center"/>
    </xf>
    <xf borderId="58" fillId="4" fontId="18" numFmtId="0" xfId="0" applyAlignment="1" applyBorder="1" applyFont="1">
      <alignment horizontal="center" readingOrder="0" vertical="center"/>
    </xf>
    <xf borderId="0" fillId="4" fontId="63" numFmtId="0" xfId="0" applyAlignment="1" applyFont="1">
      <alignment horizontal="center" readingOrder="0" vertical="center"/>
    </xf>
    <xf borderId="58" fillId="61" fontId="29" numFmtId="0" xfId="0" applyAlignment="1" applyBorder="1" applyFill="1" applyFont="1">
      <alignment horizontal="center" readingOrder="0" vertical="center"/>
    </xf>
    <xf borderId="0" fillId="61" fontId="29" numFmtId="0" xfId="0" applyAlignment="1" applyFont="1">
      <alignment horizontal="center" readingOrder="0" vertical="center"/>
    </xf>
    <xf borderId="59" fillId="4" fontId="254" numFmtId="0" xfId="0" applyAlignment="1" applyBorder="1" applyFont="1">
      <alignment horizontal="center" vertical="center"/>
    </xf>
    <xf borderId="0" fillId="6" fontId="14" numFmtId="0" xfId="0" applyAlignment="1" applyFont="1">
      <alignment horizontal="center" vertical="center"/>
    </xf>
    <xf borderId="0" fillId="6" fontId="257" numFmtId="0" xfId="0" applyAlignment="1" applyFont="1">
      <alignment horizontal="right" vertical="center"/>
    </xf>
    <xf borderId="0" fillId="4" fontId="254" numFmtId="0" xfId="0" applyAlignment="1" applyFont="1">
      <alignment horizontal="center" vertical="center"/>
    </xf>
    <xf borderId="154" fillId="6" fontId="257" numFmtId="0" xfId="0" applyAlignment="1" applyBorder="1" applyFont="1">
      <alignment shrinkToFit="0" vertical="center" wrapText="0"/>
    </xf>
    <xf borderId="154" fillId="6" fontId="13" numFmtId="0" xfId="0" applyAlignment="1" applyBorder="1" applyFont="1">
      <alignment vertical="center"/>
    </xf>
    <xf borderId="44" fillId="29" fontId="63" numFmtId="0" xfId="0" applyAlignment="1" applyBorder="1" applyFont="1">
      <alignment horizontal="center" vertical="center"/>
    </xf>
    <xf borderId="0" fillId="29" fontId="63" numFmtId="0" xfId="0" applyAlignment="1" applyFont="1">
      <alignment horizontal="center" vertical="center"/>
    </xf>
    <xf borderId="42" fillId="29" fontId="63" numFmtId="0" xfId="0" applyAlignment="1" applyBorder="1" applyFont="1">
      <alignment horizontal="center" vertical="center"/>
    </xf>
    <xf borderId="0" fillId="6" fontId="257" numFmtId="0" xfId="0" applyAlignment="1" applyFont="1">
      <alignment horizontal="left" vertical="center"/>
    </xf>
    <xf borderId="0" fillId="6" fontId="257" numFmtId="0" xfId="0" applyAlignment="1" applyFont="1">
      <alignment vertical="center"/>
    </xf>
    <xf borderId="0" fillId="6" fontId="257" numFmtId="0" xfId="0" applyAlignment="1" applyFont="1">
      <alignment horizontal="center" vertical="center"/>
    </xf>
    <xf borderId="0" fillId="51" fontId="251" numFmtId="0" xfId="0" applyAlignment="1" applyFont="1">
      <alignment horizontal="center" vertical="center"/>
    </xf>
    <xf borderId="135" fillId="51" fontId="251" numFmtId="0" xfId="0" applyAlignment="1" applyBorder="1" applyFont="1">
      <alignment horizontal="center" vertical="center"/>
    </xf>
    <xf borderId="58" fillId="34" fontId="63" numFmtId="0" xfId="0" applyAlignment="1" applyBorder="1" applyFont="1">
      <alignment horizontal="center" readingOrder="0" vertical="center"/>
    </xf>
    <xf borderId="58" fillId="37" fontId="29" numFmtId="0" xfId="0" applyAlignment="1" applyBorder="1" applyFont="1">
      <alignment horizontal="center" readingOrder="0" vertical="center"/>
    </xf>
    <xf borderId="155" fillId="0" fontId="3" numFmtId="0" xfId="0" applyBorder="1" applyFont="1"/>
    <xf borderId="156" fillId="37" fontId="29" numFmtId="0" xfId="0" applyAlignment="1" applyBorder="1" applyFont="1">
      <alignment horizontal="center" readingOrder="0" vertical="center"/>
    </xf>
    <xf borderId="120" fillId="54" fontId="29" numFmtId="0" xfId="0" applyAlignment="1" applyBorder="1" applyFont="1">
      <alignment horizontal="center" readingOrder="0" vertical="center"/>
    </xf>
    <xf borderId="156" fillId="54" fontId="29" numFmtId="0" xfId="0" applyAlignment="1" applyBorder="1" applyFont="1">
      <alignment horizontal="center" readingOrder="0" vertical="center"/>
    </xf>
    <xf borderId="120" fillId="55" fontId="29" numFmtId="0" xfId="0" applyAlignment="1" applyBorder="1" applyFont="1">
      <alignment horizontal="center" readingOrder="0" vertical="center"/>
    </xf>
    <xf borderId="120" fillId="7" fontId="29" numFmtId="0" xfId="0" applyAlignment="1" applyBorder="1" applyFont="1">
      <alignment horizontal="center" readingOrder="0" vertical="center"/>
    </xf>
    <xf borderId="9" fillId="7" fontId="29" numFmtId="0" xfId="0" applyAlignment="1" applyBorder="1" applyFont="1">
      <alignment horizontal="center" readingOrder="0" vertical="center"/>
    </xf>
    <xf borderId="156" fillId="7" fontId="29" numFmtId="0" xfId="0" applyAlignment="1" applyBorder="1" applyFont="1">
      <alignment horizontal="center" readingOrder="0" vertical="center"/>
    </xf>
    <xf borderId="120" fillId="13" fontId="29" numFmtId="0" xfId="0" applyAlignment="1" applyBorder="1" applyFont="1">
      <alignment horizontal="center" readingOrder="0" vertical="center"/>
    </xf>
    <xf borderId="156" fillId="13" fontId="29" numFmtId="0" xfId="0" applyAlignment="1" applyBorder="1" applyFont="1">
      <alignment horizontal="center" readingOrder="0" vertical="center"/>
    </xf>
    <xf borderId="121" fillId="62" fontId="265" numFmtId="0" xfId="0" applyAlignment="1" applyBorder="1" applyFill="1" applyFont="1">
      <alignment horizontal="center" readingOrder="0" vertical="center"/>
    </xf>
    <xf borderId="0" fillId="62" fontId="265" numFmtId="0" xfId="0" applyAlignment="1" applyFont="1">
      <alignment horizontal="center" readingOrder="0" vertical="center"/>
    </xf>
    <xf borderId="157" fillId="32" fontId="253" numFmtId="0" xfId="0" applyAlignment="1" applyBorder="1" applyFont="1">
      <alignment horizontal="center" readingOrder="0" vertical="center"/>
    </xf>
    <xf borderId="158" fillId="6" fontId="14" numFmtId="0" xfId="0" applyAlignment="1" applyBorder="1" applyFont="1">
      <alignment horizontal="center" readingOrder="0" vertical="center"/>
    </xf>
    <xf borderId="158" fillId="6" fontId="257" numFmtId="0" xfId="0" applyAlignment="1" applyBorder="1" applyFont="1">
      <alignment horizontal="center" readingOrder="0" vertical="center"/>
    </xf>
    <xf borderId="158" fillId="32" fontId="253" numFmtId="0" xfId="0" applyAlignment="1" applyBorder="1" applyFont="1">
      <alignment horizontal="center" readingOrder="0" vertical="center"/>
    </xf>
    <xf borderId="158" fillId="0" fontId="3" numFmtId="0" xfId="0" applyBorder="1" applyFont="1"/>
    <xf borderId="158" fillId="6" fontId="257" numFmtId="0" xfId="0" applyAlignment="1" applyBorder="1" applyFont="1">
      <alignment horizontal="left" readingOrder="0" vertical="center"/>
    </xf>
    <xf borderId="120" fillId="63" fontId="262" numFmtId="0" xfId="0" applyAlignment="1" applyBorder="1" applyFill="1" applyFont="1">
      <alignment horizontal="center" readingOrder="0" vertical="center"/>
    </xf>
    <xf borderId="0" fillId="63" fontId="262" numFmtId="0" xfId="0" applyAlignment="1" applyFont="1">
      <alignment horizontal="center" readingOrder="0" vertical="center"/>
    </xf>
    <xf borderId="120" fillId="64" fontId="18" numFmtId="0" xfId="0" applyAlignment="1" applyBorder="1" applyFill="1" applyFont="1">
      <alignment horizontal="center" readingOrder="0" vertical="center"/>
    </xf>
    <xf borderId="0" fillId="64" fontId="18" numFmtId="0" xfId="0" applyAlignment="1" applyFont="1">
      <alignment horizontal="center" readingOrder="0" vertical="center"/>
    </xf>
    <xf borderId="120" fillId="15" fontId="29" numFmtId="0" xfId="0" applyAlignment="1" applyBorder="1" applyFont="1">
      <alignment horizontal="center" readingOrder="0" vertical="center"/>
    </xf>
    <xf borderId="0" fillId="15" fontId="29" numFmtId="0" xfId="0" applyAlignment="1" applyFont="1">
      <alignment horizontal="center" readingOrder="0" vertical="center"/>
    </xf>
    <xf borderId="120" fillId="53" fontId="29" numFmtId="0" xfId="0" applyAlignment="1" applyBorder="1" applyFont="1">
      <alignment horizontal="center" readingOrder="0" vertical="center"/>
    </xf>
    <xf borderId="66" fillId="11" fontId="18" numFmtId="0" xfId="0" applyAlignment="1" applyBorder="1" applyFont="1">
      <alignment horizontal="center" vertical="center"/>
    </xf>
    <xf borderId="0" fillId="6" fontId="244" numFmtId="0" xfId="0" applyAlignment="1" applyFont="1">
      <alignment horizontal="left" readingOrder="0" vertical="center"/>
    </xf>
    <xf borderId="0" fillId="11" fontId="18" numFmtId="0" xfId="0" applyAlignment="1" applyFont="1">
      <alignment horizontal="center" vertical="center"/>
    </xf>
    <xf borderId="64" fillId="11" fontId="18" numFmtId="0" xfId="0" applyAlignment="1" applyBorder="1" applyFont="1">
      <alignment horizontal="center" vertical="center"/>
    </xf>
    <xf borderId="42" fillId="11" fontId="18" numFmtId="0" xfId="0" applyAlignment="1" applyBorder="1" applyFont="1">
      <alignment horizontal="center" readingOrder="0" vertical="center"/>
    </xf>
    <xf borderId="120" fillId="37" fontId="29" numFmtId="0" xfId="0" applyAlignment="1" applyBorder="1" applyFont="1">
      <alignment horizontal="center" readingOrder="0" vertical="center"/>
    </xf>
    <xf borderId="120" fillId="40" fontId="266" numFmtId="0" xfId="0" applyAlignment="1" applyBorder="1" applyFont="1">
      <alignment horizontal="center" readingOrder="0" vertical="center"/>
    </xf>
    <xf borderId="0" fillId="40" fontId="266" numFmtId="0" xfId="0" applyAlignment="1" applyFont="1">
      <alignment horizontal="center" vertical="center"/>
    </xf>
    <xf borderId="159" fillId="0" fontId="3" numFmtId="0" xfId="0" applyBorder="1" applyFont="1"/>
    <xf borderId="160" fillId="40" fontId="266" numFmtId="0" xfId="0" applyAlignment="1" applyBorder="1" applyFont="1">
      <alignment horizontal="center" vertical="center"/>
    </xf>
    <xf borderId="120" fillId="32" fontId="29" numFmtId="0" xfId="0" applyAlignment="1" applyBorder="1" applyFont="1">
      <alignment horizontal="center" readingOrder="0" vertical="center"/>
    </xf>
    <xf borderId="0" fillId="32" fontId="29" numFmtId="0" xfId="0" applyAlignment="1" applyFont="1">
      <alignment horizontal="center" readingOrder="0" vertical="center"/>
    </xf>
    <xf borderId="120" fillId="44" fontId="18" numFmtId="0" xfId="0" applyAlignment="1" applyBorder="1" applyFont="1">
      <alignment horizontal="center" readingOrder="0" vertical="center"/>
    </xf>
    <xf borderId="42" fillId="34" fontId="18" numFmtId="0" xfId="0" applyAlignment="1" applyBorder="1" applyFont="1">
      <alignment horizontal="center" readingOrder="0" vertical="center"/>
    </xf>
    <xf borderId="60" fillId="24" fontId="18" numFmtId="0" xfId="0" applyAlignment="1" applyBorder="1" applyFont="1">
      <alignment horizontal="center" readingOrder="0" vertical="center"/>
    </xf>
    <xf borderId="0" fillId="24" fontId="63" numFmtId="0" xfId="0" applyAlignment="1" applyFont="1">
      <alignment horizontal="center" readingOrder="0" vertical="center"/>
    </xf>
    <xf borderId="66" fillId="38" fontId="18" numFmtId="0" xfId="0" applyAlignment="1" applyBorder="1" applyFont="1">
      <alignment horizontal="center" vertical="center"/>
    </xf>
    <xf borderId="0" fillId="38" fontId="18" numFmtId="0" xfId="0" applyAlignment="1" applyFont="1">
      <alignment horizontal="center" vertical="center"/>
    </xf>
    <xf borderId="0" fillId="38" fontId="63" numFmtId="0" xfId="0" applyAlignment="1" applyFont="1">
      <alignment horizontal="center" readingOrder="0" vertical="center"/>
    </xf>
    <xf borderId="42" fillId="38" fontId="63" numFmtId="0" xfId="0" applyAlignment="1" applyBorder="1" applyFont="1">
      <alignment horizontal="center" readingOrder="0" vertical="center"/>
    </xf>
    <xf borderId="66" fillId="32" fontId="29" numFmtId="0" xfId="0" applyAlignment="1" applyBorder="1" applyFont="1">
      <alignment horizontal="center" vertical="center"/>
    </xf>
    <xf borderId="0" fillId="32" fontId="29" numFmtId="0" xfId="0" applyAlignment="1" applyFont="1">
      <alignment horizontal="center" vertical="center"/>
    </xf>
    <xf borderId="66" fillId="39" fontId="29" numFmtId="0" xfId="0" applyAlignment="1" applyBorder="1" applyFont="1">
      <alignment horizontal="center" vertical="center"/>
    </xf>
    <xf borderId="0" fillId="39" fontId="29" numFmtId="0" xfId="0" applyAlignment="1" applyFont="1">
      <alignment horizontal="center" vertical="center"/>
    </xf>
    <xf borderId="120" fillId="30" fontId="29" numFmtId="0" xfId="0" applyAlignment="1" applyBorder="1" applyFont="1">
      <alignment horizontal="center" vertical="center"/>
    </xf>
    <xf borderId="134" fillId="30" fontId="29" numFmtId="0" xfId="0" applyAlignment="1" applyBorder="1" applyFont="1">
      <alignment horizontal="center" readingOrder="0" vertical="center"/>
    </xf>
    <xf borderId="120" fillId="36" fontId="29" numFmtId="0" xfId="0" applyAlignment="1" applyBorder="1" applyFont="1">
      <alignment horizontal="center" vertical="center"/>
    </xf>
    <xf borderId="60" fillId="34" fontId="18" numFmtId="0" xfId="0" applyAlignment="1" applyBorder="1" applyFont="1">
      <alignment horizontal="center" readingOrder="0" vertical="center"/>
    </xf>
    <xf borderId="120" fillId="35" fontId="29" numFmtId="0" xfId="0" applyAlignment="1" applyBorder="1" applyFont="1">
      <alignment horizontal="center" readingOrder="0" vertical="center"/>
    </xf>
    <xf borderId="0" fillId="35" fontId="29" numFmtId="0" xfId="0" applyAlignment="1" applyFont="1">
      <alignment horizontal="center" readingOrder="0" vertical="center"/>
    </xf>
    <xf borderId="129" fillId="57" fontId="29" numFmtId="0" xfId="0" applyAlignment="1" applyBorder="1" applyFont="1">
      <alignment horizontal="center" readingOrder="0" vertical="center"/>
    </xf>
    <xf borderId="0" fillId="57" fontId="264" numFmtId="0" xfId="0" applyAlignment="1" applyFont="1">
      <alignment horizontal="center" readingOrder="0" vertical="center"/>
    </xf>
    <xf borderId="129" fillId="42" fontId="18" numFmtId="0" xfId="0" applyAlignment="1" applyBorder="1" applyFont="1">
      <alignment horizontal="center" readingOrder="0" vertical="center"/>
    </xf>
    <xf borderId="0" fillId="42" fontId="63" numFmtId="0" xfId="0" applyAlignment="1" applyFont="1">
      <alignment horizontal="center" readingOrder="0" vertical="center"/>
    </xf>
    <xf borderId="120" fillId="30" fontId="18" numFmtId="0" xfId="0" applyAlignment="1" applyBorder="1" applyFont="1">
      <alignment horizontal="center" readingOrder="0" vertical="center"/>
    </xf>
    <xf borderId="42" fillId="30" fontId="18" numFmtId="0" xfId="0" applyAlignment="1" applyBorder="1" applyFont="1">
      <alignment horizontal="center" readingOrder="0" vertical="center"/>
    </xf>
    <xf borderId="47" fillId="17" fontId="29" numFmtId="0" xfId="0" applyAlignment="1" applyBorder="1" applyFont="1">
      <alignment horizontal="center" readingOrder="0" vertical="center"/>
    </xf>
    <xf borderId="0" fillId="6" fontId="63" numFmtId="0" xfId="0" applyAlignment="1" applyFont="1">
      <alignment horizontal="left" readingOrder="0" vertical="center"/>
    </xf>
    <xf borderId="120" fillId="13" fontId="250" numFmtId="0" xfId="0" applyAlignment="1" applyBorder="1" applyFont="1">
      <alignment horizontal="center" vertical="center"/>
    </xf>
    <xf borderId="0" fillId="13" fontId="250" numFmtId="0" xfId="0" applyAlignment="1" applyFont="1">
      <alignment horizontal="center" vertical="center"/>
    </xf>
    <xf borderId="146" fillId="13" fontId="250" numFmtId="0" xfId="0" applyAlignment="1" applyBorder="1" applyFont="1">
      <alignment horizontal="center" readingOrder="0" vertical="center"/>
    </xf>
    <xf borderId="59" fillId="33" fontId="262" numFmtId="0" xfId="0" applyAlignment="1" applyBorder="1" applyFont="1">
      <alignment horizontal="center" vertical="center"/>
    </xf>
    <xf borderId="0" fillId="6" fontId="13" numFmtId="0" xfId="0" applyFont="1"/>
    <xf borderId="0" fillId="33" fontId="262" numFmtId="0" xfId="0" applyAlignment="1" applyFont="1">
      <alignment horizontal="center" vertical="center"/>
    </xf>
    <xf borderId="0" fillId="6" fontId="13" numFmtId="0" xfId="0" applyFont="1"/>
    <xf borderId="120" fillId="32" fontId="253" numFmtId="0" xfId="0" applyAlignment="1" applyBorder="1" applyFont="1">
      <alignment horizontal="center" vertical="center"/>
    </xf>
    <xf borderId="0" fillId="32" fontId="253" numFmtId="0" xfId="0" applyAlignment="1" applyFont="1">
      <alignment horizontal="center" vertical="center"/>
    </xf>
    <xf borderId="120" fillId="11" fontId="29" numFmtId="0" xfId="0" applyAlignment="1" applyBorder="1" applyFont="1">
      <alignment horizontal="center" readingOrder="0" vertical="center"/>
    </xf>
    <xf borderId="120" fillId="29" fontId="18" numFmtId="0" xfId="0" applyAlignment="1" applyBorder="1" applyFont="1">
      <alignment horizontal="center" readingOrder="0" vertical="center"/>
    </xf>
    <xf borderId="64" fillId="46" fontId="252" numFmtId="0" xfId="0" applyAlignment="1" applyBorder="1" applyFont="1">
      <alignment horizontal="center" readingOrder="0" vertical="center"/>
    </xf>
    <xf borderId="120" fillId="31" fontId="29" numFmtId="0" xfId="0" applyAlignment="1" applyBorder="1" applyFont="1">
      <alignment horizontal="center" readingOrder="0" vertical="center"/>
    </xf>
    <xf borderId="134" fillId="31" fontId="29" numFmtId="0" xfId="0" applyAlignment="1" applyBorder="1" applyFont="1">
      <alignment horizontal="center" readingOrder="0" vertical="center"/>
    </xf>
    <xf borderId="13" fillId="8" fontId="25" numFmtId="0" xfId="0" applyAlignment="1" applyBorder="1" applyFont="1">
      <alignment horizontal="center" readingOrder="0" vertical="center"/>
    </xf>
    <xf borderId="0" fillId="8" fontId="29" numFmtId="0" xfId="0" applyAlignment="1" applyFont="1">
      <alignment horizontal="center" readingOrder="0" vertical="center"/>
    </xf>
    <xf borderId="161" fillId="0" fontId="3" numFmtId="0" xfId="0" applyBorder="1" applyFont="1"/>
    <xf borderId="13" fillId="8" fontId="29" numFmtId="0" xfId="0" applyAlignment="1" applyBorder="1" applyFont="1">
      <alignment horizontal="center" readingOrder="0" vertical="center"/>
    </xf>
    <xf borderId="18" fillId="8" fontId="25" numFmtId="0" xfId="0" applyAlignment="1" applyBorder="1" applyFont="1">
      <alignment horizontal="center" readingOrder="0" vertical="center"/>
    </xf>
    <xf borderId="0" fillId="0" fontId="46" numFmtId="169" xfId="0" applyAlignment="1" applyFont="1" applyNumberFormat="1">
      <alignment horizontal="center" readingOrder="0" vertical="center"/>
    </xf>
    <xf borderId="0" fillId="0" fontId="46" numFmtId="169" xfId="0" applyAlignment="1" applyFont="1" applyNumberFormat="1">
      <alignment horizontal="center" readingOrder="0"/>
    </xf>
    <xf borderId="0" fillId="0" fontId="46" numFmtId="170" xfId="0" applyAlignment="1" applyFont="1" applyNumberFormat="1">
      <alignment horizontal="center" readingOrder="0"/>
    </xf>
    <xf borderId="0" fillId="0" fontId="46" numFmtId="170" xfId="0" applyAlignment="1" applyFont="1" applyNumberFormat="1">
      <alignment horizontal="center" readingOrder="0" vertical="center"/>
    </xf>
    <xf borderId="0" fillId="0" fontId="46" numFmtId="171" xfId="0" applyAlignment="1" applyFont="1" applyNumberFormat="1">
      <alignment horizontal="center" readingOrder="0"/>
    </xf>
    <xf borderId="26" fillId="8" fontId="80" numFmtId="0" xfId="0" applyAlignment="1" applyBorder="1" applyFont="1">
      <alignment horizontal="center" readingOrder="0" vertical="center"/>
    </xf>
    <xf borderId="0" fillId="41" fontId="267" numFmtId="0" xfId="0" applyAlignment="1" applyFont="1">
      <alignment horizontal="center" readingOrder="0" vertical="center"/>
    </xf>
    <xf borderId="15" fillId="8" fontId="80" numFmtId="0" xfId="0" applyAlignment="1" applyBorder="1" applyFont="1">
      <alignment horizontal="center" readingOrder="0" vertical="center"/>
    </xf>
    <xf borderId="64" fillId="30" fontId="10" numFmtId="0" xfId="0" applyAlignment="1" applyBorder="1" applyFont="1">
      <alignment horizontal="center" readingOrder="0" vertical="center"/>
    </xf>
    <xf borderId="0" fillId="30" fontId="80" numFmtId="0" xfId="0" applyAlignment="1" applyFont="1">
      <alignment readingOrder="0"/>
    </xf>
    <xf borderId="30" fillId="29" fontId="46" numFmtId="0" xfId="0" applyAlignment="1" applyBorder="1" applyFont="1">
      <alignment horizontal="center" readingOrder="0" vertical="center"/>
    </xf>
    <xf borderId="42" fillId="29" fontId="224" numFmtId="0" xfId="0" applyAlignment="1" applyBorder="1" applyFont="1">
      <alignment readingOrder="0"/>
    </xf>
    <xf borderId="61" fillId="29" fontId="224" numFmtId="0" xfId="0" applyAlignment="1" applyBorder="1" applyFont="1">
      <alignment horizontal="left" readingOrder="0"/>
    </xf>
    <xf borderId="108" fillId="0" fontId="3" numFmtId="0" xfId="0" applyBorder="1" applyFont="1"/>
    <xf borderId="30" fillId="10" fontId="268" numFmtId="0" xfId="0" applyAlignment="1" applyBorder="1" applyFont="1">
      <alignment horizontal="center" readingOrder="0" vertical="center"/>
    </xf>
    <xf borderId="61" fillId="10" fontId="235" numFmtId="0" xfId="0" applyAlignment="1" applyBorder="1" applyFont="1">
      <alignment readingOrder="0" vertical="bottom"/>
    </xf>
    <xf borderId="129" fillId="0" fontId="3" numFmtId="0" xfId="0" applyBorder="1" applyFont="1"/>
    <xf borderId="108" fillId="10" fontId="235" numFmtId="0" xfId="0" applyAlignment="1" applyBorder="1" applyFont="1">
      <alignment readingOrder="0" vertical="bottom"/>
    </xf>
    <xf borderId="30" fillId="5" fontId="10" numFmtId="0" xfId="0" applyAlignment="1" applyBorder="1" applyFont="1">
      <alignment horizontal="center" readingOrder="0" vertical="center"/>
    </xf>
    <xf borderId="108" fillId="5" fontId="10" numFmtId="0" xfId="0" applyAlignment="1" applyBorder="1" applyFont="1">
      <alignment readingOrder="0" vertical="bottom"/>
    </xf>
    <xf borderId="0" fillId="30" fontId="9" numFmtId="0" xfId="0" applyAlignment="1" applyFont="1">
      <alignment readingOrder="0"/>
    </xf>
    <xf borderId="0" fillId="30" fontId="9" numFmtId="0" xfId="0" applyAlignment="1" applyFont="1">
      <alignment horizontal="center" readingOrder="0" vertical="center"/>
    </xf>
    <xf borderId="42" fillId="29" fontId="269" numFmtId="0" xfId="0" applyAlignment="1" applyBorder="1" applyFont="1">
      <alignment readingOrder="0"/>
    </xf>
    <xf borderId="42" fillId="29" fontId="269" numFmtId="0" xfId="0" applyAlignment="1" applyBorder="1" applyFont="1">
      <alignment horizontal="left" readingOrder="0"/>
    </xf>
    <xf borderId="42" fillId="10" fontId="270" numFmtId="0" xfId="0" applyAlignment="1" applyBorder="1" applyFont="1">
      <alignment readingOrder="0" vertical="bottom"/>
    </xf>
    <xf borderId="0" fillId="5" fontId="271" numFmtId="0" xfId="0" applyAlignment="1" applyFont="1">
      <alignment readingOrder="0" vertical="bottom"/>
    </xf>
    <xf borderId="0" fillId="30" fontId="9" numFmtId="0" xfId="0" applyAlignment="1" applyFont="1">
      <alignment horizontal="left" readingOrder="0" vertical="center"/>
    </xf>
    <xf borderId="0" fillId="10" fontId="270" numFmtId="0" xfId="0" applyAlignment="1" applyFont="1">
      <alignment readingOrder="0" vertical="bottom"/>
    </xf>
    <xf borderId="42" fillId="29" fontId="269" numFmtId="0" xfId="0" applyAlignment="1" applyBorder="1" applyFont="1">
      <alignment horizontal="left" readingOrder="0" vertical="center"/>
    </xf>
    <xf borderId="0" fillId="29" fontId="269" numFmtId="0" xfId="0" applyAlignment="1" applyFont="1">
      <alignment horizontal="left" readingOrder="0" vertical="center"/>
    </xf>
    <xf borderId="0" fillId="17" fontId="272" numFmtId="0" xfId="0" applyAlignment="1" applyFont="1">
      <alignment readingOrder="0" vertical="bottom"/>
    </xf>
    <xf borderId="121" fillId="36" fontId="10" numFmtId="0" xfId="0" applyAlignment="1" applyBorder="1" applyFont="1">
      <alignment horizontal="center" readingOrder="0" vertical="center"/>
    </xf>
    <xf borderId="0" fillId="36" fontId="80" numFmtId="0" xfId="0" applyAlignment="1" applyFont="1">
      <alignment readingOrder="0"/>
    </xf>
    <xf borderId="134" fillId="29" fontId="269" numFmtId="0" xfId="0" applyAlignment="1" applyBorder="1" applyFont="1">
      <alignment horizontal="left" readingOrder="0" vertical="center"/>
    </xf>
    <xf borderId="70" fillId="0" fontId="3" numFmtId="0" xfId="0" applyBorder="1" applyFont="1"/>
    <xf borderId="44" fillId="10" fontId="270" numFmtId="0" xfId="0" applyAlignment="1" applyBorder="1" applyFont="1">
      <alignment readingOrder="0" vertical="bottom"/>
    </xf>
    <xf borderId="0" fillId="36" fontId="9" numFmtId="0" xfId="0" applyAlignment="1" applyFont="1">
      <alignment readingOrder="0"/>
    </xf>
    <xf borderId="162" fillId="46" fontId="273" numFmtId="0" xfId="0" applyAlignment="1" applyBorder="1" applyFont="1">
      <alignment horizontal="center" readingOrder="0" vertical="center"/>
    </xf>
    <xf borderId="42" fillId="46" fontId="234" numFmtId="0" xfId="0" applyAlignment="1" applyBorder="1" applyFont="1">
      <alignment readingOrder="0" vertical="center"/>
    </xf>
    <xf borderId="43" fillId="10" fontId="270" numFmtId="0" xfId="0" applyAlignment="1" applyBorder="1" applyFont="1">
      <alignment readingOrder="0" vertical="bottom"/>
    </xf>
    <xf borderId="42" fillId="29" fontId="269" numFmtId="0" xfId="0" applyAlignment="1" applyBorder="1" applyFont="1">
      <alignment readingOrder="0" shrinkToFit="0" vertical="bottom" wrapText="0"/>
    </xf>
    <xf borderId="162" fillId="7" fontId="249" numFmtId="0" xfId="0" applyAlignment="1" applyBorder="1" applyFont="1">
      <alignment horizontal="center" readingOrder="0" vertical="center"/>
    </xf>
    <xf borderId="61" fillId="7" fontId="249" numFmtId="0" xfId="0" applyAlignment="1" applyBorder="1" applyFont="1">
      <alignment readingOrder="0"/>
    </xf>
    <xf borderId="108" fillId="7" fontId="22" numFmtId="0" xfId="0" applyAlignment="1" applyBorder="1" applyFont="1">
      <alignment readingOrder="0" vertical="center"/>
    </xf>
    <xf borderId="108" fillId="7" fontId="249" numFmtId="0" xfId="0" applyAlignment="1" applyBorder="1" applyFont="1">
      <alignment readingOrder="0" vertical="center"/>
    </xf>
    <xf borderId="42" fillId="46" fontId="274" numFmtId="0" xfId="0" applyAlignment="1" applyBorder="1" applyFont="1">
      <alignment readingOrder="0" vertical="center"/>
    </xf>
    <xf borderId="0" fillId="7" fontId="249" numFmtId="0" xfId="0" applyAlignment="1" applyFont="1">
      <alignment readingOrder="0" vertical="bottom"/>
    </xf>
    <xf borderId="44" fillId="5" fontId="271" numFmtId="0" xfId="0" applyAlignment="1" applyBorder="1" applyFont="1">
      <alignment readingOrder="0" vertical="bottom"/>
    </xf>
    <xf borderId="162" fillId="30" fontId="10" numFmtId="0" xfId="0" applyAlignment="1" applyBorder="1" applyFont="1">
      <alignment horizontal="center" readingOrder="0" vertical="center"/>
    </xf>
    <xf borderId="42" fillId="30" fontId="10" numFmtId="0" xfId="0" applyAlignment="1" applyBorder="1" applyFont="1">
      <alignment vertical="bottom"/>
    </xf>
    <xf borderId="0" fillId="7" fontId="275" numFmtId="0" xfId="0" applyAlignment="1" applyFont="1">
      <alignment readingOrder="0"/>
    </xf>
    <xf borderId="0" fillId="7" fontId="60" numFmtId="0" xfId="0" applyAlignment="1" applyFont="1">
      <alignment readingOrder="0" vertical="center"/>
    </xf>
    <xf borderId="0" fillId="7" fontId="275" numFmtId="0" xfId="0" applyAlignment="1" applyFont="1">
      <alignment readingOrder="0" vertical="center"/>
    </xf>
    <xf borderId="0" fillId="46" fontId="274" numFmtId="0" xfId="0" applyAlignment="1" applyFont="1">
      <alignment horizontal="left" readingOrder="0" vertical="center"/>
    </xf>
    <xf borderId="0" fillId="7" fontId="275" numFmtId="0" xfId="0" applyAlignment="1" applyFont="1">
      <alignment readingOrder="0" vertical="bottom"/>
    </xf>
    <xf borderId="162" fillId="9" fontId="224" numFmtId="0" xfId="0" applyAlignment="1" applyBorder="1" applyFont="1">
      <alignment horizontal="center" readingOrder="0" vertical="center"/>
    </xf>
    <xf borderId="108" fillId="9" fontId="224" numFmtId="0" xfId="0" applyAlignment="1" applyBorder="1" applyFont="1">
      <alignment readingOrder="0" vertical="bottom"/>
    </xf>
    <xf borderId="0" fillId="36" fontId="9" numFmtId="0" xfId="0" applyAlignment="1" applyFont="1">
      <alignment readingOrder="0" vertical="center"/>
    </xf>
    <xf borderId="42" fillId="30" fontId="271" numFmtId="0" xfId="0" applyAlignment="1" applyBorder="1" applyFont="1">
      <alignment vertical="bottom"/>
    </xf>
    <xf borderId="139" fillId="7" fontId="275" numFmtId="0" xfId="0" applyAlignment="1" applyBorder="1" applyFont="1">
      <alignment readingOrder="0"/>
    </xf>
    <xf borderId="42" fillId="7" fontId="275" numFmtId="0" xfId="0" applyAlignment="1" applyBorder="1" applyFont="1">
      <alignment readingOrder="0" vertical="center"/>
    </xf>
    <xf borderId="43" fillId="46" fontId="274" numFmtId="0" xfId="0" applyAlignment="1" applyBorder="1" applyFont="1">
      <alignment readingOrder="0"/>
    </xf>
    <xf borderId="0" fillId="9" fontId="269" numFmtId="0" xfId="0" applyAlignment="1" applyFont="1">
      <alignment readingOrder="0" vertical="bottom"/>
    </xf>
    <xf borderId="61" fillId="7" fontId="249" numFmtId="0" xfId="0" applyAlignment="1" applyBorder="1" applyFont="1">
      <alignment horizontal="center" readingOrder="0" vertical="center"/>
    </xf>
    <xf borderId="42" fillId="7" fontId="222" numFmtId="0" xfId="0" applyAlignment="1" applyBorder="1" applyFont="1">
      <alignment readingOrder="0"/>
    </xf>
    <xf borderId="0" fillId="7" fontId="276" numFmtId="0" xfId="0" applyAlignment="1" applyFont="1">
      <alignment horizontal="center" readingOrder="0" vertical="center"/>
    </xf>
    <xf borderId="0" fillId="7" fontId="275" numFmtId="0" xfId="0" applyFont="1"/>
    <xf borderId="162" fillId="11" fontId="80" numFmtId="0" xfId="0" applyAlignment="1" applyBorder="1" applyFont="1">
      <alignment horizontal="center" readingOrder="0" vertical="center"/>
    </xf>
    <xf borderId="42" fillId="11" fontId="10" numFmtId="0" xfId="0" applyAlignment="1" applyBorder="1" applyFont="1">
      <alignment readingOrder="0"/>
    </xf>
    <xf borderId="42" fillId="7" fontId="275" numFmtId="0" xfId="0" applyAlignment="1" applyBorder="1" applyFont="1">
      <alignment readingOrder="0" vertical="bottom"/>
    </xf>
    <xf borderId="42" fillId="7" fontId="276" numFmtId="0" xfId="0" applyAlignment="1" applyBorder="1" applyFont="1">
      <alignment readingOrder="0"/>
    </xf>
    <xf borderId="42" fillId="11" fontId="271" numFmtId="0" xfId="0" applyAlignment="1" applyBorder="1" applyFont="1">
      <alignment readingOrder="0"/>
    </xf>
    <xf borderId="44" fillId="7" fontId="275" numFmtId="0" xfId="0" applyAlignment="1" applyBorder="1" applyFont="1">
      <alignment readingOrder="0" vertical="bottom"/>
    </xf>
    <xf borderId="42" fillId="30" fontId="271" numFmtId="0" xfId="0" applyBorder="1" applyFont="1"/>
    <xf borderId="43" fillId="7" fontId="275" numFmtId="0" xfId="0" applyAlignment="1" applyBorder="1" applyFont="1">
      <alignment readingOrder="0"/>
    </xf>
    <xf borderId="44" fillId="7" fontId="60" numFmtId="0" xfId="0" applyAlignment="1" applyBorder="1" applyFont="1">
      <alignment readingOrder="0" vertical="center"/>
    </xf>
    <xf borderId="42" fillId="7" fontId="275" numFmtId="0" xfId="0" applyBorder="1" applyFont="1"/>
    <xf borderId="0" fillId="9" fontId="269" numFmtId="0" xfId="0" applyAlignment="1" applyFont="1">
      <alignment readingOrder="0" vertical="center"/>
    </xf>
    <xf borderId="0" fillId="7" fontId="276" numFmtId="0" xfId="0" applyAlignment="1" applyFont="1">
      <alignment readingOrder="0"/>
    </xf>
    <xf borderId="42" fillId="30" fontId="271" numFmtId="0" xfId="0" applyAlignment="1" applyBorder="1" applyFont="1">
      <alignment readingOrder="0"/>
    </xf>
    <xf borderId="162" fillId="30" fontId="224" numFmtId="0" xfId="0" applyAlignment="1" applyBorder="1" applyFont="1">
      <alignment horizontal="center" readingOrder="0" vertical="center"/>
    </xf>
    <xf borderId="61" fillId="30" fontId="224" numFmtId="0" xfId="0" applyAlignment="1" applyBorder="1" applyFont="1">
      <alignment readingOrder="0"/>
    </xf>
    <xf borderId="42" fillId="30" fontId="224" numFmtId="0" xfId="0" applyAlignment="1" applyBorder="1" applyFont="1">
      <alignment readingOrder="0"/>
    </xf>
    <xf borderId="43" fillId="11" fontId="271" numFmtId="0" xfId="0" applyAlignment="1" applyBorder="1" applyFont="1">
      <alignment readingOrder="0"/>
    </xf>
    <xf borderId="44" fillId="9" fontId="269" numFmtId="0" xfId="0" applyAlignment="1" applyBorder="1" applyFont="1">
      <alignment readingOrder="0" vertical="center"/>
    </xf>
    <xf borderId="61" fillId="37" fontId="10" numFmtId="0" xfId="0" applyAlignment="1" applyBorder="1" applyFont="1">
      <alignment horizontal="center" readingOrder="0" vertical="center"/>
    </xf>
    <xf borderId="42" fillId="37" fontId="80" numFmtId="0" xfId="0" applyAlignment="1" applyBorder="1" applyFont="1">
      <alignment readingOrder="0"/>
    </xf>
    <xf borderId="0" fillId="37" fontId="80" numFmtId="0" xfId="0" applyAlignment="1" applyFont="1">
      <alignment horizontal="left" readingOrder="0" vertical="center"/>
    </xf>
    <xf borderId="42" fillId="30" fontId="269" numFmtId="0" xfId="0" applyAlignment="1" applyBorder="1" applyFont="1">
      <alignment readingOrder="0" vertical="bottom"/>
    </xf>
    <xf borderId="42" fillId="30" fontId="269" numFmtId="0" xfId="0" applyAlignment="1" applyBorder="1" applyFont="1">
      <alignment readingOrder="0"/>
    </xf>
    <xf borderId="61" fillId="30" fontId="224" numFmtId="0" xfId="0" applyAlignment="1" applyBorder="1" applyFont="1">
      <alignment readingOrder="0" vertical="bottom"/>
    </xf>
    <xf borderId="42" fillId="37" fontId="9" numFmtId="0" xfId="0" applyAlignment="1" applyBorder="1" applyFont="1">
      <alignment readingOrder="0"/>
    </xf>
    <xf borderId="0" fillId="37" fontId="9" numFmtId="0" xfId="0" applyAlignment="1" applyFont="1">
      <alignment readingOrder="0"/>
    </xf>
    <xf borderId="42" fillId="7" fontId="249" numFmtId="0" xfId="0" applyAlignment="1" applyBorder="1" applyFont="1">
      <alignment readingOrder="0"/>
    </xf>
    <xf borderId="42" fillId="30" fontId="269" numFmtId="0" xfId="0" applyAlignment="1" applyBorder="1" applyFont="1">
      <alignment readingOrder="0" shrinkToFit="0" vertical="bottom" wrapText="0"/>
    </xf>
    <xf borderId="42" fillId="7" fontId="275" numFmtId="0" xfId="0" applyAlignment="1" applyBorder="1" applyFont="1">
      <alignment readingOrder="0"/>
    </xf>
    <xf borderId="42" fillId="30" fontId="269" numFmtId="0" xfId="0" applyAlignment="1" applyBorder="1" applyFont="1">
      <alignment readingOrder="0" vertical="center"/>
    </xf>
    <xf borderId="162" fillId="9" fontId="46" numFmtId="0" xfId="0" applyAlignment="1" applyBorder="1" applyFont="1">
      <alignment horizontal="center" readingOrder="0" vertical="center"/>
    </xf>
    <xf borderId="0" fillId="9" fontId="224" numFmtId="0" xfId="0" applyAlignment="1" applyFont="1">
      <alignment readingOrder="0" vertical="bottom"/>
    </xf>
    <xf borderId="0" fillId="30" fontId="269" numFmtId="0" xfId="0" applyAlignment="1" applyFont="1">
      <alignment readingOrder="0"/>
    </xf>
    <xf borderId="0" fillId="30" fontId="13" numFmtId="0" xfId="0" applyAlignment="1" applyFont="1">
      <alignment readingOrder="0"/>
    </xf>
    <xf borderId="42" fillId="9" fontId="269" numFmtId="0" xfId="0" applyAlignment="1" applyBorder="1" applyFont="1">
      <alignment readingOrder="0" vertical="bottom"/>
    </xf>
    <xf borderId="121" fillId="11" fontId="247" numFmtId="0" xfId="0" applyAlignment="1" applyBorder="1" applyFont="1">
      <alignment horizontal="center" readingOrder="0" vertical="center"/>
    </xf>
    <xf borderId="0" fillId="11" fontId="46" numFmtId="0" xfId="0" applyAlignment="1" applyFont="1">
      <alignment readingOrder="0" vertical="center"/>
    </xf>
    <xf borderId="43" fillId="30" fontId="269" numFmtId="0" xfId="0" applyAlignment="1" applyBorder="1" applyFont="1">
      <alignment readingOrder="0"/>
    </xf>
    <xf borderId="31" fillId="30" fontId="269" numFmtId="0" xfId="0" applyAlignment="1" applyBorder="1" applyFont="1">
      <alignment readingOrder="0"/>
    </xf>
    <xf borderId="108" fillId="31" fontId="10" numFmtId="0" xfId="0" applyAlignment="1" applyBorder="1" applyFont="1">
      <alignment horizontal="center" readingOrder="0" vertical="center"/>
    </xf>
    <xf borderId="0" fillId="31" fontId="10" numFmtId="0" xfId="0" applyAlignment="1" applyFont="1">
      <alignment readingOrder="0" vertical="bottom"/>
    </xf>
    <xf borderId="44" fillId="9" fontId="269" numFmtId="0" xfId="0" applyAlignment="1" applyBorder="1" applyFont="1">
      <alignment readingOrder="0" vertical="bottom"/>
    </xf>
    <xf borderId="0" fillId="11" fontId="13" numFmtId="0" xfId="0" applyAlignment="1" applyFont="1">
      <alignment readingOrder="0"/>
    </xf>
    <xf borderId="163" fillId="36" fontId="10" numFmtId="0" xfId="0" applyAlignment="1" applyBorder="1" applyFont="1">
      <alignment horizontal="center" readingOrder="0" vertical="center"/>
    </xf>
    <xf borderId="0" fillId="36" fontId="10" numFmtId="0" xfId="0" applyAlignment="1" applyFont="1">
      <alignment vertical="bottom"/>
    </xf>
    <xf borderId="0" fillId="36" fontId="10" numFmtId="0" xfId="0" applyAlignment="1" applyFont="1">
      <alignment horizontal="left" readingOrder="0" vertical="bottom"/>
    </xf>
    <xf borderId="162" fillId="31" fontId="10" numFmtId="0" xfId="0" applyAlignment="1" applyBorder="1" applyFont="1">
      <alignment horizontal="center" readingOrder="0" vertical="center"/>
    </xf>
    <xf borderId="61" fillId="31" fontId="10" numFmtId="0" xfId="0" applyAlignment="1" applyBorder="1" applyFont="1">
      <alignment horizontal="left" readingOrder="0" vertical="center"/>
    </xf>
    <xf borderId="42" fillId="31" fontId="10" numFmtId="0" xfId="0" applyAlignment="1" applyBorder="1" applyFont="1">
      <alignment horizontal="left" readingOrder="0" vertical="center"/>
    </xf>
    <xf borderId="44" fillId="31" fontId="271" numFmtId="0" xfId="0" applyAlignment="1" applyBorder="1" applyFont="1">
      <alignment readingOrder="0" vertical="bottom"/>
    </xf>
    <xf borderId="44" fillId="31" fontId="271" numFmtId="0" xfId="0" applyAlignment="1" applyBorder="1" applyFont="1">
      <alignment horizontal="left" readingOrder="0" vertical="bottom"/>
    </xf>
    <xf borderId="162" fillId="29" fontId="46" numFmtId="0" xfId="0" applyAlignment="1" applyBorder="1" applyFont="1">
      <alignment horizontal="center" readingOrder="0" vertical="center"/>
    </xf>
    <xf borderId="108" fillId="29" fontId="224" numFmtId="0" xfId="0" applyAlignment="1" applyBorder="1" applyFont="1">
      <alignment readingOrder="0" vertical="center"/>
    </xf>
    <xf borderId="162" fillId="10" fontId="235" numFmtId="0" xfId="0" applyAlignment="1" applyBorder="1" applyFont="1">
      <alignment horizontal="center" readingOrder="0" vertical="center"/>
    </xf>
    <xf borderId="108" fillId="10" fontId="235" numFmtId="0" xfId="0" applyAlignment="1" applyBorder="1" applyFont="1">
      <alignment readingOrder="0" vertical="center"/>
    </xf>
    <xf borderId="72" fillId="0" fontId="3" numFmtId="0" xfId="0" applyBorder="1" applyFont="1"/>
    <xf borderId="0" fillId="36" fontId="271" numFmtId="0" xfId="0" applyAlignment="1" applyFont="1">
      <alignment horizontal="left" readingOrder="0" vertical="center"/>
    </xf>
    <xf borderId="42" fillId="31" fontId="271" numFmtId="0" xfId="0" applyAlignment="1" applyBorder="1" applyFont="1">
      <alignment horizontal="left" readingOrder="0" vertical="center"/>
    </xf>
    <xf borderId="0" fillId="31" fontId="271" numFmtId="0" xfId="0" applyAlignment="1" applyFont="1">
      <alignment readingOrder="0"/>
    </xf>
    <xf borderId="0" fillId="29" fontId="269" numFmtId="0" xfId="0" applyAlignment="1" applyFont="1">
      <alignment readingOrder="0" vertical="center"/>
    </xf>
    <xf borderId="0" fillId="10" fontId="270" numFmtId="0" xfId="0" applyAlignment="1" applyFont="1">
      <alignment readingOrder="0" vertical="center"/>
    </xf>
    <xf borderId="0" fillId="11" fontId="13" numFmtId="0" xfId="0" applyAlignment="1" applyFont="1">
      <alignment readingOrder="0" vertical="center"/>
    </xf>
    <xf borderId="74" fillId="0" fontId="3" numFmtId="0" xfId="0" applyBorder="1" applyFont="1"/>
    <xf borderId="0" fillId="36" fontId="271" numFmtId="0" xfId="0" applyAlignment="1" applyFont="1">
      <alignment horizontal="left" shrinkToFit="0" vertical="bottom" wrapText="0"/>
    </xf>
    <xf borderId="44" fillId="29" fontId="269" numFmtId="0" xfId="0" applyAlignment="1" applyBorder="1" applyFont="1">
      <alignment readingOrder="0" vertical="center"/>
    </xf>
    <xf borderId="121" fillId="38" fontId="247" numFmtId="0" xfId="0" applyAlignment="1" applyBorder="1" applyFont="1">
      <alignment horizontal="center" readingOrder="0" vertical="center"/>
    </xf>
    <xf borderId="0" fillId="38" fontId="46" numFmtId="0" xfId="0" applyAlignment="1" applyFont="1">
      <alignment readingOrder="0"/>
    </xf>
    <xf borderId="0" fillId="38" fontId="46" numFmtId="0" xfId="0" applyAlignment="1" applyFont="1">
      <alignment horizontal="left" readingOrder="0" vertical="center"/>
    </xf>
    <xf borderId="163" fillId="38" fontId="247" numFmtId="0" xfId="0" applyAlignment="1" applyBorder="1" applyFont="1">
      <alignment horizontal="center" readingOrder="0" vertical="center"/>
    </xf>
    <xf borderId="164" fillId="13" fontId="246" numFmtId="0" xfId="0" applyAlignment="1" applyBorder="1" applyFont="1">
      <alignment horizontal="center" readingOrder="0" vertical="center"/>
    </xf>
    <xf borderId="60" fillId="0" fontId="3" numFmtId="0" xfId="0" applyBorder="1" applyFont="1"/>
    <xf borderId="59" fillId="13" fontId="246" numFmtId="0" xfId="0" applyAlignment="1" applyBorder="1" applyFont="1">
      <alignment readingOrder="0"/>
    </xf>
    <xf borderId="59" fillId="0" fontId="3" numFmtId="0" xfId="0" applyBorder="1" applyFont="1"/>
    <xf borderId="0" fillId="29" fontId="224" numFmtId="0" xfId="0" applyAlignment="1" applyFont="1">
      <alignment readingOrder="0" vertical="center"/>
    </xf>
    <xf borderId="0" fillId="38" fontId="13" numFmtId="0" xfId="0" applyAlignment="1" applyFont="1">
      <alignment readingOrder="0"/>
    </xf>
    <xf borderId="164" fillId="32" fontId="229" numFmtId="0" xfId="0" applyAlignment="1" applyBorder="1" applyFont="1">
      <alignment horizontal="center" readingOrder="0" vertical="center"/>
    </xf>
    <xf borderId="59" fillId="32" fontId="229" numFmtId="0" xfId="0" applyAlignment="1" applyBorder="1" applyFont="1">
      <alignment horizontal="left" readingOrder="0" vertical="center"/>
    </xf>
    <xf borderId="164" fillId="33" fontId="228" numFmtId="0" xfId="0" applyAlignment="1" applyBorder="1" applyFont="1">
      <alignment horizontal="center" readingOrder="0" vertical="center"/>
    </xf>
    <xf borderId="59" fillId="33" fontId="228" numFmtId="0" xfId="0" applyAlignment="1" applyBorder="1" applyFont="1">
      <alignment readingOrder="0"/>
    </xf>
    <xf borderId="164" fillId="13" fontId="46" numFmtId="0" xfId="0" applyAlignment="1" applyBorder="1" applyFont="1">
      <alignment horizontal="center" readingOrder="0" vertical="center"/>
    </xf>
    <xf borderId="44" fillId="13" fontId="224" numFmtId="0" xfId="0" applyAlignment="1" applyBorder="1" applyFont="1">
      <alignment horizontal="left" readingOrder="0"/>
    </xf>
    <xf borderId="164" fillId="12" fontId="80" numFmtId="0" xfId="0" applyAlignment="1" applyBorder="1" applyFont="1">
      <alignment horizontal="center" readingOrder="0" vertical="center"/>
    </xf>
    <xf borderId="59" fillId="12" fontId="10" numFmtId="0" xfId="0" applyAlignment="1" applyBorder="1" applyFont="1">
      <alignment horizontal="left" readingOrder="0"/>
    </xf>
    <xf borderId="121" fillId="32" fontId="10" numFmtId="0" xfId="0" applyAlignment="1" applyBorder="1" applyFont="1">
      <alignment horizontal="center" readingOrder="0" vertical="center"/>
    </xf>
    <xf borderId="0" fillId="32" fontId="80" numFmtId="0" xfId="0" applyAlignment="1" applyFont="1">
      <alignment readingOrder="0"/>
    </xf>
    <xf borderId="163" fillId="32" fontId="10" numFmtId="0" xfId="0" applyAlignment="1" applyBorder="1" applyFont="1">
      <alignment horizontal="center" readingOrder="0" vertical="center"/>
    </xf>
    <xf borderId="155" fillId="2" fontId="245" numFmtId="0" xfId="0" applyAlignment="1" applyBorder="1" applyFont="1">
      <alignment horizontal="left" readingOrder="0"/>
    </xf>
    <xf borderId="59" fillId="13" fontId="224" numFmtId="0" xfId="0" applyAlignment="1" applyBorder="1" applyFont="1">
      <alignment horizontal="left" readingOrder="0"/>
    </xf>
    <xf borderId="0" fillId="32" fontId="9" numFmtId="0" xfId="0" applyAlignment="1" applyFont="1">
      <alignment readingOrder="0"/>
    </xf>
    <xf borderId="38" fillId="2" fontId="245" numFmtId="0" xfId="0" applyAlignment="1" applyBorder="1" applyFont="1">
      <alignment horizontal="left" readingOrder="0"/>
    </xf>
    <xf borderId="129" fillId="34" fontId="224" numFmtId="0" xfId="0" applyAlignment="1" applyBorder="1" applyFont="1">
      <alignment horizontal="center" readingOrder="0" vertical="center"/>
    </xf>
    <xf borderId="0" fillId="34" fontId="46" numFmtId="0" xfId="0" applyAlignment="1" applyFont="1">
      <alignment readingOrder="0"/>
    </xf>
    <xf borderId="163" fillId="34" fontId="224" numFmtId="0" xfId="0" applyAlignment="1" applyBorder="1" applyFont="1">
      <alignment horizontal="center" readingOrder="0" vertical="center"/>
    </xf>
    <xf borderId="165" fillId="8" fontId="80" numFmtId="0" xfId="0" applyAlignment="1" applyBorder="1" applyFont="1">
      <alignment horizontal="center" readingOrder="0" vertical="center"/>
    </xf>
    <xf borderId="166" fillId="0" fontId="3" numFmtId="0" xfId="0" applyBorder="1" applyFont="1"/>
    <xf borderId="107" fillId="41" fontId="277" numFmtId="0" xfId="0" applyAlignment="1" applyBorder="1" applyFont="1">
      <alignment horizontal="center" readingOrder="0" vertical="center"/>
    </xf>
    <xf borderId="167" fillId="8" fontId="80" numFmtId="0" xfId="0" applyAlignment="1" applyBorder="1" applyFont="1">
      <alignment horizontal="center" readingOrder="0" vertical="center"/>
    </xf>
    <xf borderId="168" fillId="0" fontId="3" numFmtId="0" xfId="0" applyBorder="1" applyFont="1"/>
    <xf borderId="169" fillId="41" fontId="277" numFmtId="0" xfId="0" applyAlignment="1" applyBorder="1" applyFont="1">
      <alignment horizontal="center" readingOrder="0" vertical="center"/>
    </xf>
    <xf borderId="169" fillId="0" fontId="3" numFmtId="0" xfId="0" applyBorder="1" applyFont="1"/>
    <xf borderId="0" fillId="34" fontId="13" numFmtId="0" xfId="0" applyAlignment="1" applyFont="1">
      <alignment readingOrder="0"/>
    </xf>
    <xf borderId="58" fillId="29" fontId="224" numFmtId="0" xfId="0" applyAlignment="1" applyBorder="1" applyFont="1">
      <alignment readingOrder="0"/>
    </xf>
    <xf borderId="108" fillId="29" fontId="224" numFmtId="0" xfId="0" applyAlignment="1" applyBorder="1" applyFont="1">
      <alignment horizontal="left" readingOrder="0" vertical="center"/>
    </xf>
    <xf borderId="70" fillId="10" fontId="268" numFmtId="0" xfId="0" applyAlignment="1" applyBorder="1" applyFont="1">
      <alignment horizontal="center" readingOrder="0" vertical="center"/>
    </xf>
    <xf borderId="44" fillId="10" fontId="235" numFmtId="0" xfId="0" applyAlignment="1" applyBorder="1" applyFont="1">
      <alignment horizontal="left" readingOrder="0" vertical="center"/>
    </xf>
    <xf borderId="164" fillId="5" fontId="10" numFmtId="0" xfId="0" applyAlignment="1" applyBorder="1" applyFont="1">
      <alignment horizontal="center" readingOrder="0" vertical="center"/>
    </xf>
    <xf borderId="44" fillId="5" fontId="10" numFmtId="0" xfId="0" applyAlignment="1" applyBorder="1" applyFont="1">
      <alignment horizontal="left" readingOrder="0" vertical="center"/>
    </xf>
    <xf borderId="164" fillId="7" fontId="222" numFmtId="0" xfId="0" applyAlignment="1" applyBorder="1" applyFont="1">
      <alignment horizontal="center" readingOrder="0" vertical="center"/>
    </xf>
    <xf borderId="58" fillId="7" fontId="249" numFmtId="0" xfId="0" applyAlignment="1" applyBorder="1" applyFont="1">
      <alignment readingOrder="0"/>
    </xf>
    <xf borderId="0" fillId="7" fontId="249" numFmtId="0" xfId="0" applyAlignment="1" applyFont="1">
      <alignment horizontal="left" readingOrder="0" vertical="center"/>
    </xf>
    <xf borderId="31" fillId="7" fontId="275" numFmtId="0" xfId="0" applyAlignment="1" applyBorder="1" applyFont="1">
      <alignment readingOrder="0"/>
    </xf>
    <xf borderId="59" fillId="46" fontId="273" numFmtId="0" xfId="0" applyAlignment="1" applyBorder="1" applyFont="1">
      <alignment horizontal="center" readingOrder="0" vertical="center"/>
    </xf>
    <xf borderId="44" fillId="46" fontId="234" numFmtId="0" xfId="0" applyAlignment="1" applyBorder="1" applyFont="1">
      <alignment horizontal="left" readingOrder="0" vertical="center"/>
    </xf>
    <xf borderId="164" fillId="46" fontId="273" numFmtId="0" xfId="0" applyAlignment="1" applyBorder="1" applyFont="1">
      <alignment horizontal="center" readingOrder="0" vertical="center"/>
    </xf>
    <xf borderId="164" fillId="9" fontId="46" numFmtId="0" xfId="0" applyAlignment="1" applyBorder="1" applyFont="1">
      <alignment horizontal="center" readingOrder="0" vertical="center"/>
    </xf>
    <xf borderId="59" fillId="9" fontId="224" numFmtId="0" xfId="0" applyAlignment="1" applyBorder="1" applyFont="1">
      <alignment horizontal="left" readingOrder="0" vertical="center"/>
    </xf>
    <xf borderId="129" fillId="13" fontId="246" numFmtId="0" xfId="0" applyAlignment="1" applyBorder="1" applyFont="1">
      <alignment horizontal="center" readingOrder="0" vertical="center"/>
    </xf>
    <xf borderId="0" fillId="13" fontId="278" numFmtId="0" xfId="0" applyAlignment="1" applyFont="1">
      <alignment readingOrder="0"/>
    </xf>
    <xf borderId="163" fillId="13" fontId="246" numFmtId="0" xfId="0" applyAlignment="1" applyBorder="1" applyFont="1">
      <alignment horizontal="center" readingOrder="0" vertical="center"/>
    </xf>
    <xf borderId="164" fillId="30" fontId="224" numFmtId="0" xfId="0" applyAlignment="1" applyBorder="1" applyFont="1">
      <alignment horizontal="center" readingOrder="0" vertical="center"/>
    </xf>
    <xf borderId="59" fillId="30" fontId="224" numFmtId="0" xfId="0" applyAlignment="1" applyBorder="1" applyFont="1">
      <alignment readingOrder="0"/>
    </xf>
    <xf borderId="0" fillId="30" fontId="224" numFmtId="0" xfId="0" applyAlignment="1" applyFont="1">
      <alignment horizontal="left" readingOrder="0" vertical="center"/>
    </xf>
    <xf borderId="164" fillId="11" fontId="80" numFmtId="0" xfId="0" applyAlignment="1" applyBorder="1" applyFont="1">
      <alignment horizontal="center" readingOrder="0" vertical="center"/>
    </xf>
    <xf borderId="164" fillId="7" fontId="249" numFmtId="0" xfId="0" applyAlignment="1" applyBorder="1" applyFont="1">
      <alignment horizontal="center" readingOrder="0" vertical="center"/>
    </xf>
    <xf borderId="59" fillId="7" fontId="249" numFmtId="0" xfId="0" applyAlignment="1" applyBorder="1" applyFont="1">
      <alignment horizontal="left" readingOrder="0" vertical="center"/>
    </xf>
    <xf borderId="0" fillId="13" fontId="279" numFmtId="0" xfId="0" applyAlignment="1" applyFont="1">
      <alignment readingOrder="0"/>
    </xf>
    <xf borderId="164" fillId="31" fontId="10" numFmtId="0" xfId="0" applyAlignment="1" applyBorder="1" applyFont="1">
      <alignment horizontal="center" readingOrder="0" vertical="center"/>
    </xf>
    <xf borderId="58" fillId="31" fontId="10" numFmtId="0" xfId="0" applyAlignment="1" applyBorder="1" applyFont="1">
      <alignment horizontal="left" readingOrder="0" vertical="center"/>
    </xf>
    <xf borderId="0" fillId="30" fontId="224" numFmtId="0" xfId="0" applyAlignment="1" applyFont="1">
      <alignment readingOrder="0"/>
    </xf>
    <xf borderId="31" fillId="30" fontId="224" numFmtId="0" xfId="0" applyAlignment="1" applyBorder="1" applyFont="1">
      <alignment readingOrder="0"/>
    </xf>
    <xf borderId="59" fillId="7" fontId="249" numFmtId="0" xfId="0" applyAlignment="1" applyBorder="1" applyFont="1">
      <alignment horizontal="center" readingOrder="0" vertical="center"/>
    </xf>
    <xf borderId="44" fillId="7" fontId="249" numFmtId="0" xfId="0" applyAlignment="1" applyBorder="1" applyFont="1">
      <alignment horizontal="left" readingOrder="0" vertical="center"/>
    </xf>
    <xf borderId="59" fillId="31" fontId="10" numFmtId="0" xfId="0" applyAlignment="1" applyBorder="1" applyFont="1">
      <alignment horizontal="left" readingOrder="0" vertical="center"/>
    </xf>
    <xf borderId="59" fillId="10" fontId="235" numFmtId="0" xfId="0" applyAlignment="1" applyBorder="1" applyFont="1">
      <alignment horizontal="left" readingOrder="0" vertical="center"/>
    </xf>
    <xf borderId="60" fillId="39" fontId="10" numFmtId="0" xfId="0" applyAlignment="1" applyBorder="1" applyFont="1">
      <alignment horizontal="center" readingOrder="0" vertical="center"/>
    </xf>
    <xf borderId="0" fillId="39" fontId="80" numFmtId="0" xfId="0" applyAlignment="1" applyFont="1">
      <alignment readingOrder="0"/>
    </xf>
    <xf borderId="170" fillId="39" fontId="10" numFmtId="0" xfId="0" applyAlignment="1" applyBorder="1" applyFont="1">
      <alignment horizontal="center" readingOrder="0" vertical="center"/>
    </xf>
    <xf borderId="59" fillId="13" fontId="246" numFmtId="0" xfId="0" applyAlignment="1" applyBorder="1" applyFont="1">
      <alignment horizontal="center" readingOrder="0" vertical="center"/>
    </xf>
    <xf borderId="59" fillId="13" fontId="246" numFmtId="0" xfId="0" applyAlignment="1" applyBorder="1" applyFont="1">
      <alignment horizontal="left" readingOrder="0"/>
    </xf>
    <xf borderId="43" fillId="31" fontId="10" numFmtId="0" xfId="0" applyAlignment="1" applyBorder="1" applyFont="1">
      <alignment horizontal="left" readingOrder="0" vertical="center"/>
    </xf>
    <xf borderId="44" fillId="31" fontId="10" numFmtId="0" xfId="0" applyAlignment="1" applyBorder="1" applyFont="1">
      <alignment horizontal="left" readingOrder="0" vertical="center"/>
    </xf>
    <xf borderId="44" fillId="9" fontId="224" numFmtId="0" xfId="0" applyAlignment="1" applyBorder="1" applyFont="1">
      <alignment horizontal="left" readingOrder="0" vertical="center"/>
    </xf>
    <xf borderId="171" fillId="2" fontId="245" numFmtId="0" xfId="0" applyAlignment="1" applyBorder="1" applyFont="1">
      <alignment horizontal="left" readingOrder="0"/>
    </xf>
    <xf borderId="129" fillId="40" fontId="280" numFmtId="0" xfId="0" applyAlignment="1" applyBorder="1" applyFont="1">
      <alignment horizontal="center" readingOrder="0" vertical="center"/>
    </xf>
    <xf borderId="0" fillId="40" fontId="281" numFmtId="0" xfId="0" applyAlignment="1" applyFont="1">
      <alignment readingOrder="0"/>
    </xf>
    <xf borderId="163" fillId="44" fontId="46" numFmtId="0" xfId="0" applyAlignment="1" applyBorder="1" applyFont="1">
      <alignment horizontal="center" readingOrder="0" vertical="center"/>
    </xf>
    <xf borderId="0" fillId="44" fontId="1" numFmtId="0" xfId="0" applyAlignment="1" applyFont="1">
      <alignment horizontal="left" readingOrder="0"/>
    </xf>
    <xf borderId="0" fillId="44" fontId="1" numFmtId="0" xfId="0" applyAlignment="1" applyFont="1">
      <alignment readingOrder="0"/>
    </xf>
    <xf borderId="44" fillId="13" fontId="246" numFmtId="0" xfId="0" applyAlignment="1" applyBorder="1" applyFont="1">
      <alignment horizontal="left" readingOrder="0" vertical="center"/>
    </xf>
    <xf borderId="172" fillId="0" fontId="3" numFmtId="0" xfId="0" applyBorder="1" applyFont="1"/>
    <xf borderId="70" fillId="29" fontId="46" numFmtId="0" xfId="0" applyAlignment="1" applyBorder="1" applyFont="1">
      <alignment horizontal="center" readingOrder="0" vertical="center"/>
    </xf>
    <xf borderId="44" fillId="29" fontId="224" numFmtId="0" xfId="0" applyAlignment="1" applyBorder="1" applyFont="1">
      <alignment horizontal="left" readingOrder="0" vertical="center"/>
    </xf>
    <xf borderId="173" fillId="8" fontId="80" numFmtId="0" xfId="0" applyAlignment="1" applyBorder="1" applyFont="1">
      <alignment horizontal="center" readingOrder="0" vertical="center"/>
    </xf>
    <xf borderId="46" fillId="41" fontId="267" numFmtId="0" xfId="0" applyAlignment="1" applyBorder="1" applyFont="1">
      <alignment horizontal="center" readingOrder="0" vertical="center"/>
    </xf>
    <xf borderId="174" fillId="2" fontId="245" numFmtId="0" xfId="0" applyAlignment="1" applyBorder="1" applyFont="1">
      <alignment horizontal="left" readingOrder="0"/>
    </xf>
    <xf borderId="0" fillId="30" fontId="80" numFmtId="0" xfId="0" applyAlignment="1" applyFont="1">
      <alignment horizontal="center" readingOrder="0" vertical="center"/>
    </xf>
    <xf borderId="0" fillId="30" fontId="80" numFmtId="0" xfId="0" applyAlignment="1" applyFont="1">
      <alignment horizontal="left" readingOrder="0" vertical="center"/>
    </xf>
    <xf borderId="72" fillId="29" fontId="46" numFmtId="0" xfId="0" applyAlignment="1" applyBorder="1" applyFont="1">
      <alignment horizontal="center" readingOrder="0" vertical="center"/>
    </xf>
    <xf borderId="0" fillId="14" fontId="1" numFmtId="0" xfId="0" applyAlignment="1" applyFont="1">
      <alignment horizontal="left" readingOrder="0" vertical="center"/>
    </xf>
    <xf borderId="0" fillId="36" fontId="80" numFmtId="0" xfId="0" applyAlignment="1" applyFont="1">
      <alignment horizontal="center" readingOrder="0" vertical="center"/>
    </xf>
    <xf borderId="170" fillId="30" fontId="80" numFmtId="0" xfId="0" applyAlignment="1" applyBorder="1" applyFont="1">
      <alignment horizontal="center" readingOrder="0" vertical="center"/>
    </xf>
    <xf borderId="0" fillId="7" fontId="222" numFmtId="0" xfId="0" applyAlignment="1" applyFont="1">
      <alignment horizontal="left" readingOrder="0" vertical="center"/>
    </xf>
    <xf borderId="170" fillId="7" fontId="222" numFmtId="0" xfId="0" applyAlignment="1" applyBorder="1" applyFont="1">
      <alignment horizontal="center" readingOrder="0" vertical="center"/>
    </xf>
    <xf borderId="0" fillId="7" fontId="222" numFmtId="0" xfId="0" applyAlignment="1" applyFont="1">
      <alignment readingOrder="0"/>
    </xf>
    <xf borderId="0" fillId="37" fontId="80" numFmtId="0" xfId="0" applyAlignment="1" applyFont="1">
      <alignment horizontal="center" readingOrder="0" vertical="center"/>
    </xf>
    <xf borderId="170" fillId="36" fontId="80" numFmtId="0" xfId="0" applyAlignment="1" applyBorder="1" applyFont="1">
      <alignment horizontal="center" readingOrder="0" vertical="center"/>
    </xf>
    <xf borderId="0" fillId="11" fontId="46" numFmtId="0" xfId="0" applyAlignment="1" applyFont="1">
      <alignment horizontal="center" readingOrder="0" vertical="center"/>
    </xf>
    <xf borderId="0" fillId="11" fontId="46" numFmtId="0" xfId="0" applyAlignment="1" applyFont="1">
      <alignment horizontal="left" readingOrder="0"/>
    </xf>
    <xf borderId="164" fillId="38" fontId="46" numFmtId="0" xfId="0" applyAlignment="1" applyBorder="1" applyFont="1">
      <alignment horizontal="center" readingOrder="0" vertical="center"/>
    </xf>
    <xf borderId="42" fillId="38" fontId="46" numFmtId="0" xfId="0" applyAlignment="1" applyBorder="1" applyFont="1">
      <alignment horizontal="left" readingOrder="0" vertical="center"/>
    </xf>
    <xf borderId="170" fillId="32" fontId="80" numFmtId="0" xfId="0" applyAlignment="1" applyBorder="1" applyFont="1">
      <alignment horizontal="center" readingOrder="0" vertical="center"/>
    </xf>
    <xf borderId="0" fillId="32" fontId="80" numFmtId="0" xfId="0" applyAlignment="1" applyFont="1">
      <alignment horizontal="left" readingOrder="0"/>
    </xf>
    <xf borderId="0" fillId="32" fontId="80" numFmtId="0" xfId="0" applyAlignment="1" applyFont="1">
      <alignment horizontal="center" readingOrder="0" vertical="center"/>
    </xf>
    <xf borderId="170" fillId="34" fontId="46" numFmtId="0" xfId="0" applyAlignment="1" applyBorder="1" applyFont="1">
      <alignment horizontal="center" readingOrder="0" vertical="center"/>
    </xf>
    <xf borderId="0" fillId="34" fontId="46" numFmtId="0" xfId="0" applyAlignment="1" applyFont="1">
      <alignment horizontal="left" readingOrder="0" vertical="center"/>
    </xf>
    <xf borderId="0" fillId="34" fontId="46" numFmtId="0" xfId="0" applyAlignment="1" applyFont="1">
      <alignment horizontal="center" readingOrder="0" vertical="center"/>
    </xf>
    <xf borderId="170" fillId="13" fontId="278" numFmtId="0" xfId="0" applyAlignment="1" applyBorder="1" applyFont="1">
      <alignment horizontal="center" readingOrder="0" vertical="center"/>
    </xf>
    <xf borderId="0" fillId="13" fontId="278" numFmtId="0" xfId="0" applyAlignment="1" applyFont="1">
      <alignment horizontal="left" readingOrder="0"/>
    </xf>
    <xf borderId="0" fillId="13" fontId="278" numFmtId="0" xfId="0" applyAlignment="1" applyFont="1">
      <alignment horizontal="center" readingOrder="0" vertical="center"/>
    </xf>
    <xf borderId="170" fillId="44" fontId="46" numFmtId="0" xfId="0" applyAlignment="1" applyBorder="1" applyFont="1">
      <alignment horizontal="center" readingOrder="0" vertical="center"/>
    </xf>
    <xf borderId="0" fillId="44" fontId="46" numFmtId="0" xfId="0" applyAlignment="1" applyFont="1">
      <alignment readingOrder="0"/>
    </xf>
    <xf borderId="0" fillId="40" fontId="280" numFmtId="0" xfId="0" applyAlignment="1" applyFont="1">
      <alignment horizontal="center" readingOrder="0" vertical="center"/>
    </xf>
    <xf borderId="0" fillId="40" fontId="280" numFmtId="0" xfId="0" applyAlignment="1" applyFont="1">
      <alignment horizontal="left" readingOrder="0" vertical="center"/>
    </xf>
    <xf borderId="107" fillId="23" fontId="13" numFmtId="0" xfId="0" applyAlignment="1" applyBorder="1" applyFont="1">
      <alignment horizontal="center" vertical="center"/>
    </xf>
    <xf borderId="114" fillId="23" fontId="13" numFmtId="0" xfId="0" applyAlignment="1" applyBorder="1" applyFont="1">
      <alignment horizontal="center" vertical="center"/>
    </xf>
    <xf borderId="107" fillId="33" fontId="13" numFmtId="0" xfId="0" applyBorder="1" applyFont="1"/>
    <xf borderId="107" fillId="33" fontId="282" numFmtId="0" xfId="0" applyAlignment="1" applyBorder="1" applyFont="1">
      <alignment horizontal="center" readingOrder="0" vertical="center"/>
    </xf>
    <xf borderId="114" fillId="33" fontId="13" numFmtId="0" xfId="0" applyBorder="1" applyFont="1"/>
    <xf borderId="0" fillId="23" fontId="13" numFmtId="0" xfId="0" applyAlignment="1" applyFont="1">
      <alignment horizontal="center" vertical="center"/>
    </xf>
    <xf borderId="61" fillId="65" fontId="13" numFmtId="0" xfId="0" applyAlignment="1" applyBorder="1" applyFill="1" applyFont="1">
      <alignment horizontal="center" vertical="center"/>
    </xf>
    <xf borderId="108" fillId="65" fontId="13" numFmtId="0" xfId="0" applyAlignment="1" applyBorder="1" applyFont="1">
      <alignment horizontal="center" vertical="center"/>
    </xf>
    <xf borderId="129" fillId="65" fontId="13" numFmtId="0" xfId="0" applyAlignment="1" applyBorder="1" applyFont="1">
      <alignment horizontal="center" vertical="center"/>
    </xf>
    <xf borderId="96" fillId="23" fontId="13" numFmtId="0" xfId="0" applyAlignment="1" applyBorder="1" applyFont="1">
      <alignment horizontal="center" vertical="center"/>
    </xf>
    <xf borderId="0" fillId="33" fontId="13" numFmtId="0" xfId="0" applyFont="1"/>
    <xf borderId="96" fillId="33" fontId="13" numFmtId="0" xfId="0" applyBorder="1" applyFont="1"/>
    <xf borderId="42" fillId="65" fontId="13" numFmtId="0" xfId="0" applyAlignment="1" applyBorder="1" applyFont="1">
      <alignment horizontal="center" vertical="center"/>
    </xf>
    <xf borderId="0" fillId="65" fontId="40" numFmtId="0" xfId="0" applyAlignment="1" applyFont="1">
      <alignment horizontal="center" readingOrder="0" vertical="center"/>
    </xf>
    <xf borderId="47" fillId="65" fontId="13" numFmtId="0" xfId="0" applyAlignment="1" applyBorder="1" applyFont="1">
      <alignment horizontal="center" vertical="center"/>
    </xf>
    <xf borderId="0" fillId="23" fontId="283" numFmtId="0" xfId="0" applyAlignment="1" applyFont="1">
      <alignment vertical="center"/>
    </xf>
    <xf borderId="0" fillId="65" fontId="283" numFmtId="0" xfId="0" applyFont="1"/>
    <xf borderId="0" fillId="65" fontId="283" numFmtId="0" xfId="0" applyAlignment="1" applyFont="1">
      <alignment horizontal="center" vertical="center"/>
    </xf>
    <xf borderId="26" fillId="9" fontId="247" numFmtId="0" xfId="0" applyAlignment="1" applyBorder="1" applyFont="1">
      <alignment horizontal="center" readingOrder="0" vertical="center"/>
    </xf>
    <xf borderId="26" fillId="4" fontId="224" numFmtId="0" xfId="0" applyAlignment="1" applyBorder="1" applyFont="1">
      <alignment horizontal="center" readingOrder="0" vertical="center"/>
    </xf>
    <xf borderId="0" fillId="65" fontId="13" numFmtId="0" xfId="0" applyAlignment="1" applyFont="1">
      <alignment horizontal="center" vertical="center"/>
    </xf>
    <xf borderId="175" fillId="33" fontId="13" numFmtId="0" xfId="0" applyBorder="1" applyFont="1"/>
    <xf borderId="26" fillId="8" fontId="10" numFmtId="0" xfId="0" applyAlignment="1" applyBorder="1" applyFont="1">
      <alignment horizontal="center" readingOrder="0" vertical="center"/>
    </xf>
    <xf borderId="0" fillId="65" fontId="284" numFmtId="0" xfId="0" applyAlignment="1" applyFont="1">
      <alignment horizontal="center" vertical="center"/>
    </xf>
    <xf borderId="26" fillId="13" fontId="247" numFmtId="0" xfId="0" applyAlignment="1" applyBorder="1" applyFont="1">
      <alignment horizontal="center" readingOrder="0" vertical="center"/>
    </xf>
    <xf borderId="26" fillId="10" fontId="235" numFmtId="0" xfId="0" applyAlignment="1" applyBorder="1" applyFont="1">
      <alignment horizontal="center" readingOrder="0" vertical="center"/>
    </xf>
    <xf borderId="26" fillId="12" fontId="10" numFmtId="0" xfId="0" applyAlignment="1" applyBorder="1" applyFont="1">
      <alignment horizontal="center" readingOrder="0" vertical="center"/>
    </xf>
    <xf borderId="106" fillId="23" fontId="13" numFmtId="0" xfId="0" applyAlignment="1" applyBorder="1" applyFont="1">
      <alignment horizontal="center" vertical="center"/>
    </xf>
    <xf borderId="0" fillId="33" fontId="285" numFmtId="0" xfId="0" applyAlignment="1" applyFont="1">
      <alignment horizontal="center" readingOrder="0" vertical="center"/>
    </xf>
    <xf borderId="43" fillId="65" fontId="13" numFmtId="0" xfId="0" applyAlignment="1" applyBorder="1" applyFont="1">
      <alignment horizontal="center" vertical="center"/>
    </xf>
    <xf borderId="44" fillId="65" fontId="13" numFmtId="0" xfId="0" applyAlignment="1" applyBorder="1" applyFont="1">
      <alignment horizontal="center" vertical="center"/>
    </xf>
    <xf borderId="45" fillId="65" fontId="13" numFmtId="0" xfId="0" applyAlignment="1" applyBorder="1" applyFont="1">
      <alignment horizontal="center" vertical="center"/>
    </xf>
    <xf borderId="0" fillId="23" fontId="284" numFmtId="0" xfId="0" applyAlignment="1" applyFont="1">
      <alignment horizontal="center" vertical="center"/>
    </xf>
    <xf borderId="0" fillId="23" fontId="284" numFmtId="0" xfId="0" applyAlignment="1" applyFont="1">
      <alignment horizontal="center" readingOrder="0" vertical="center"/>
    </xf>
    <xf borderId="0" fillId="23" fontId="247" numFmtId="0" xfId="0" applyAlignment="1" applyFont="1">
      <alignment horizontal="center" readingOrder="0" vertical="top"/>
    </xf>
    <xf borderId="0" fillId="23" fontId="82" numFmtId="0" xfId="0" applyAlignment="1" applyFont="1">
      <alignment horizontal="center" readingOrder="0" vertical="center"/>
    </xf>
    <xf borderId="6" fillId="33" fontId="13" numFmtId="0" xfId="0" applyBorder="1" applyFont="1"/>
    <xf borderId="7" fillId="33" fontId="13" numFmtId="0" xfId="0" applyBorder="1" applyFont="1"/>
    <xf borderId="7" fillId="33" fontId="13" numFmtId="0" xfId="0" applyAlignment="1" applyBorder="1" applyFont="1">
      <alignment horizontal="center" vertical="center"/>
    </xf>
    <xf borderId="31" fillId="23" fontId="283" numFmtId="0" xfId="0" applyAlignment="1" applyBorder="1" applyFont="1">
      <alignment vertical="center"/>
    </xf>
    <xf borderId="26" fillId="9" fontId="224" numFmtId="0" xfId="0" applyAlignment="1" applyBorder="1" applyFont="1">
      <alignment horizontal="center" readingOrder="0" vertical="center"/>
    </xf>
    <xf borderId="175" fillId="23" fontId="13" numFmtId="0" xfId="0" applyAlignment="1" applyBorder="1" applyFont="1">
      <alignment vertical="bottom"/>
    </xf>
    <xf borderId="107" fillId="23" fontId="286" numFmtId="0" xfId="0" applyAlignment="1" applyBorder="1" applyFont="1">
      <alignment horizontal="center" readingOrder="0" vertical="center"/>
    </xf>
    <xf borderId="0" fillId="23" fontId="63" numFmtId="0" xfId="0" applyAlignment="1" applyFont="1">
      <alignment horizontal="center" readingOrder="0" vertical="bottom"/>
    </xf>
    <xf borderId="31" fillId="23" fontId="63" numFmtId="0" xfId="0" applyAlignment="1" applyBorder="1" applyFont="1">
      <alignment horizontal="left" readingOrder="0" vertical="bottom"/>
    </xf>
    <xf borderId="62" fillId="23" fontId="283" numFmtId="0" xfId="0" applyAlignment="1" applyBorder="1" applyFont="1">
      <alignment vertical="center"/>
    </xf>
    <xf borderId="44" fillId="23" fontId="283" numFmtId="0" xfId="0" applyAlignment="1" applyBorder="1" applyFont="1">
      <alignment vertical="center"/>
    </xf>
    <xf borderId="0" fillId="23" fontId="287" numFmtId="0" xfId="0" applyAlignment="1" applyFont="1">
      <alignment horizontal="center" vertical="center"/>
    </xf>
    <xf borderId="47" fillId="23" fontId="13" numFmtId="0" xfId="0" applyAlignment="1" applyBorder="1" applyFont="1">
      <alignment horizontal="center" vertical="center"/>
    </xf>
    <xf borderId="0" fillId="23" fontId="63" numFmtId="0" xfId="0" applyAlignment="1" applyFont="1">
      <alignment horizontal="left" readingOrder="0" vertical="bottom"/>
    </xf>
    <xf borderId="0" fillId="23" fontId="283" numFmtId="0" xfId="0" applyAlignment="1" applyFont="1">
      <alignment vertical="center"/>
    </xf>
    <xf borderId="47" fillId="23" fontId="283" numFmtId="0" xfId="0" applyAlignment="1" applyBorder="1" applyFont="1">
      <alignment vertical="center"/>
    </xf>
    <xf borderId="44" fillId="65" fontId="283" numFmtId="0" xfId="0" applyAlignment="1" applyBorder="1" applyFont="1">
      <alignment vertical="center"/>
    </xf>
    <xf borderId="45" fillId="65" fontId="283" numFmtId="0" xfId="0" applyAlignment="1" applyBorder="1" applyFont="1">
      <alignment vertical="center"/>
    </xf>
    <xf borderId="47" fillId="23" fontId="13" numFmtId="0" xfId="0" applyAlignment="1" applyBorder="1" applyFont="1">
      <alignment horizontal="center" vertical="center"/>
    </xf>
    <xf borderId="0" fillId="23" fontId="13" numFmtId="0" xfId="0" applyAlignment="1" applyFont="1">
      <alignment horizontal="center" vertical="center"/>
    </xf>
    <xf borderId="0" fillId="23" fontId="63" numFmtId="0" xfId="0" applyAlignment="1" applyFont="1">
      <alignment horizontal="center" readingOrder="0" vertical="center"/>
    </xf>
    <xf borderId="44" fillId="65" fontId="284" numFmtId="0" xfId="0" applyAlignment="1" applyBorder="1" applyFont="1">
      <alignment horizontal="center" vertical="center"/>
    </xf>
    <xf borderId="0" fillId="23" fontId="46" numFmtId="0" xfId="0" applyAlignment="1" applyFont="1">
      <alignment horizontal="center" vertical="center"/>
    </xf>
    <xf borderId="0" fillId="23" fontId="288" numFmtId="0" xfId="0" applyAlignment="1" applyFont="1">
      <alignment horizontal="center" vertical="center"/>
    </xf>
    <xf borderId="42" fillId="65" fontId="288" numFmtId="0" xfId="0" applyBorder="1" applyFont="1"/>
    <xf borderId="47" fillId="65" fontId="288" numFmtId="0" xfId="0" applyBorder="1" applyFont="1"/>
    <xf borderId="0" fillId="23" fontId="46" numFmtId="0" xfId="0" applyAlignment="1" applyFont="1">
      <alignment horizontal="left" readingOrder="0" vertical="center"/>
    </xf>
    <xf borderId="43" fillId="65" fontId="287" numFmtId="0" xfId="0" applyBorder="1" applyFont="1"/>
    <xf borderId="44" fillId="65" fontId="287" numFmtId="0" xfId="0" applyBorder="1" applyFont="1"/>
    <xf borderId="45" fillId="65" fontId="287" numFmtId="0" xfId="0" applyBorder="1" applyFont="1"/>
    <xf borderId="0" fillId="23" fontId="269" numFmtId="0" xfId="0" applyAlignment="1" applyFont="1">
      <alignment horizontal="center" vertical="center"/>
    </xf>
    <xf borderId="0" fillId="23" fontId="287" numFmtId="0" xfId="0" applyAlignment="1" applyFont="1">
      <alignment horizontal="center" vertical="center"/>
    </xf>
    <xf borderId="0" fillId="23" fontId="287" numFmtId="0" xfId="0" applyAlignment="1" applyFont="1">
      <alignment horizontal="center" readingOrder="0" vertical="center"/>
    </xf>
    <xf borderId="47" fillId="23" fontId="269" numFmtId="0" xfId="0" applyAlignment="1" applyBorder="1" applyFont="1">
      <alignment horizontal="center" vertical="center"/>
    </xf>
    <xf borderId="121" fillId="65" fontId="269" numFmtId="0" xfId="0" applyAlignment="1" applyBorder="1" applyFont="1">
      <alignment horizontal="center" vertical="center"/>
    </xf>
    <xf borderId="176" fillId="23" fontId="283" numFmtId="0" xfId="0" applyAlignment="1" applyBorder="1" applyFont="1">
      <alignment vertical="center"/>
    </xf>
    <xf borderId="26" fillId="13" fontId="224" numFmtId="0" xfId="0" applyAlignment="1" applyBorder="1" applyFont="1">
      <alignment horizontal="center" readingOrder="0" vertical="center"/>
    </xf>
    <xf borderId="26" fillId="7" fontId="249" numFmtId="0" xfId="0" applyAlignment="1" applyBorder="1" applyFont="1">
      <alignment horizontal="center" readingOrder="0" vertical="center"/>
    </xf>
    <xf borderId="0" fillId="23" fontId="269" numFmtId="0" xfId="0" applyAlignment="1" applyFont="1">
      <alignment horizontal="center" vertical="center"/>
    </xf>
    <xf borderId="177" fillId="23" fontId="283" numFmtId="0" xfId="0" applyAlignment="1" applyBorder="1" applyFont="1">
      <alignment vertical="center"/>
    </xf>
    <xf borderId="177" fillId="23" fontId="283" numFmtId="0" xfId="0" applyAlignment="1" applyBorder="1" applyFont="1">
      <alignment vertical="center"/>
    </xf>
    <xf borderId="178" fillId="23" fontId="283" numFmtId="0" xfId="0" applyAlignment="1" applyBorder="1" applyFont="1">
      <alignment vertical="center"/>
    </xf>
    <xf borderId="0" fillId="23" fontId="46" numFmtId="0" xfId="0" applyAlignment="1" applyFont="1">
      <alignment horizontal="left" vertical="center"/>
    </xf>
    <xf borderId="0" fillId="23" fontId="269" numFmtId="0" xfId="0" applyAlignment="1" applyFont="1">
      <alignment vertical="center"/>
    </xf>
    <xf borderId="31" fillId="23" fontId="269" numFmtId="0" xfId="0" applyAlignment="1" applyBorder="1" applyFont="1">
      <alignment vertical="center"/>
    </xf>
    <xf borderId="62" fillId="23" fontId="269" numFmtId="0" xfId="0" applyAlignment="1" applyBorder="1" applyFont="1">
      <alignment vertical="center"/>
    </xf>
    <xf borderId="0" fillId="23" fontId="269" numFmtId="0" xfId="0" applyAlignment="1" applyFont="1">
      <alignment vertical="center"/>
    </xf>
    <xf borderId="0" fillId="23" fontId="13" numFmtId="0" xfId="0" applyFont="1"/>
    <xf borderId="0" fillId="23" fontId="46" numFmtId="0" xfId="0" applyFont="1"/>
    <xf borderId="61" fillId="65" fontId="287" numFmtId="0" xfId="0" applyAlignment="1" applyBorder="1" applyFont="1">
      <alignment horizontal="center" vertical="center"/>
    </xf>
    <xf borderId="108" fillId="65" fontId="287" numFmtId="0" xfId="0" applyAlignment="1" applyBorder="1" applyFont="1">
      <alignment horizontal="center" vertical="center"/>
    </xf>
    <xf borderId="0" fillId="23" fontId="46" numFmtId="0" xfId="0" applyAlignment="1" applyFont="1">
      <alignment vertical="center"/>
    </xf>
    <xf borderId="42" fillId="65" fontId="287" numFmtId="0" xfId="0" applyAlignment="1" applyBorder="1" applyFont="1">
      <alignment horizontal="center" vertical="center"/>
    </xf>
    <xf borderId="0" fillId="65" fontId="287" numFmtId="0" xfId="0" applyAlignment="1" applyFont="1">
      <alignment horizontal="center" vertical="center"/>
    </xf>
    <xf borderId="96" fillId="23" fontId="13" numFmtId="0" xfId="0" applyBorder="1" applyFont="1"/>
    <xf borderId="0" fillId="23" fontId="13" numFmtId="0" xfId="0" applyAlignment="1" applyFont="1">
      <alignment vertical="bottom"/>
    </xf>
    <xf borderId="43" fillId="65" fontId="287" numFmtId="0" xfId="0" applyAlignment="1" applyBorder="1" applyFont="1">
      <alignment horizontal="center" vertical="center"/>
    </xf>
    <xf borderId="44" fillId="65" fontId="287" numFmtId="0" xfId="0" applyAlignment="1" applyBorder="1" applyFont="1">
      <alignment horizontal="center" vertical="center"/>
    </xf>
    <xf borderId="175" fillId="23" fontId="13" numFmtId="0" xfId="0" applyBorder="1" applyFont="1"/>
    <xf borderId="7" fillId="23" fontId="13" numFmtId="0" xfId="0" applyAlignment="1" applyBorder="1" applyFont="1">
      <alignment horizontal="center" vertical="center"/>
    </xf>
    <xf borderId="8" fillId="23" fontId="13" numFmtId="0" xfId="0" applyAlignment="1" applyBorder="1" applyFont="1">
      <alignment horizontal="center" vertical="center"/>
    </xf>
    <xf borderId="7" fillId="23" fontId="13" numFmtId="0" xfId="0" applyAlignment="1" applyBorder="1" applyFont="1">
      <alignment vertical="bottom"/>
    </xf>
    <xf borderId="7" fillId="23" fontId="13" numFmtId="0" xfId="0" applyBorder="1" applyFont="1"/>
    <xf borderId="8" fillId="23" fontId="13" numFmtId="0" xfId="0" applyBorder="1" applyFont="1"/>
    <xf borderId="179" fillId="17" fontId="25" numFmtId="0" xfId="0" applyAlignment="1" applyBorder="1" applyFont="1">
      <alignment horizontal="center" readingOrder="0" vertical="center"/>
    </xf>
    <xf borderId="17" fillId="17" fontId="285" numFmtId="0" xfId="0" applyAlignment="1" applyBorder="1" applyFont="1">
      <alignment horizontal="center" readingOrder="0" vertical="center"/>
    </xf>
    <xf borderId="17" fillId="17" fontId="10" numFmtId="0" xfId="0" applyAlignment="1" applyBorder="1" applyFont="1">
      <alignment horizontal="center" readingOrder="0" vertical="center"/>
    </xf>
    <xf borderId="15" fillId="17" fontId="285" numFmtId="0" xfId="0" applyAlignment="1" applyBorder="1" applyFont="1">
      <alignment horizontal="center" readingOrder="0" vertical="center"/>
    </xf>
    <xf borderId="180" fillId="2" fontId="13" numFmtId="0" xfId="0" applyAlignment="1" applyBorder="1" applyFont="1">
      <alignment vertical="bottom"/>
    </xf>
    <xf borderId="155" fillId="2" fontId="13" numFmtId="0" xfId="0" applyAlignment="1" applyBorder="1" applyFont="1">
      <alignment vertical="bottom"/>
    </xf>
    <xf borderId="1" fillId="2" fontId="245" numFmtId="0" xfId="0" applyAlignment="1" applyBorder="1" applyFont="1">
      <alignment horizontal="left" readingOrder="0"/>
    </xf>
    <xf borderId="109" fillId="41" fontId="46" numFmtId="0" xfId="0" applyAlignment="1" applyBorder="1" applyFont="1">
      <alignment vertical="center"/>
    </xf>
    <xf borderId="5" fillId="2" fontId="245" numFmtId="0" xfId="0" applyAlignment="1" applyBorder="1" applyFont="1">
      <alignment horizontal="left" readingOrder="0"/>
    </xf>
    <xf borderId="46" fillId="5" fontId="285" numFmtId="0" xfId="0" applyAlignment="1" applyBorder="1" applyFont="1">
      <alignment horizontal="center" readingOrder="0" vertical="center"/>
    </xf>
    <xf borderId="46" fillId="5" fontId="25" numFmtId="0" xfId="0" applyAlignment="1" applyBorder="1" applyFont="1">
      <alignment horizontal="center" readingOrder="0" vertical="bottom"/>
    </xf>
    <xf borderId="18" fillId="6" fontId="63" numFmtId="172" xfId="0" applyAlignment="1" applyBorder="1" applyFont="1" applyNumberFormat="1">
      <alignment horizontal="center" readingOrder="0" vertical="center"/>
    </xf>
    <xf borderId="1" fillId="2" fontId="13" numFmtId="0" xfId="0" applyAlignment="1" applyBorder="1" applyFont="1">
      <alignment vertical="bottom"/>
    </xf>
    <xf borderId="58" fillId="8" fontId="289" numFmtId="0" xfId="0" applyAlignment="1" applyBorder="1" applyFont="1">
      <alignment horizontal="center" readingOrder="0" vertical="center"/>
    </xf>
    <xf borderId="43" fillId="41" fontId="13" numFmtId="0" xfId="0" applyAlignment="1" applyBorder="1" applyFont="1">
      <alignment vertical="bottom"/>
    </xf>
    <xf borderId="65" fillId="41" fontId="13" numFmtId="0" xfId="0" applyAlignment="1" applyBorder="1" applyFont="1">
      <alignment vertical="bottom"/>
    </xf>
    <xf borderId="66" fillId="8" fontId="29" numFmtId="0" xfId="0" applyAlignment="1" applyBorder="1" applyFont="1">
      <alignment vertical="bottom"/>
    </xf>
    <xf borderId="45" fillId="4" fontId="1" numFmtId="0" xfId="0" applyAlignment="1" applyBorder="1" applyFont="1">
      <alignment horizontal="center" vertical="bottom"/>
    </xf>
    <xf borderId="0" fillId="5" fontId="80" numFmtId="0" xfId="0" applyAlignment="1" applyFont="1">
      <alignment horizontal="left" readingOrder="0"/>
    </xf>
    <xf borderId="11" fillId="2" fontId="13" numFmtId="0" xfId="0" applyAlignment="1" applyBorder="1" applyFont="1">
      <alignment vertical="bottom"/>
    </xf>
    <xf borderId="58" fillId="8" fontId="29" numFmtId="0" xfId="0" applyAlignment="1" applyBorder="1" applyFont="1">
      <alignment horizontal="left" readingOrder="0" vertical="center"/>
    </xf>
    <xf borderId="181" fillId="9" fontId="1" numFmtId="0" xfId="0" applyAlignment="1" applyBorder="1" applyFont="1">
      <alignment horizontal="left" readingOrder="0"/>
    </xf>
    <xf borderId="182" fillId="0" fontId="3" numFmtId="0" xfId="0" applyBorder="1" applyFont="1"/>
    <xf borderId="183" fillId="0" fontId="3" numFmtId="0" xfId="0" applyBorder="1" applyFont="1"/>
    <xf borderId="181" fillId="41" fontId="13" numFmtId="0" xfId="0" applyBorder="1" applyFont="1"/>
    <xf borderId="10" fillId="2" fontId="245" numFmtId="0" xfId="0" applyAlignment="1" applyBorder="1" applyFont="1">
      <alignment horizontal="left" readingOrder="0"/>
    </xf>
    <xf borderId="66" fillId="8" fontId="80" numFmtId="0" xfId="0" applyAlignment="1" applyBorder="1" applyFont="1">
      <alignment readingOrder="0" vertical="bottom"/>
    </xf>
    <xf borderId="44" fillId="0" fontId="46" numFmtId="0" xfId="0" applyAlignment="1" applyBorder="1" applyFont="1">
      <alignment horizontal="center" readingOrder="0" vertical="bottom"/>
    </xf>
    <xf borderId="61" fillId="9" fontId="1" numFmtId="0" xfId="0" applyAlignment="1" applyBorder="1" applyFont="1">
      <alignment horizontal="left" readingOrder="0"/>
    </xf>
    <xf borderId="66" fillId="8" fontId="80" numFmtId="0" xfId="0" applyAlignment="1" applyBorder="1" applyFont="1">
      <alignment readingOrder="0"/>
    </xf>
    <xf borderId="44" fillId="0" fontId="46" numFmtId="0" xfId="0" applyAlignment="1" applyBorder="1" applyFont="1">
      <alignment horizontal="center" readingOrder="0"/>
    </xf>
    <xf borderId="181" fillId="5" fontId="80" numFmtId="0" xfId="0" applyAlignment="1" applyBorder="1" applyFont="1">
      <alignment horizontal="left" readingOrder="0"/>
    </xf>
    <xf borderId="5" fillId="2" fontId="87" numFmtId="0" xfId="0" applyAlignment="1" applyBorder="1" applyFont="1">
      <alignment vertical="bottom"/>
    </xf>
    <xf borderId="64" fillId="8" fontId="80" numFmtId="0" xfId="0" applyAlignment="1" applyBorder="1" applyFont="1">
      <alignment readingOrder="0"/>
    </xf>
    <xf borderId="0" fillId="0" fontId="46" numFmtId="0" xfId="0" applyAlignment="1" applyFont="1">
      <alignment horizontal="center" readingOrder="0" vertical="bottom"/>
    </xf>
    <xf borderId="61" fillId="5" fontId="80" numFmtId="0" xfId="0" applyAlignment="1" applyBorder="1" applyFont="1">
      <alignment horizontal="left" readingOrder="0"/>
    </xf>
    <xf borderId="184" fillId="0" fontId="3" numFmtId="0" xfId="0" applyBorder="1" applyFont="1"/>
    <xf borderId="61" fillId="4" fontId="154" numFmtId="0" xfId="0" applyAlignment="1" applyBorder="1" applyFont="1">
      <alignment readingOrder="0" vertical="bottom"/>
    </xf>
    <xf borderId="155" fillId="2" fontId="87" numFmtId="0" xfId="0" applyAlignment="1" applyBorder="1" applyFont="1">
      <alignment vertical="bottom"/>
    </xf>
    <xf borderId="9" fillId="2" fontId="87" numFmtId="0" xfId="0" applyAlignment="1" applyBorder="1" applyFont="1">
      <alignment vertical="bottom"/>
    </xf>
    <xf borderId="180" fillId="2" fontId="87" numFmtId="0" xfId="0" applyAlignment="1" applyBorder="1" applyFont="1">
      <alignment vertical="bottom"/>
    </xf>
    <xf borderId="10" fillId="2" fontId="87" numFmtId="0" xfId="0" applyAlignment="1" applyBorder="1" applyFont="1">
      <alignment vertical="bottom"/>
    </xf>
    <xf borderId="15" fillId="41" fontId="46" numFmtId="0" xfId="0" applyAlignment="1" applyBorder="1" applyFont="1">
      <alignment vertical="center"/>
    </xf>
    <xf borderId="16" fillId="41" fontId="46" numFmtId="0" xfId="0" applyAlignment="1" applyBorder="1" applyFont="1">
      <alignment vertical="center"/>
    </xf>
    <xf borderId="17" fillId="41" fontId="46" numFmtId="0" xfId="0" applyAlignment="1" applyBorder="1" applyFont="1">
      <alignment vertical="center"/>
    </xf>
    <xf borderId="46" fillId="9" fontId="290" numFmtId="0" xfId="0" applyAlignment="1" applyBorder="1" applyFont="1">
      <alignment horizontal="center" readingOrder="0" vertical="center"/>
    </xf>
    <xf borderId="46" fillId="9" fontId="19" numFmtId="0" xfId="0" applyAlignment="1" applyBorder="1" applyFont="1">
      <alignment horizontal="center" readingOrder="0" vertical="bottom"/>
    </xf>
    <xf borderId="58" fillId="9" fontId="1" numFmtId="0" xfId="0" applyAlignment="1" applyBorder="1" applyFont="1">
      <alignment horizontal="left" readingOrder="0"/>
    </xf>
    <xf borderId="69" fillId="0" fontId="3" numFmtId="0" xfId="0" applyBorder="1" applyFont="1"/>
    <xf borderId="58" fillId="10" fontId="268" numFmtId="0" xfId="0" applyAlignment="1" applyBorder="1" applyFont="1">
      <alignment horizontal="left" readingOrder="0"/>
    </xf>
    <xf borderId="58" fillId="46" fontId="291" numFmtId="0" xfId="0" applyAlignment="1" applyBorder="1" applyFont="1">
      <alignment readingOrder="0" vertical="bottom"/>
    </xf>
    <xf borderId="43" fillId="41" fontId="13" numFmtId="0" xfId="0" applyBorder="1" applyFont="1"/>
    <xf borderId="59" fillId="41" fontId="13" numFmtId="0" xfId="0" applyBorder="1" applyFont="1"/>
    <xf borderId="44" fillId="41" fontId="13" numFmtId="0" xfId="0" applyBorder="1" applyFont="1"/>
    <xf borderId="69" fillId="41" fontId="13" numFmtId="0" xfId="0" applyBorder="1" applyFont="1"/>
    <xf borderId="120" fillId="10" fontId="268" numFmtId="0" xfId="0" applyAlignment="1" applyBorder="1" applyFont="1">
      <alignment horizontal="left" readingOrder="0"/>
    </xf>
    <xf borderId="62" fillId="41" fontId="46" numFmtId="0" xfId="0" applyAlignment="1" applyBorder="1" applyFont="1">
      <alignment vertical="center"/>
    </xf>
    <xf borderId="46" fillId="46" fontId="292" numFmtId="0" xfId="0" applyAlignment="1" applyBorder="1" applyFont="1">
      <alignment horizontal="center" readingOrder="0" vertical="center"/>
    </xf>
    <xf borderId="46" fillId="46" fontId="293" numFmtId="0" xfId="0" applyAlignment="1" applyBorder="1" applyFont="1">
      <alignment horizontal="center" readingOrder="0" vertical="bottom"/>
    </xf>
    <xf borderId="185" fillId="46" fontId="291" numFmtId="0" xfId="0" applyAlignment="1" applyBorder="1" applyFont="1">
      <alignment horizontal="left" readingOrder="0"/>
    </xf>
    <xf borderId="185" fillId="0" fontId="3" numFmtId="0" xfId="0" applyBorder="1" applyFont="1"/>
    <xf borderId="186" fillId="0" fontId="3" numFmtId="0" xfId="0" applyBorder="1" applyFont="1"/>
    <xf borderId="187" fillId="11" fontId="80" numFmtId="0" xfId="0" applyAlignment="1" applyBorder="1" applyFont="1">
      <alignment horizontal="left" readingOrder="0"/>
    </xf>
    <xf borderId="38" fillId="0" fontId="3" numFmtId="0" xfId="0" applyBorder="1" applyFont="1"/>
    <xf borderId="185" fillId="2" fontId="13" numFmtId="0" xfId="0" applyAlignment="1" applyBorder="1" applyFont="1">
      <alignment horizontal="center" readingOrder="0" vertical="center"/>
    </xf>
    <xf borderId="14" fillId="29" fontId="1" numFmtId="0" xfId="0" applyAlignment="1" applyBorder="1" applyFont="1">
      <alignment horizontal="left" readingOrder="0"/>
    </xf>
    <xf borderId="14" fillId="0" fontId="3" numFmtId="0" xfId="0" applyBorder="1" applyFont="1"/>
    <xf borderId="36" fillId="0" fontId="3" numFmtId="0" xfId="0" applyBorder="1" applyFont="1"/>
    <xf borderId="108" fillId="41" fontId="13" numFmtId="0" xfId="0" applyBorder="1" applyFont="1"/>
    <xf borderId="187" fillId="46" fontId="291" numFmtId="0" xfId="0" applyAlignment="1" applyBorder="1" applyFont="1">
      <alignment horizontal="left" readingOrder="0"/>
    </xf>
    <xf borderId="188" fillId="46" fontId="291" numFmtId="0" xfId="0" applyAlignment="1" applyBorder="1" applyFont="1">
      <alignment horizontal="center" readingOrder="0"/>
    </xf>
    <xf borderId="189" fillId="46" fontId="291" numFmtId="0" xfId="0" applyAlignment="1" applyBorder="1" applyFont="1">
      <alignment horizontal="left" readingOrder="0"/>
    </xf>
    <xf borderId="14" fillId="46" fontId="291" numFmtId="0" xfId="0" applyAlignment="1" applyBorder="1" applyFont="1">
      <alignment horizontal="left" readingOrder="0"/>
    </xf>
    <xf borderId="5" fillId="0" fontId="3" numFmtId="0" xfId="0" applyBorder="1" applyFont="1"/>
    <xf borderId="190" fillId="46" fontId="291" numFmtId="0" xfId="0" applyAlignment="1" applyBorder="1" applyFont="1">
      <alignment readingOrder="0" vertical="bottom"/>
    </xf>
    <xf borderId="14" fillId="11" fontId="80" numFmtId="0" xfId="0" applyAlignment="1" applyBorder="1" applyFont="1">
      <alignment horizontal="left" readingOrder="0"/>
    </xf>
    <xf borderId="66" fillId="8" fontId="9" numFmtId="0" xfId="0" applyAlignment="1" applyBorder="1" applyFont="1">
      <alignment readingOrder="0" vertical="bottom"/>
    </xf>
    <xf borderId="44" fillId="0" fontId="13" numFmtId="0" xfId="0" applyAlignment="1" applyBorder="1" applyFont="1">
      <alignment horizontal="center" readingOrder="0" vertical="bottom"/>
    </xf>
    <xf borderId="180" fillId="0" fontId="3" numFmtId="0" xfId="0" applyBorder="1" applyFont="1"/>
    <xf borderId="186" fillId="11" fontId="80" numFmtId="0" xfId="0" applyAlignment="1" applyBorder="1" applyFont="1">
      <alignment readingOrder="0" vertical="bottom"/>
    </xf>
    <xf borderId="66" fillId="8" fontId="9" numFmtId="0" xfId="0" applyAlignment="1" applyBorder="1" applyFont="1">
      <alignment readingOrder="0"/>
    </xf>
    <xf borderId="44" fillId="0" fontId="13" numFmtId="0" xfId="0" applyAlignment="1" applyBorder="1" applyFont="1">
      <alignment horizontal="center" readingOrder="0"/>
    </xf>
    <xf borderId="186" fillId="2" fontId="13" numFmtId="0" xfId="0" applyAlignment="1" applyBorder="1" applyFont="1">
      <alignment horizontal="center" readingOrder="0" vertical="center"/>
    </xf>
    <xf borderId="25" fillId="41" fontId="46" numFmtId="0" xfId="0" applyAlignment="1" applyBorder="1" applyFont="1">
      <alignment vertical="center"/>
    </xf>
    <xf borderId="46" fillId="7" fontId="294" numFmtId="0" xfId="0" applyAlignment="1" applyBorder="1" applyFont="1">
      <alignment horizontal="center" readingOrder="0" vertical="center"/>
    </xf>
    <xf borderId="46" fillId="7" fontId="92" numFmtId="0" xfId="0" applyAlignment="1" applyBorder="1" applyFont="1">
      <alignment horizontal="center" readingOrder="0" vertical="bottom"/>
    </xf>
    <xf borderId="58" fillId="8" fontId="295" numFmtId="0" xfId="0" applyAlignment="1" applyBorder="1" applyFont="1">
      <alignment horizontal="center" vertical="center"/>
    </xf>
    <xf borderId="185" fillId="7" fontId="222" numFmtId="0" xfId="0" applyAlignment="1" applyBorder="1" applyFont="1">
      <alignment readingOrder="0" vertical="bottom"/>
    </xf>
    <xf borderId="191" fillId="29" fontId="46" numFmtId="0" xfId="0" applyAlignment="1" applyBorder="1" applyFont="1">
      <alignment horizontal="left" readingOrder="0" vertical="center"/>
    </xf>
    <xf borderId="191" fillId="31" fontId="10" numFmtId="0" xfId="0" applyAlignment="1" applyBorder="1" applyFont="1">
      <alignment horizontal="left" readingOrder="0" vertical="center"/>
    </xf>
    <xf borderId="0" fillId="32" fontId="229" numFmtId="0" xfId="0" applyAlignment="1" applyFont="1">
      <alignment horizontal="left" readingOrder="0" vertical="center"/>
    </xf>
    <xf borderId="0" fillId="4" fontId="296" numFmtId="0" xfId="0" applyAlignment="1" applyFont="1">
      <alignment horizontal="center" readingOrder="0" vertical="center"/>
    </xf>
    <xf borderId="108" fillId="41" fontId="13" numFmtId="173" xfId="0" applyBorder="1" applyFont="1" applyNumberFormat="1"/>
    <xf borderId="192" fillId="41" fontId="13" numFmtId="173" xfId="0" applyBorder="1" applyFont="1" applyNumberFormat="1"/>
    <xf borderId="66" fillId="8" fontId="80" numFmtId="0" xfId="0" applyAlignment="1" applyBorder="1" applyFont="1">
      <alignment vertical="bottom"/>
    </xf>
    <xf borderId="44" fillId="0" fontId="46" numFmtId="0" xfId="0" applyAlignment="1" applyBorder="1" applyFont="1">
      <alignment horizontal="center" vertical="bottom"/>
    </xf>
    <xf borderId="61" fillId="7" fontId="222" numFmtId="0" xfId="0" applyAlignment="1" applyBorder="1" applyFont="1">
      <alignment readingOrder="0" vertical="bottom"/>
    </xf>
    <xf borderId="192" fillId="0" fontId="3" numFmtId="0" xfId="0" applyBorder="1" applyFont="1"/>
    <xf borderId="66" fillId="8" fontId="80" numFmtId="0" xfId="0" applyBorder="1" applyFont="1"/>
    <xf borderId="44" fillId="0" fontId="46" numFmtId="0" xfId="0" applyAlignment="1" applyBorder="1" applyFont="1">
      <alignment horizontal="center"/>
    </xf>
    <xf borderId="0" fillId="29" fontId="46" numFmtId="0" xfId="0" applyAlignment="1" applyFont="1">
      <alignment horizontal="left" readingOrder="0" vertical="center"/>
    </xf>
    <xf borderId="0" fillId="7" fontId="222" numFmtId="0" xfId="0" applyAlignment="1" applyFont="1">
      <alignment readingOrder="0" vertical="bottom"/>
    </xf>
    <xf borderId="0" fillId="31" fontId="10" numFmtId="0" xfId="0" applyAlignment="1" applyFont="1">
      <alignment horizontal="left" readingOrder="0" vertical="center"/>
    </xf>
    <xf borderId="120" fillId="8" fontId="80" numFmtId="0" xfId="0" applyAlignment="1" applyBorder="1" applyFont="1">
      <alignment readingOrder="0" vertical="bottom"/>
    </xf>
    <xf borderId="61" fillId="0" fontId="46" numFmtId="0" xfId="0" applyAlignment="1" applyBorder="1" applyFont="1">
      <alignment horizontal="center" readingOrder="0" vertical="center"/>
    </xf>
    <xf borderId="139" fillId="7" fontId="222" numFmtId="0" xfId="0" applyAlignment="1" applyBorder="1" applyFont="1">
      <alignment readingOrder="0" vertical="bottom"/>
    </xf>
    <xf borderId="52" fillId="8" fontId="80" numFmtId="0" xfId="0" applyAlignment="1" applyBorder="1" applyFont="1">
      <alignment readingOrder="0" vertical="bottom"/>
    </xf>
    <xf borderId="191" fillId="4" fontId="296" numFmtId="0" xfId="0" applyAlignment="1" applyBorder="1" applyFont="1">
      <alignment horizontal="center" readingOrder="0" vertical="center"/>
    </xf>
    <xf borderId="191" fillId="32" fontId="229" numFmtId="0" xfId="0" applyAlignment="1" applyBorder="1" applyFont="1">
      <alignment horizontal="left" readingOrder="0" vertical="center"/>
    </xf>
    <xf borderId="46" fillId="29" fontId="290" numFmtId="0" xfId="0" applyAlignment="1" applyBorder="1" applyFont="1">
      <alignment horizontal="center" readingOrder="0" vertical="center"/>
    </xf>
    <xf borderId="46" fillId="29" fontId="19" numFmtId="0" xfId="0" applyAlignment="1" applyBorder="1" applyFont="1">
      <alignment horizontal="center" readingOrder="0"/>
    </xf>
    <xf borderId="18" fillId="6" fontId="63" numFmtId="173" xfId="0" applyAlignment="1" applyBorder="1" applyFont="1" applyNumberFormat="1">
      <alignment horizontal="center" readingOrder="0" vertical="center"/>
    </xf>
    <xf borderId="5" fillId="2" fontId="13" numFmtId="0" xfId="0" applyAlignment="1" applyBorder="1" applyFont="1">
      <alignment vertical="bottom"/>
    </xf>
    <xf borderId="58" fillId="8" fontId="297" numFmtId="0" xfId="0" applyAlignment="1" applyBorder="1" applyFont="1">
      <alignment horizontal="center" readingOrder="0" vertical="top"/>
    </xf>
    <xf borderId="65" fillId="41" fontId="13" numFmtId="0" xfId="0" applyBorder="1" applyFont="1"/>
    <xf borderId="66" fillId="8" fontId="29" numFmtId="0" xfId="0" applyBorder="1" applyFont="1"/>
    <xf borderId="45" fillId="4" fontId="1" numFmtId="0" xfId="0" applyAlignment="1" applyBorder="1" applyFont="1">
      <alignment horizontal="center"/>
    </xf>
    <xf borderId="43" fillId="8" fontId="29" numFmtId="0" xfId="0" applyBorder="1" applyFont="1"/>
    <xf borderId="0" fillId="30" fontId="1" numFmtId="0" xfId="0" applyAlignment="1" applyFont="1">
      <alignment readingOrder="0"/>
    </xf>
    <xf borderId="58" fillId="41" fontId="13" numFmtId="0" xfId="0" applyAlignment="1" applyBorder="1" applyFont="1">
      <alignment horizontal="center" readingOrder="0" vertical="center"/>
    </xf>
    <xf borderId="59" fillId="41" fontId="13" numFmtId="0" xfId="0" applyAlignment="1" applyBorder="1" applyFont="1">
      <alignment horizontal="center" readingOrder="0" vertical="center"/>
    </xf>
    <xf borderId="59" fillId="41" fontId="13" numFmtId="173" xfId="0" applyBorder="1" applyFont="1" applyNumberFormat="1"/>
    <xf borderId="45" fillId="0" fontId="46" numFmtId="0" xfId="0" applyAlignment="1" applyBorder="1" applyFont="1">
      <alignment horizontal="center"/>
    </xf>
    <xf borderId="61" fillId="30" fontId="1" numFmtId="0" xfId="0" applyAlignment="1" applyBorder="1" applyFont="1">
      <alignment readingOrder="0"/>
    </xf>
    <xf borderId="120" fillId="8" fontId="10" numFmtId="0" xfId="0" applyAlignment="1" applyBorder="1" applyFont="1">
      <alignment horizontal="left" readingOrder="0" vertical="center"/>
    </xf>
    <xf borderId="120" fillId="0" fontId="247" numFmtId="0" xfId="0" applyAlignment="1" applyBorder="1" applyFont="1">
      <alignment horizontal="center" readingOrder="0" vertical="center"/>
    </xf>
    <xf borderId="42" fillId="30" fontId="1" numFmtId="0" xfId="0" applyAlignment="1" applyBorder="1" applyFont="1">
      <alignment readingOrder="0"/>
    </xf>
    <xf borderId="0" fillId="29" fontId="1" numFmtId="0" xfId="0" applyAlignment="1" applyFont="1">
      <alignment readingOrder="0" vertical="bottom"/>
    </xf>
    <xf borderId="45" fillId="0" fontId="46" numFmtId="0" xfId="0" applyAlignment="1" applyBorder="1" applyFont="1">
      <alignment horizontal="center" readingOrder="0"/>
    </xf>
    <xf borderId="191" fillId="30" fontId="46" numFmtId="0" xfId="0" applyAlignment="1" applyBorder="1" applyFont="1">
      <alignment horizontal="left" readingOrder="0" vertical="center"/>
    </xf>
    <xf borderId="46" fillId="29" fontId="19" numFmtId="0" xfId="0" applyAlignment="1" applyBorder="1" applyFont="1">
      <alignment horizontal="center" readingOrder="0" vertical="center"/>
    </xf>
    <xf borderId="108" fillId="8" fontId="298" numFmtId="0" xfId="0" applyAlignment="1" applyBorder="1" applyFont="1">
      <alignment horizontal="center" readingOrder="0" vertical="top"/>
    </xf>
    <xf borderId="120" fillId="8" fontId="29" numFmtId="0" xfId="0" applyAlignment="1" applyBorder="1" applyFont="1">
      <alignment horizontal="left" readingOrder="0" vertical="center"/>
    </xf>
    <xf borderId="120" fillId="4" fontId="224" numFmtId="0" xfId="0" applyAlignment="1" applyBorder="1" applyFont="1">
      <alignment horizontal="center" readingOrder="0" vertical="center"/>
    </xf>
    <xf borderId="42" fillId="7" fontId="222" numFmtId="0" xfId="0" applyAlignment="1" applyBorder="1" applyFont="1">
      <alignment readingOrder="0" vertical="center"/>
    </xf>
    <xf borderId="121" fillId="8" fontId="10" numFmtId="0" xfId="0" applyAlignment="1" applyBorder="1" applyFont="1">
      <alignment horizontal="left" readingOrder="0" vertical="center"/>
    </xf>
    <xf borderId="121" fillId="0" fontId="247" numFmtId="0" xfId="0" applyAlignment="1" applyBorder="1" applyFont="1">
      <alignment horizontal="center" readingOrder="0" vertical="center"/>
    </xf>
    <xf borderId="0" fillId="46" fontId="80" numFmtId="0" xfId="0" applyAlignment="1" applyFont="1">
      <alignment horizontal="left" readingOrder="0" vertical="center"/>
    </xf>
    <xf borderId="134" fillId="46" fontId="80" numFmtId="0" xfId="0" applyAlignment="1" applyBorder="1" applyFont="1">
      <alignment horizontal="left" readingOrder="0" vertical="center"/>
    </xf>
    <xf borderId="0" fillId="44" fontId="46" numFmtId="0" xfId="0" applyAlignment="1" applyFont="1">
      <alignment horizontal="left" readingOrder="0" vertical="center"/>
    </xf>
    <xf borderId="58" fillId="41" fontId="13" numFmtId="0" xfId="0" applyAlignment="1" applyBorder="1" applyFont="1">
      <alignment horizontal="left" vertical="center"/>
    </xf>
    <xf borderId="59" fillId="41" fontId="13" numFmtId="0" xfId="0" applyAlignment="1" applyBorder="1" applyFont="1">
      <alignment horizontal="center" vertical="center"/>
    </xf>
    <xf borderId="59" fillId="41" fontId="46" numFmtId="0" xfId="0" applyAlignment="1" applyBorder="1" applyFont="1">
      <alignment horizontal="left" vertical="center"/>
    </xf>
    <xf borderId="59" fillId="41" fontId="46" numFmtId="0" xfId="0" applyAlignment="1" applyBorder="1" applyFont="1">
      <alignment vertical="center"/>
    </xf>
    <xf borderId="69" fillId="41" fontId="46" numFmtId="0" xfId="0" applyAlignment="1" applyBorder="1" applyFont="1">
      <alignment vertical="center"/>
    </xf>
    <xf borderId="0" fillId="30" fontId="299" numFmtId="0" xfId="0" applyAlignment="1" applyFont="1">
      <alignment horizontal="left" readingOrder="0" vertical="center"/>
    </xf>
    <xf borderId="46" fillId="30" fontId="285" numFmtId="0" xfId="0" applyAlignment="1" applyBorder="1" applyFont="1">
      <alignment horizontal="center" readingOrder="0" vertical="center"/>
    </xf>
    <xf borderId="46" fillId="30" fontId="25" numFmtId="0" xfId="0" applyAlignment="1" applyBorder="1" applyFont="1">
      <alignment horizontal="center" readingOrder="0" vertical="center"/>
    </xf>
    <xf borderId="0" fillId="30" fontId="80" numFmtId="0" xfId="0" applyAlignment="1" applyFont="1">
      <alignment readingOrder="0" vertical="center"/>
    </xf>
    <xf borderId="0" fillId="36" fontId="80" numFmtId="0" xfId="0" applyAlignment="1" applyFont="1">
      <alignment readingOrder="0" vertical="center"/>
    </xf>
    <xf borderId="0" fillId="7" fontId="222" numFmtId="0" xfId="0" applyAlignment="1" applyFont="1">
      <alignment readingOrder="0" vertical="center"/>
    </xf>
    <xf borderId="42" fillId="11" fontId="46" numFmtId="0" xfId="0" applyAlignment="1" applyBorder="1" applyFont="1">
      <alignment readingOrder="0" vertical="center"/>
    </xf>
    <xf borderId="42" fillId="11" fontId="1" numFmtId="0" xfId="0" applyAlignment="1" applyBorder="1" applyFont="1">
      <alignment readingOrder="0" vertical="center"/>
    </xf>
    <xf borderId="134" fillId="30" fontId="80" numFmtId="0" xfId="0" applyAlignment="1" applyBorder="1" applyFont="1">
      <alignment horizontal="left" readingOrder="0" vertical="center"/>
    </xf>
    <xf borderId="139" fillId="7" fontId="222" numFmtId="0" xfId="0" applyAlignment="1" applyBorder="1" applyFont="1">
      <alignment readingOrder="0" vertical="center"/>
    </xf>
    <xf borderId="48" fillId="41" fontId="13" numFmtId="0" xfId="0" applyBorder="1" applyFont="1"/>
    <xf borderId="16" fillId="41" fontId="13" numFmtId="0" xfId="0" applyBorder="1" applyFont="1"/>
    <xf borderId="17" fillId="41" fontId="13" numFmtId="0" xfId="0" applyBorder="1" applyFont="1"/>
    <xf borderId="21" fillId="2" fontId="300" numFmtId="0" xfId="0" applyAlignment="1" applyBorder="1" applyFont="1">
      <alignment horizontal="center" readingOrder="0" vertical="center"/>
    </xf>
    <xf borderId="187" fillId="0" fontId="3" numFmtId="0" xfId="0" applyBorder="1" applyFont="1"/>
    <xf borderId="0" fillId="33" fontId="242" numFmtId="0" xfId="0" applyAlignment="1" applyFont="1">
      <alignment horizontal="center" readingOrder="0" vertical="bottom"/>
    </xf>
    <xf borderId="44" fillId="0" fontId="301" numFmtId="0" xfId="0" applyAlignment="1" applyBorder="1" applyFont="1">
      <alignment horizontal="left" readingOrder="0" vertical="bottom"/>
    </xf>
    <xf borderId="44" fillId="0" fontId="301" numFmtId="0" xfId="0" applyAlignment="1" applyBorder="1" applyFont="1">
      <alignment horizontal="center" readingOrder="0" vertical="bottom"/>
    </xf>
    <xf borderId="44" fillId="0" fontId="13" numFmtId="0" xfId="0" applyAlignment="1" applyBorder="1" applyFont="1">
      <alignment vertical="bottom"/>
    </xf>
    <xf borderId="44" fillId="0" fontId="301" numFmtId="0" xfId="0" applyAlignment="1" applyBorder="1" applyFont="1">
      <alignment horizontal="center" vertical="bottom"/>
    </xf>
    <xf borderId="44" fillId="0" fontId="301" numFmtId="0" xfId="0" applyAlignment="1" applyBorder="1" applyFont="1">
      <alignment horizontal="center" readingOrder="0"/>
    </xf>
    <xf borderId="44" fillId="0" fontId="301" numFmtId="0" xfId="0" applyAlignment="1" applyBorder="1" applyFont="1">
      <alignment horizontal="left" vertical="bottom"/>
    </xf>
    <xf borderId="44" fillId="0" fontId="243" numFmtId="0" xfId="0" applyAlignment="1" applyBorder="1" applyFont="1">
      <alignment horizontal="center" vertical="bottom"/>
    </xf>
    <xf borderId="60" fillId="0" fontId="13" numFmtId="0" xfId="0" applyAlignment="1" applyBorder="1" applyFont="1">
      <alignment vertical="bottom"/>
    </xf>
    <xf borderId="58" fillId="0" fontId="301" numFmtId="0" xfId="0" applyAlignment="1" applyBorder="1" applyFont="1">
      <alignment horizontal="center" readingOrder="0" vertical="bottom"/>
    </xf>
    <xf borderId="120" fillId="0" fontId="13" numFmtId="0" xfId="0" applyAlignment="1" applyBorder="1" applyFont="1">
      <alignment vertical="bottom"/>
    </xf>
    <xf borderId="58" fillId="0" fontId="301" numFmtId="0" xfId="0" applyAlignment="1" applyBorder="1" applyFont="1">
      <alignment horizontal="center" shrinkToFit="0" vertical="bottom" wrapText="0"/>
    </xf>
    <xf borderId="120" fillId="0" fontId="243" numFmtId="0" xfId="0" applyAlignment="1" applyBorder="1" applyFont="1">
      <alignment horizontal="center" vertical="bottom"/>
    </xf>
    <xf borderId="58" fillId="0" fontId="243" numFmtId="0" xfId="0" applyAlignment="1" applyBorder="1" applyFont="1">
      <alignment horizontal="center" shrinkToFit="0" vertical="bottom" wrapText="0"/>
    </xf>
    <xf borderId="58" fillId="0" fontId="301" numFmtId="0" xfId="0" applyAlignment="1" applyBorder="1" applyFont="1">
      <alignment horizontal="center" vertical="bottom"/>
    </xf>
    <xf borderId="0" fillId="0" fontId="301" numFmtId="0" xfId="0" applyAlignment="1" applyFont="1">
      <alignment horizontal="center" vertical="bottom"/>
    </xf>
    <xf borderId="66" fillId="23" fontId="244" numFmtId="0" xfId="0" applyAlignment="1" applyBorder="1" applyFont="1">
      <alignment horizontal="center" vertical="bottom"/>
    </xf>
    <xf borderId="66" fillId="23" fontId="13" numFmtId="0" xfId="0" applyAlignment="1" applyBorder="1" applyFont="1">
      <alignment vertical="bottom"/>
    </xf>
    <xf borderId="43" fillId="23" fontId="13" numFmtId="0" xfId="0" applyAlignment="1" applyBorder="1" applyFont="1">
      <alignment vertical="bottom"/>
    </xf>
    <xf borderId="44" fillId="8" fontId="13" numFmtId="0" xfId="0" applyAlignment="1" applyBorder="1" applyFont="1">
      <alignment vertical="bottom"/>
    </xf>
    <xf borderId="45" fillId="23" fontId="13" numFmtId="0" xfId="0" applyAlignment="1" applyBorder="1" applyFont="1">
      <alignment vertical="bottom"/>
    </xf>
    <xf borderId="66" fillId="8" fontId="13" numFmtId="0" xfId="0" applyAlignment="1" applyBorder="1" applyFont="1">
      <alignment vertical="bottom"/>
    </xf>
    <xf borderId="120" fillId="23" fontId="13" numFmtId="0" xfId="0" applyAlignment="1" applyBorder="1" applyFont="1">
      <alignment vertical="bottom"/>
    </xf>
    <xf borderId="120" fillId="8" fontId="13" numFmtId="0" xfId="0" applyAlignment="1" applyBorder="1" applyFont="1">
      <alignment vertical="bottom"/>
    </xf>
    <xf borderId="120" fillId="23" fontId="244" numFmtId="0" xfId="0" applyAlignment="1" applyBorder="1" applyFont="1">
      <alignment horizontal="center" vertical="bottom"/>
    </xf>
    <xf borderId="120" fillId="8" fontId="244" numFmtId="0" xfId="0" applyAlignment="1" applyBorder="1" applyFont="1">
      <alignment horizontal="center" vertical="bottom"/>
    </xf>
    <xf borderId="0" fillId="33" fontId="4" numFmtId="0" xfId="0" applyAlignment="1" applyFont="1">
      <alignment horizontal="center" readingOrder="0" vertical="bottom"/>
    </xf>
    <xf borderId="193" fillId="0" fontId="46" numFmtId="0" xfId="0" applyAlignment="1" applyBorder="1" applyFont="1">
      <alignment horizontal="center" vertical="bottom"/>
    </xf>
    <xf borderId="194" fillId="0" fontId="302" numFmtId="174" xfId="0" applyAlignment="1" applyBorder="1" applyFont="1" applyNumberFormat="1">
      <alignment readingOrder="0" vertical="bottom"/>
    </xf>
    <xf borderId="195" fillId="8" fontId="46" numFmtId="0" xfId="0" applyAlignment="1" applyBorder="1" applyFont="1">
      <alignment vertical="bottom"/>
    </xf>
    <xf borderId="147" fillId="0" fontId="46" numFmtId="0" xfId="0" applyAlignment="1" applyBorder="1" applyFont="1">
      <alignment vertical="bottom"/>
    </xf>
    <xf borderId="193" fillId="8" fontId="13" numFmtId="0" xfId="0" applyAlignment="1" applyBorder="1" applyFont="1">
      <alignment horizontal="center" vertical="bottom"/>
    </xf>
    <xf borderId="193" fillId="8" fontId="46" numFmtId="0" xfId="0" applyAlignment="1" applyBorder="1" applyFont="1">
      <alignment horizontal="center" vertical="bottom"/>
    </xf>
    <xf borderId="193" fillId="0" fontId="46" numFmtId="0" xfId="0" applyAlignment="1" applyBorder="1" applyFont="1">
      <alignment horizontal="center" readingOrder="0" vertical="bottom"/>
    </xf>
    <xf borderId="0" fillId="56" fontId="18" numFmtId="0" xfId="0" applyAlignment="1" applyFont="1">
      <alignment readingOrder="0" vertical="bottom"/>
    </xf>
    <xf borderId="0" fillId="56" fontId="303" numFmtId="0" xfId="0" applyAlignment="1" applyFont="1">
      <alignment readingOrder="0" vertical="bottom"/>
    </xf>
    <xf borderId="0" fillId="56" fontId="13" numFmtId="0" xfId="0" applyAlignment="1" applyFont="1">
      <alignment vertical="bottom"/>
    </xf>
    <xf borderId="0" fillId="56" fontId="284" numFmtId="0" xfId="0" applyAlignment="1" applyFont="1">
      <alignment readingOrder="0" vertical="bottom"/>
    </xf>
    <xf borderId="0" fillId="56" fontId="13" numFmtId="0" xfId="0" applyAlignment="1" applyFont="1">
      <alignment readingOrder="0" vertical="bottom"/>
    </xf>
    <xf borderId="0" fillId="8" fontId="13" numFmtId="0" xfId="0" applyAlignment="1" applyFont="1">
      <alignment vertical="bottom"/>
    </xf>
    <xf borderId="0" fillId="4" fontId="18" numFmtId="0" xfId="0" applyAlignment="1" applyFont="1">
      <alignment readingOrder="0" shrinkToFit="0" vertical="bottom" wrapText="0"/>
    </xf>
    <xf borderId="0" fillId="0" fontId="304" numFmtId="0" xfId="0" applyAlignment="1" applyFont="1">
      <alignment readingOrder="0" vertical="bottom"/>
    </xf>
    <xf borderId="0" fillId="0" fontId="305" numFmtId="0" xfId="0" applyAlignment="1" applyFont="1">
      <alignment readingOrder="0" vertical="bottom"/>
    </xf>
    <xf borderId="0" fillId="56" fontId="18" numFmtId="0" xfId="0" applyAlignment="1" applyFont="1">
      <alignment readingOrder="0" shrinkToFit="0" vertical="bottom" wrapText="0"/>
    </xf>
    <xf borderId="0" fillId="4" fontId="18" numFmtId="0" xfId="0" applyAlignment="1" applyFont="1">
      <alignment readingOrder="0" vertical="bottom"/>
    </xf>
    <xf borderId="0" fillId="0" fontId="13" numFmtId="0" xfId="0" applyAlignment="1" applyFont="1">
      <alignment readingOrder="0" vertical="bottom"/>
    </xf>
    <xf borderId="0" fillId="0" fontId="287" numFmtId="0" xfId="0" applyAlignment="1" applyFont="1">
      <alignment readingOrder="0"/>
    </xf>
    <xf borderId="0" fillId="0" fontId="306" numFmtId="0" xfId="0" applyAlignment="1" applyFont="1">
      <alignment readingOrder="0"/>
    </xf>
    <xf borderId="0" fillId="0" fontId="287" numFmtId="0" xfId="0" applyAlignment="1" applyFont="1">
      <alignment readingOrder="0" vertical="bottom"/>
    </xf>
    <xf borderId="0" fillId="0" fontId="307" numFmtId="0" xfId="0" applyAlignment="1" applyFont="1">
      <alignment readingOrder="0" vertical="bottom"/>
    </xf>
    <xf borderId="0" fillId="0" fontId="13" numFmtId="0" xfId="0" applyAlignment="1" applyFont="1">
      <alignment readingOrder="0" vertical="bottom"/>
    </xf>
    <xf borderId="0" fillId="0" fontId="14" numFmtId="0" xfId="0" applyAlignment="1" applyFont="1">
      <alignment vertical="bottom"/>
    </xf>
    <xf borderId="0" fillId="8" fontId="29" numFmtId="0" xfId="0" applyAlignment="1" applyFont="1">
      <alignment readingOrder="0" shrinkToFit="0" vertical="bottom" wrapText="0"/>
    </xf>
    <xf borderId="0" fillId="0" fontId="46" numFmtId="0" xfId="0" applyAlignment="1" applyFont="1">
      <alignment readingOrder="0" vertical="bottom"/>
    </xf>
    <xf borderId="0" fillId="0" fontId="283" numFmtId="0" xfId="0" applyFont="1"/>
    <xf borderId="0" fillId="0" fontId="247" numFmtId="0" xfId="0" applyAlignment="1" applyFont="1">
      <alignment horizontal="center" readingOrder="0" vertical="bottom"/>
    </xf>
    <xf borderId="0" fillId="0" fontId="247" numFmtId="0" xfId="0" applyAlignment="1" applyFont="1">
      <alignment horizontal="center" readingOrder="0"/>
    </xf>
    <xf borderId="0" fillId="0" fontId="63" numFmtId="0" xfId="0" applyAlignment="1" applyFont="1">
      <alignment readingOrder="0" vertical="bottom"/>
    </xf>
    <xf borderId="0" fillId="0" fontId="63" numFmtId="0" xfId="0" applyAlignment="1" applyFont="1">
      <alignment horizontal="center" readingOrder="0" vertical="bottom"/>
    </xf>
    <xf borderId="0" fillId="0" fontId="63" numFmtId="0" xfId="0" applyAlignment="1" applyFont="1">
      <alignment horizontal="center" readingOrder="0"/>
    </xf>
    <xf borderId="0" fillId="8" fontId="308" numFmtId="0" xfId="0" applyAlignment="1" applyFont="1">
      <alignment readingOrder="0" vertical="bottom"/>
    </xf>
    <xf borderId="0" fillId="8" fontId="14" numFmtId="0" xfId="0" applyAlignment="1" applyFont="1">
      <alignment vertical="bottom"/>
    </xf>
    <xf borderId="0" fillId="37" fontId="29" numFmtId="0" xfId="0" applyAlignment="1" applyFont="1">
      <alignment horizontal="center"/>
    </xf>
    <xf borderId="0" fillId="37" fontId="80" numFmtId="0" xfId="0" applyAlignment="1" applyFont="1">
      <alignment horizontal="right" vertical="bottom"/>
    </xf>
    <xf borderId="0" fillId="37" fontId="80" numFmtId="10" xfId="0" applyAlignment="1" applyFont="1" applyNumberFormat="1">
      <alignment horizontal="right" vertical="bottom"/>
    </xf>
    <xf borderId="0" fillId="37" fontId="29" numFmtId="10" xfId="0" applyAlignment="1" applyFont="1" applyNumberFormat="1">
      <alignment horizontal="center" readingOrder="0"/>
    </xf>
    <xf borderId="0" fillId="37" fontId="29" numFmtId="10" xfId="0" applyAlignment="1" applyFont="1" applyNumberFormat="1">
      <alignment horizontal="center"/>
    </xf>
    <xf borderId="0" fillId="37" fontId="29" numFmtId="0" xfId="0" applyAlignment="1" applyFont="1">
      <alignment horizontal="center" readingOrder="0"/>
    </xf>
    <xf borderId="0" fillId="0" fontId="46" numFmtId="0" xfId="0" applyAlignment="1" applyFont="1">
      <alignment vertical="bottom"/>
    </xf>
    <xf borderId="0" fillId="34" fontId="63" numFmtId="0" xfId="0" applyAlignment="1" applyFont="1">
      <alignment horizontal="center"/>
    </xf>
    <xf borderId="0" fillId="34" fontId="63" numFmtId="10" xfId="0" applyAlignment="1" applyFont="1" applyNumberFormat="1">
      <alignment horizontal="center" readingOrder="0"/>
    </xf>
    <xf borderId="120" fillId="36" fontId="29" numFmtId="0" xfId="0" applyAlignment="1" applyBorder="1" applyFont="1">
      <alignment horizontal="center"/>
    </xf>
    <xf borderId="120" fillId="36" fontId="29" numFmtId="10" xfId="0" applyAlignment="1" applyBorder="1" applyFont="1" applyNumberFormat="1">
      <alignment horizontal="center"/>
    </xf>
    <xf borderId="0" fillId="8" fontId="13" numFmtId="0" xfId="0" applyFont="1"/>
    <xf borderId="120" fillId="29" fontId="18" numFmtId="10" xfId="0" applyAlignment="1" applyBorder="1" applyFont="1" applyNumberFormat="1">
      <alignment horizontal="center" readingOrder="0" vertical="center"/>
    </xf>
    <xf borderId="120" fillId="10" fontId="24" numFmtId="0" xfId="0" applyAlignment="1" applyBorder="1" applyFont="1">
      <alignment horizontal="center"/>
    </xf>
    <xf borderId="120" fillId="10" fontId="24" numFmtId="10" xfId="0" applyAlignment="1" applyBorder="1" applyFont="1" applyNumberFormat="1">
      <alignment horizontal="center"/>
    </xf>
    <xf borderId="120" fillId="5" fontId="29" numFmtId="0" xfId="0" applyAlignment="1" applyBorder="1" applyFont="1">
      <alignment horizontal="center"/>
    </xf>
    <xf borderId="120" fillId="5" fontId="29" numFmtId="10" xfId="0" applyAlignment="1" applyBorder="1" applyFont="1" applyNumberFormat="1">
      <alignment horizontal="center"/>
    </xf>
    <xf borderId="0" fillId="8" fontId="14" numFmtId="0" xfId="0" applyAlignment="1" applyFont="1">
      <alignment vertical="bottom"/>
    </xf>
    <xf borderId="0" fillId="34" fontId="46" numFmtId="0" xfId="0" applyAlignment="1" applyFont="1">
      <alignment horizontal="right" vertical="bottom"/>
    </xf>
    <xf borderId="0" fillId="34" fontId="46" numFmtId="10" xfId="0" applyAlignment="1" applyFont="1" applyNumberFormat="1">
      <alignment horizontal="right" vertical="bottom"/>
    </xf>
    <xf borderId="0" fillId="50" fontId="250" numFmtId="0" xfId="0" applyAlignment="1" applyFont="1">
      <alignment horizontal="center" readingOrder="0"/>
    </xf>
    <xf borderId="0" fillId="50" fontId="250" numFmtId="0" xfId="0" applyAlignment="1" applyFont="1">
      <alignment horizontal="center"/>
    </xf>
    <xf borderId="0" fillId="50" fontId="250" numFmtId="10" xfId="0" applyAlignment="1" applyFont="1" applyNumberFormat="1">
      <alignment horizontal="center" readingOrder="0"/>
    </xf>
    <xf borderId="120" fillId="51" fontId="251" numFmtId="0" xfId="0" applyAlignment="1" applyBorder="1" applyFont="1">
      <alignment horizontal="center"/>
    </xf>
    <xf borderId="120" fillId="51" fontId="251" numFmtId="10" xfId="0" applyAlignment="1" applyBorder="1" applyFont="1" applyNumberFormat="1">
      <alignment horizontal="center"/>
    </xf>
    <xf borderId="0" fillId="7" fontId="29" numFmtId="0" xfId="0" applyAlignment="1" applyFont="1">
      <alignment horizontal="center"/>
    </xf>
    <xf borderId="120" fillId="30" fontId="29" numFmtId="0" xfId="0" applyAlignment="1" applyBorder="1" applyFont="1">
      <alignment horizontal="center"/>
    </xf>
    <xf borderId="120" fillId="30" fontId="29" numFmtId="10" xfId="0" applyAlignment="1" applyBorder="1" applyFont="1" applyNumberFormat="1">
      <alignment horizontal="center"/>
    </xf>
    <xf borderId="66" fillId="7" fontId="22" numFmtId="0" xfId="0" applyAlignment="1" applyBorder="1" applyFont="1">
      <alignment horizontal="center" vertical="center"/>
    </xf>
    <xf borderId="66" fillId="7" fontId="22" numFmtId="10" xfId="0" applyAlignment="1" applyBorder="1" applyFont="1" applyNumberFormat="1">
      <alignment horizontal="center" vertical="center"/>
    </xf>
    <xf borderId="120" fillId="46" fontId="252" numFmtId="0" xfId="0" applyAlignment="1" applyBorder="1" applyFont="1">
      <alignment horizontal="center"/>
    </xf>
    <xf borderId="120" fillId="46" fontId="252" numFmtId="10" xfId="0" applyAlignment="1" applyBorder="1" applyFont="1" applyNumberFormat="1">
      <alignment horizontal="center"/>
    </xf>
    <xf borderId="0" fillId="9" fontId="18" numFmtId="0" xfId="0" applyAlignment="1" applyFont="1">
      <alignment horizontal="center"/>
    </xf>
    <xf borderId="0" fillId="9" fontId="18" numFmtId="10" xfId="0" applyAlignment="1" applyFont="1" applyNumberFormat="1">
      <alignment horizontal="center"/>
    </xf>
    <xf borderId="0" fillId="50" fontId="250" numFmtId="0" xfId="0" applyAlignment="1" applyFont="1">
      <alignment horizontal="center"/>
    </xf>
    <xf borderId="0" fillId="50" fontId="278" numFmtId="0" xfId="0" applyAlignment="1" applyFont="1">
      <alignment horizontal="right" vertical="bottom"/>
    </xf>
    <xf borderId="0" fillId="50" fontId="278" numFmtId="10" xfId="0" applyAlignment="1" applyFont="1" applyNumberFormat="1">
      <alignment horizontal="right" vertical="bottom"/>
    </xf>
    <xf borderId="58" fillId="32" fontId="253" numFmtId="10" xfId="0" applyAlignment="1" applyBorder="1" applyFont="1" applyNumberFormat="1">
      <alignment horizontal="center" readingOrder="0" vertical="center"/>
    </xf>
    <xf borderId="120" fillId="4" fontId="254" numFmtId="0" xfId="0" applyAlignment="1" applyBorder="1" applyFont="1">
      <alignment horizontal="center"/>
    </xf>
    <xf borderId="120" fillId="4" fontId="254" numFmtId="10" xfId="0" applyAlignment="1" applyBorder="1" applyFont="1" applyNumberFormat="1">
      <alignment horizontal="center"/>
    </xf>
    <xf borderId="0" fillId="37" fontId="48" numFmtId="0" xfId="0" applyAlignment="1" applyFont="1">
      <alignment horizontal="center" readingOrder="0"/>
    </xf>
    <xf borderId="120" fillId="37" fontId="29" numFmtId="0" xfId="0" applyAlignment="1" applyBorder="1" applyFont="1">
      <alignment horizontal="center"/>
    </xf>
    <xf borderId="120" fillId="37" fontId="29" numFmtId="10" xfId="0" applyAlignment="1" applyBorder="1" applyFont="1" applyNumberFormat="1">
      <alignment horizontal="center"/>
    </xf>
    <xf borderId="120" fillId="11" fontId="29" numFmtId="0" xfId="0" applyAlignment="1" applyBorder="1" applyFont="1">
      <alignment horizontal="center"/>
    </xf>
    <xf borderId="120" fillId="11" fontId="29" numFmtId="10" xfId="0" applyAlignment="1" applyBorder="1" applyFont="1" applyNumberFormat="1">
      <alignment horizontal="center"/>
    </xf>
    <xf borderId="120" fillId="10" fontId="24" numFmtId="0" xfId="0" applyAlignment="1" applyBorder="1" applyFont="1">
      <alignment horizontal="center" vertical="bottom"/>
    </xf>
    <xf borderId="120" fillId="10" fontId="24" numFmtId="10" xfId="0" applyAlignment="1" applyBorder="1" applyFont="1" applyNumberFormat="1">
      <alignment horizontal="center" vertical="bottom"/>
    </xf>
    <xf borderId="0" fillId="52" fontId="29" numFmtId="0" xfId="0" applyAlignment="1" applyFont="1">
      <alignment horizontal="center"/>
    </xf>
    <xf borderId="0" fillId="52" fontId="80" numFmtId="0" xfId="0" applyAlignment="1" applyFont="1">
      <alignment horizontal="right" vertical="bottom"/>
    </xf>
    <xf borderId="0" fillId="52" fontId="80" numFmtId="10" xfId="0" applyAlignment="1" applyFont="1" applyNumberFormat="1">
      <alignment horizontal="right" vertical="bottom"/>
    </xf>
    <xf borderId="58" fillId="25" fontId="29" numFmtId="10" xfId="0" applyAlignment="1" applyBorder="1" applyFont="1" applyNumberFormat="1">
      <alignment horizontal="center" readingOrder="0" vertical="center"/>
    </xf>
    <xf borderId="0" fillId="34" fontId="63" numFmtId="10" xfId="0" applyAlignment="1" applyFont="1" applyNumberFormat="1">
      <alignment horizontal="center"/>
    </xf>
    <xf borderId="120" fillId="54" fontId="29" numFmtId="0" xfId="0" applyAlignment="1" applyBorder="1" applyFont="1">
      <alignment horizontal="center"/>
    </xf>
    <xf borderId="120" fillId="54" fontId="29" numFmtId="10" xfId="0" applyAlignment="1" applyBorder="1" applyFont="1" applyNumberFormat="1">
      <alignment horizontal="center"/>
    </xf>
    <xf borderId="0" fillId="11" fontId="18" numFmtId="0" xfId="0" applyAlignment="1" applyFont="1">
      <alignment horizontal="center"/>
    </xf>
    <xf borderId="0" fillId="11" fontId="18" numFmtId="10" xfId="0" applyAlignment="1" applyFont="1" applyNumberFormat="1">
      <alignment horizontal="center"/>
    </xf>
    <xf borderId="0" fillId="0" fontId="29" numFmtId="0" xfId="0" applyAlignment="1" applyFont="1">
      <alignment horizontal="center"/>
    </xf>
    <xf borderId="0" fillId="8" fontId="29" numFmtId="0" xfId="0" applyAlignment="1" applyFont="1">
      <alignment horizontal="center"/>
    </xf>
    <xf borderId="120" fillId="31" fontId="29" numFmtId="0" xfId="0" applyAlignment="1" applyBorder="1" applyFont="1">
      <alignment horizontal="center"/>
    </xf>
    <xf borderId="120" fillId="31" fontId="29" numFmtId="10" xfId="0" applyAlignment="1" applyBorder="1" applyFont="1" applyNumberFormat="1">
      <alignment horizontal="center"/>
    </xf>
    <xf borderId="66" fillId="7" fontId="22" numFmtId="0" xfId="0" applyAlignment="1" applyBorder="1" applyFont="1">
      <alignment horizontal="center"/>
    </xf>
    <xf borderId="66" fillId="7" fontId="22" numFmtId="10" xfId="0" applyAlignment="1" applyBorder="1" applyFont="1" applyNumberFormat="1">
      <alignment horizontal="center"/>
    </xf>
    <xf borderId="0" fillId="32" fontId="253" numFmtId="0" xfId="0" applyAlignment="1" applyFont="1">
      <alignment horizontal="center"/>
    </xf>
    <xf borderId="0" fillId="32" fontId="245" numFmtId="0" xfId="0" applyAlignment="1" applyFont="1">
      <alignment horizontal="right" vertical="bottom"/>
    </xf>
    <xf borderId="0" fillId="32" fontId="245" numFmtId="10" xfId="0" applyAlignment="1" applyFont="1" applyNumberFormat="1">
      <alignment horizontal="right" vertical="bottom"/>
    </xf>
    <xf borderId="0" fillId="53" fontId="29" numFmtId="0" xfId="0" applyAlignment="1" applyFont="1">
      <alignment horizontal="center"/>
    </xf>
    <xf borderId="0" fillId="53" fontId="29" numFmtId="10" xfId="0" applyAlignment="1" applyFont="1" applyNumberFormat="1">
      <alignment horizontal="center"/>
    </xf>
    <xf borderId="120" fillId="55" fontId="29" numFmtId="0" xfId="0" applyAlignment="1" applyBorder="1" applyFont="1">
      <alignment horizontal="center"/>
    </xf>
    <xf borderId="7" fillId="13" fontId="18" numFmtId="0" xfId="0" applyAlignment="1" applyBorder="1" applyFont="1">
      <alignment horizontal="center"/>
    </xf>
    <xf borderId="7" fillId="13" fontId="18" numFmtId="10" xfId="0" applyAlignment="1" applyBorder="1" applyFont="1" applyNumberFormat="1">
      <alignment horizontal="center"/>
    </xf>
    <xf borderId="0" fillId="53" fontId="80" numFmtId="0" xfId="0" applyAlignment="1" applyFont="1">
      <alignment horizontal="right" vertical="bottom"/>
    </xf>
    <xf borderId="0" fillId="53" fontId="80" numFmtId="10" xfId="0" applyAlignment="1" applyFont="1" applyNumberFormat="1">
      <alignment horizontal="right" vertical="bottom"/>
    </xf>
    <xf borderId="58" fillId="58" fontId="29" numFmtId="10" xfId="0" applyAlignment="1" applyBorder="1" applyFont="1" applyNumberFormat="1">
      <alignment horizontal="center" readingOrder="0" vertical="center"/>
    </xf>
    <xf borderId="58" fillId="60" fontId="264" numFmtId="10" xfId="0" applyAlignment="1" applyBorder="1" applyFont="1" applyNumberFormat="1">
      <alignment horizontal="center" readingOrder="0" vertical="center"/>
    </xf>
    <xf borderId="120" fillId="55" fontId="29" numFmtId="10" xfId="0" applyAlignment="1" applyBorder="1" applyFont="1" applyNumberFormat="1">
      <alignment horizontal="center"/>
    </xf>
    <xf borderId="120" fillId="13" fontId="29" numFmtId="0" xfId="0" applyAlignment="1" applyBorder="1" applyFont="1">
      <alignment horizontal="center"/>
    </xf>
    <xf borderId="120" fillId="38" fontId="18" numFmtId="0" xfId="0" applyAlignment="1" applyBorder="1" applyFont="1">
      <alignment horizontal="center"/>
    </xf>
    <xf borderId="120" fillId="38" fontId="18" numFmtId="10" xfId="0" applyAlignment="1" applyBorder="1" applyFont="1" applyNumberFormat="1">
      <alignment horizontal="center"/>
    </xf>
    <xf borderId="120" fillId="13" fontId="250" numFmtId="0" xfId="0" applyAlignment="1" applyBorder="1" applyFont="1">
      <alignment horizontal="center"/>
    </xf>
    <xf borderId="120" fillId="13" fontId="250" numFmtId="10" xfId="0" applyAlignment="1" applyBorder="1" applyFont="1" applyNumberFormat="1">
      <alignment horizontal="center"/>
    </xf>
    <xf borderId="0" fillId="9" fontId="18" numFmtId="0" xfId="0" applyAlignment="1" applyFont="1">
      <alignment horizontal="center" readingOrder="0"/>
    </xf>
    <xf borderId="0" fillId="9" fontId="18" numFmtId="10" xfId="0" applyAlignment="1" applyFont="1" applyNumberFormat="1">
      <alignment horizontal="center" readingOrder="0"/>
    </xf>
    <xf borderId="0" fillId="0" fontId="13" numFmtId="10" xfId="0" applyAlignment="1" applyFont="1" applyNumberFormat="1">
      <alignment readingOrder="0" vertical="bottom"/>
    </xf>
    <xf borderId="0" fillId="11" fontId="29" numFmtId="0" xfId="0" applyAlignment="1" applyFont="1">
      <alignment horizontal="center"/>
    </xf>
    <xf borderId="0" fillId="11" fontId="80" numFmtId="0" xfId="0" applyAlignment="1" applyFont="1">
      <alignment horizontal="right" vertical="bottom"/>
    </xf>
    <xf borderId="0" fillId="11" fontId="80" numFmtId="10" xfId="0" applyAlignment="1" applyFont="1" applyNumberFormat="1">
      <alignment horizontal="right" vertical="bottom"/>
    </xf>
    <xf borderId="0" fillId="11" fontId="29" numFmtId="10" xfId="0" applyAlignment="1" applyFont="1" applyNumberFormat="1">
      <alignment horizontal="center"/>
    </xf>
    <xf borderId="58" fillId="54" fontId="252" numFmtId="10" xfId="0" applyAlignment="1" applyBorder="1" applyFont="1" applyNumberFormat="1">
      <alignment horizontal="center" readingOrder="0" vertical="center"/>
    </xf>
    <xf borderId="196" fillId="7" fontId="29" numFmtId="0" xfId="0" applyAlignment="1" applyBorder="1" applyFont="1">
      <alignment horizontal="center" readingOrder="0" vertical="center"/>
    </xf>
    <xf borderId="197" fillId="29" fontId="63" numFmtId="0" xfId="0" applyAlignment="1" applyBorder="1" applyFont="1">
      <alignment horizontal="center"/>
    </xf>
    <xf borderId="197" fillId="29" fontId="63" numFmtId="10" xfId="0" applyAlignment="1" applyBorder="1" applyFont="1" applyNumberFormat="1">
      <alignment horizontal="center"/>
    </xf>
    <xf borderId="197" fillId="51" fontId="251" numFmtId="0" xfId="0" applyAlignment="1" applyBorder="1" applyFont="1">
      <alignment horizontal="center"/>
    </xf>
    <xf borderId="120" fillId="32" fontId="29" numFmtId="0" xfId="0" applyAlignment="1" applyBorder="1" applyFont="1">
      <alignment horizontal="center"/>
    </xf>
    <xf borderId="120" fillId="32" fontId="29" numFmtId="10" xfId="0" applyAlignment="1" applyBorder="1" applyFont="1" applyNumberFormat="1">
      <alignment horizontal="center"/>
    </xf>
    <xf borderId="120" fillId="32" fontId="253" numFmtId="0" xfId="0" applyAlignment="1" applyBorder="1" applyFont="1">
      <alignment horizontal="center"/>
    </xf>
    <xf borderId="120" fillId="32" fontId="253" numFmtId="10" xfId="0" applyAlignment="1" applyBorder="1" applyFont="1" applyNumberFormat="1">
      <alignment horizontal="center"/>
    </xf>
    <xf borderId="0" fillId="0" fontId="9" numFmtId="0" xfId="0" applyAlignment="1" applyFont="1">
      <alignment readingOrder="0" vertical="bottom"/>
    </xf>
    <xf borderId="0" fillId="25" fontId="29" numFmtId="0" xfId="0" applyAlignment="1" applyFont="1">
      <alignment horizontal="center" readingOrder="0"/>
    </xf>
    <xf borderId="0" fillId="25" fontId="80" numFmtId="0" xfId="0" applyAlignment="1" applyFont="1">
      <alignment horizontal="right" vertical="bottom"/>
    </xf>
    <xf borderId="0" fillId="25" fontId="80" numFmtId="10" xfId="0" applyAlignment="1" applyFont="1" applyNumberFormat="1">
      <alignment horizontal="right" vertical="bottom"/>
    </xf>
    <xf borderId="7" fillId="54" fontId="29" numFmtId="0" xfId="0" applyAlignment="1" applyBorder="1" applyFont="1">
      <alignment horizontal="center"/>
    </xf>
    <xf borderId="0" fillId="54" fontId="29" numFmtId="0" xfId="0" applyAlignment="1" applyFont="1">
      <alignment horizontal="center"/>
    </xf>
    <xf borderId="0" fillId="54" fontId="29" numFmtId="10" xfId="0" applyAlignment="1" applyFont="1" applyNumberFormat="1">
      <alignment horizontal="center"/>
    </xf>
    <xf borderId="7" fillId="11" fontId="29" numFmtId="0" xfId="0" applyAlignment="1" applyBorder="1" applyFont="1">
      <alignment horizontal="center"/>
    </xf>
    <xf borderId="58" fillId="19" fontId="256" numFmtId="10" xfId="0" applyAlignment="1" applyBorder="1" applyFont="1" applyNumberFormat="1">
      <alignment horizontal="center" readingOrder="0" vertical="center"/>
    </xf>
    <xf borderId="0" fillId="0" fontId="14" numFmtId="0" xfId="0" applyAlignment="1" applyFont="1">
      <alignment readingOrder="0" vertical="bottom"/>
    </xf>
    <xf borderId="0" fillId="0" fontId="13" numFmtId="9" xfId="0" applyAlignment="1" applyFont="1" applyNumberFormat="1">
      <alignment readingOrder="0" vertical="bottom"/>
    </xf>
    <xf borderId="120" fillId="34" fontId="63" numFmtId="0" xfId="0" applyAlignment="1" applyBorder="1" applyFont="1">
      <alignment horizontal="center"/>
    </xf>
    <xf borderId="120" fillId="34" fontId="63" numFmtId="10" xfId="0" applyAlignment="1" applyBorder="1" applyFont="1" applyNumberFormat="1">
      <alignment horizontal="center"/>
    </xf>
    <xf borderId="197" fillId="33" fontId="262" numFmtId="0" xfId="0" applyAlignment="1" applyBorder="1" applyFont="1">
      <alignment horizontal="center"/>
    </xf>
    <xf borderId="197" fillId="33" fontId="262" numFmtId="10" xfId="0" applyAlignment="1" applyBorder="1" applyFont="1" applyNumberFormat="1">
      <alignment horizontal="center"/>
    </xf>
    <xf borderId="0" fillId="54" fontId="80" numFmtId="0" xfId="0" applyAlignment="1" applyFont="1">
      <alignment horizontal="right" vertical="bottom"/>
    </xf>
    <xf borderId="0" fillId="54" fontId="80" numFmtId="10" xfId="0" applyAlignment="1" applyFont="1" applyNumberFormat="1">
      <alignment horizontal="right" vertical="bottom"/>
    </xf>
    <xf borderId="0" fillId="0" fontId="247" numFmtId="0" xfId="0" applyAlignment="1" applyFont="1">
      <alignment vertical="bottom"/>
    </xf>
    <xf borderId="107" fillId="0" fontId="283" numFmtId="0" xfId="0" applyAlignment="1" applyBorder="1" applyFont="1">
      <alignment vertical="bottom"/>
    </xf>
    <xf borderId="107" fillId="0" fontId="283" numFmtId="10" xfId="0" applyAlignment="1" applyBorder="1" applyFont="1" applyNumberFormat="1">
      <alignment vertical="bottom"/>
    </xf>
    <xf borderId="107" fillId="0" fontId="283" numFmtId="9" xfId="0" applyAlignment="1" applyBorder="1" applyFont="1" applyNumberFormat="1">
      <alignment readingOrder="0" vertical="bottom"/>
    </xf>
    <xf borderId="0" fillId="0" fontId="283" numFmtId="0" xfId="0" applyAlignment="1" applyFont="1">
      <alignment vertical="bottom"/>
    </xf>
    <xf borderId="0" fillId="0" fontId="283" numFmtId="0" xfId="0" applyAlignment="1" applyFont="1">
      <alignment readingOrder="0" vertical="bottom"/>
    </xf>
    <xf borderId="0" fillId="0" fontId="283" numFmtId="9" xfId="0" applyAlignment="1" applyFont="1" applyNumberFormat="1">
      <alignment readingOrder="0" vertical="bottom"/>
    </xf>
    <xf borderId="196" fillId="52" fontId="29" numFmtId="0" xfId="0" applyAlignment="1" applyBorder="1" applyFont="1">
      <alignment horizontal="center" readingOrder="0" vertical="center"/>
    </xf>
    <xf borderId="196" fillId="52" fontId="29" numFmtId="10" xfId="0" applyAlignment="1" applyBorder="1" applyFont="1" applyNumberFormat="1">
      <alignment horizontal="center" readingOrder="0" vertical="center"/>
    </xf>
    <xf borderId="0" fillId="0" fontId="13" numFmtId="0" xfId="0" applyAlignment="1" applyFont="1">
      <alignment readingOrder="0" shrinkToFit="0" vertical="bottom" wrapText="1"/>
    </xf>
    <xf borderId="0" fillId="0" fontId="283" numFmtId="0" xfId="0" applyAlignment="1" applyFont="1">
      <alignment horizontal="right" readingOrder="0"/>
    </xf>
    <xf borderId="0" fillId="0" fontId="283" numFmtId="10" xfId="0" applyAlignment="1" applyFont="1" applyNumberFormat="1">
      <alignment horizontal="right" readingOrder="0"/>
    </xf>
    <xf borderId="0" fillId="0" fontId="85" numFmtId="0" xfId="0" applyAlignment="1" applyFont="1">
      <alignment horizontal="left"/>
    </xf>
    <xf borderId="0" fillId="62" fontId="80" numFmtId="0" xfId="0" applyAlignment="1" applyFont="1">
      <alignment horizontal="center" vertical="bottom"/>
    </xf>
    <xf borderId="0" fillId="62" fontId="80" numFmtId="0" xfId="0" applyAlignment="1" applyFont="1">
      <alignment horizontal="right" vertical="bottom"/>
    </xf>
    <xf borderId="0" fillId="62" fontId="80" numFmtId="10" xfId="0" applyAlignment="1" applyFont="1" applyNumberFormat="1">
      <alignment horizontal="right" vertical="bottom"/>
    </xf>
    <xf borderId="0" fillId="0" fontId="13" numFmtId="10" xfId="0" applyAlignment="1" applyFont="1" applyNumberFormat="1">
      <alignment vertical="bottom"/>
    </xf>
    <xf borderId="120" fillId="40" fontId="266" numFmtId="0" xfId="0" applyAlignment="1" applyBorder="1" applyFont="1">
      <alignment horizontal="center"/>
    </xf>
    <xf borderId="120" fillId="40" fontId="266" numFmtId="10" xfId="0" applyAlignment="1" applyBorder="1" applyFont="1" applyNumberFormat="1">
      <alignment horizontal="center"/>
    </xf>
    <xf borderId="7" fillId="17" fontId="18" numFmtId="0" xfId="0" applyAlignment="1" applyBorder="1" applyFont="1">
      <alignment horizontal="center" readingOrder="0" vertical="center"/>
    </xf>
    <xf borderId="7" fillId="17" fontId="1" numFmtId="0" xfId="0" applyAlignment="1" applyBorder="1" applyFont="1">
      <alignment readingOrder="0" vertical="bottom"/>
    </xf>
    <xf borderId="7" fillId="17" fontId="1" numFmtId="10" xfId="0" applyAlignment="1" applyBorder="1" applyFont="1" applyNumberFormat="1">
      <alignment readingOrder="0" vertical="bottom"/>
    </xf>
    <xf borderId="197" fillId="39" fontId="29" numFmtId="0" xfId="0" applyAlignment="1" applyBorder="1" applyFont="1">
      <alignment horizontal="center"/>
    </xf>
    <xf borderId="197" fillId="39" fontId="29" numFmtId="10" xfId="0" applyAlignment="1" applyBorder="1" applyFont="1" applyNumberFormat="1">
      <alignment horizontal="center"/>
    </xf>
    <xf borderId="107" fillId="0" fontId="13" numFmtId="0" xfId="0" applyAlignment="1" applyBorder="1" applyFont="1">
      <alignment vertical="bottom"/>
    </xf>
    <xf borderId="107" fillId="0" fontId="13" numFmtId="10" xfId="0" applyAlignment="1" applyBorder="1" applyFont="1" applyNumberFormat="1">
      <alignment vertical="bottom"/>
    </xf>
    <xf borderId="0" fillId="0" fontId="283" numFmtId="0" xfId="0" applyAlignment="1" applyFont="1">
      <alignment horizontal="right" vertical="bottom"/>
    </xf>
    <xf borderId="0" fillId="0" fontId="283" numFmtId="10" xfId="0" applyAlignment="1" applyFont="1" applyNumberFormat="1">
      <alignment vertical="bottom"/>
    </xf>
    <xf borderId="0" fillId="0" fontId="3" numFmtId="0" xfId="0" applyAlignment="1" applyFont="1">
      <alignment horizontal="center" readingOrder="0"/>
    </xf>
    <xf borderId="113" fillId="17" fontId="136" numFmtId="0" xfId="0" applyAlignment="1" applyBorder="1" applyFont="1">
      <alignment horizontal="center" readingOrder="0" vertical="center"/>
    </xf>
    <xf borderId="120" fillId="41" fontId="309" numFmtId="0" xfId="0" applyAlignment="1" applyBorder="1" applyFont="1">
      <alignment horizontal="center" readingOrder="0" vertical="center"/>
    </xf>
    <xf borderId="121" fillId="41" fontId="309" numFmtId="0" xfId="0" applyAlignment="1" applyBorder="1" applyFont="1">
      <alignment horizontal="center" readingOrder="0" vertical="center"/>
    </xf>
    <xf borderId="120" fillId="41" fontId="310" numFmtId="0" xfId="0" applyAlignment="1" applyBorder="1" applyFont="1">
      <alignment horizontal="center" readingOrder="0" vertical="center"/>
    </xf>
    <xf borderId="1" fillId="2" fontId="296" numFmtId="0" xfId="0" applyAlignment="1" applyBorder="1" applyFont="1">
      <alignment horizontal="left" readingOrder="0"/>
    </xf>
    <xf borderId="113" fillId="3" fontId="311" numFmtId="0" xfId="0" applyAlignment="1" applyBorder="1" applyFont="1">
      <alignment horizontal="center" readingOrder="0" vertical="center"/>
    </xf>
    <xf borderId="198" fillId="0" fontId="3" numFmtId="0" xfId="0" applyBorder="1" applyFont="1"/>
    <xf borderId="199" fillId="0" fontId="3" numFmtId="0" xfId="0" applyBorder="1" applyFont="1"/>
    <xf borderId="6" fillId="66" fontId="80" numFmtId="0" xfId="0" applyAlignment="1" applyBorder="1" applyFill="1" applyFont="1">
      <alignment horizontal="center" readingOrder="0" vertical="center"/>
    </xf>
    <xf borderId="115" fillId="43" fontId="29" numFmtId="0" xfId="0" applyAlignment="1" applyBorder="1" applyFont="1">
      <alignment horizontal="center" readingOrder="0" vertical="center"/>
    </xf>
    <xf borderId="119" fillId="43" fontId="312" numFmtId="0" xfId="0" applyAlignment="1" applyBorder="1" applyFont="1">
      <alignment horizontal="center" readingOrder="0" vertical="center"/>
    </xf>
    <xf borderId="118" fillId="43" fontId="313" numFmtId="0" xfId="0" applyAlignment="1" applyBorder="1" applyFont="1">
      <alignment horizontal="center" readingOrder="0" vertical="center"/>
    </xf>
    <xf borderId="119" fillId="43" fontId="313" numFmtId="0" xfId="0" applyAlignment="1" applyBorder="1" applyFont="1">
      <alignment horizontal="center" readingOrder="0" vertical="center"/>
    </xf>
    <xf borderId="115" fillId="0" fontId="247" numFmtId="0" xfId="0" applyAlignment="1" applyBorder="1" applyFont="1">
      <alignment horizontal="center" readingOrder="0" vertical="center"/>
    </xf>
    <xf borderId="119" fillId="0" fontId="46" numFmtId="0" xfId="0" applyAlignment="1" applyBorder="1" applyFont="1">
      <alignment horizontal="center" readingOrder="0" vertical="center"/>
    </xf>
    <xf borderId="119" fillId="0" fontId="247" numFmtId="0" xfId="0" applyAlignment="1" applyBorder="1" applyFont="1">
      <alignment horizontal="center" readingOrder="0" vertical="center"/>
    </xf>
    <xf borderId="200" fillId="0" fontId="247" numFmtId="0" xfId="0" applyAlignment="1" applyBorder="1" applyFont="1">
      <alignment horizontal="center" readingOrder="0" vertical="center"/>
    </xf>
    <xf borderId="12" fillId="2" fontId="245" numFmtId="0" xfId="0" applyAlignment="1" applyBorder="1" applyFont="1">
      <alignment horizontal="left" readingOrder="0"/>
    </xf>
    <xf borderId="119" fillId="4" fontId="1" numFmtId="0" xfId="0" applyAlignment="1" applyBorder="1" applyFont="1">
      <alignment horizontal="center" readingOrder="0" vertical="center"/>
    </xf>
    <xf borderId="201" fillId="0" fontId="247" numFmtId="0" xfId="0" applyAlignment="1" applyBorder="1" applyFont="1">
      <alignment horizontal="center" readingOrder="0"/>
    </xf>
    <xf borderId="201" fillId="0" fontId="247" numFmtId="0" xfId="0" applyAlignment="1" applyBorder="1" applyFont="1">
      <alignment horizontal="center" readingOrder="0" vertical="center"/>
    </xf>
    <xf borderId="202" fillId="0" fontId="247" numFmtId="0" xfId="0" applyAlignment="1" applyBorder="1" applyFont="1">
      <alignment horizontal="center" readingOrder="0" vertical="center"/>
    </xf>
    <xf borderId="202" fillId="0" fontId="46" numFmtId="0" xfId="0" applyAlignment="1" applyBorder="1" applyFont="1">
      <alignment horizontal="center" readingOrder="0" vertical="center"/>
    </xf>
    <xf borderId="200" fillId="0" fontId="247" numFmtId="0" xfId="0" applyAlignment="1" applyBorder="1" applyFont="1">
      <alignment horizontal="center" readingOrder="0"/>
    </xf>
    <xf borderId="119" fillId="0" fontId="247" numFmtId="0" xfId="0" applyAlignment="1" applyBorder="1" applyFont="1">
      <alignment horizontal="center" readingOrder="0"/>
    </xf>
    <xf borderId="118" fillId="0" fontId="247" numFmtId="0" xfId="0" applyAlignment="1" applyBorder="1" applyFont="1">
      <alignment horizontal="center" readingOrder="0"/>
    </xf>
    <xf borderId="118" fillId="0" fontId="247" numFmtId="0" xfId="0" applyAlignment="1" applyBorder="1" applyFont="1">
      <alignment horizontal="center" readingOrder="0" vertical="center"/>
    </xf>
    <xf borderId="119" fillId="0" fontId="3" numFmtId="0" xfId="0" applyBorder="1" applyFont="1"/>
    <xf borderId="200" fillId="0" fontId="46" numFmtId="0" xfId="0" applyAlignment="1" applyBorder="1" applyFont="1">
      <alignment horizontal="center" readingOrder="0" vertical="center"/>
    </xf>
    <xf borderId="14" fillId="2" fontId="245" numFmtId="0" xfId="0" applyAlignment="1" applyBorder="1" applyFont="1">
      <alignment horizontal="left" readingOrder="0"/>
    </xf>
    <xf borderId="119" fillId="0" fontId="247" numFmtId="0" xfId="0" applyAlignment="1" applyBorder="1" applyFont="1">
      <alignment horizontal="center" readingOrder="0" shrinkToFit="0" vertical="center" wrapText="1"/>
    </xf>
    <xf borderId="202" fillId="0" fontId="247" numFmtId="0" xfId="0" applyAlignment="1" applyBorder="1" applyFont="1">
      <alignment horizontal="center" readingOrder="0" shrinkToFit="0" vertical="center" wrapText="1"/>
    </xf>
    <xf borderId="187" fillId="2" fontId="245" numFmtId="0" xfId="0" applyAlignment="1" applyBorder="1" applyFont="1">
      <alignment horizontal="left" readingOrder="0"/>
    </xf>
    <xf borderId="185" fillId="2" fontId="245" numFmtId="0" xfId="0" applyAlignment="1" applyBorder="1" applyFont="1">
      <alignment horizontal="left" readingOrder="0"/>
    </xf>
    <xf borderId="200" fillId="0" fontId="3" numFmtId="0" xfId="0" applyBorder="1" applyFont="1"/>
    <xf borderId="203" fillId="0" fontId="247" numFmtId="0" xfId="0" applyAlignment="1" applyBorder="1" applyFont="1">
      <alignment horizontal="center" readingOrder="0" vertical="center"/>
    </xf>
    <xf borderId="0" fillId="9" fontId="19" numFmtId="0" xfId="0" applyAlignment="1" applyFont="1">
      <alignment horizontal="center" readingOrder="0" vertical="top"/>
    </xf>
    <xf borderId="53" fillId="17" fontId="314" numFmtId="0" xfId="0" applyAlignment="1" applyBorder="1" applyFont="1">
      <alignment horizontal="center" vertical="bottom"/>
    </xf>
    <xf borderId="0" fillId="17" fontId="25" numFmtId="0" xfId="0" applyAlignment="1" applyFont="1">
      <alignment horizontal="center" vertical="bottom"/>
    </xf>
    <xf borderId="52" fillId="17" fontId="87" numFmtId="0" xfId="0" applyAlignment="1" applyBorder="1" applyFont="1">
      <alignment vertical="bottom"/>
    </xf>
    <xf borderId="204" fillId="17" fontId="29" numFmtId="0" xfId="0" applyAlignment="1" applyBorder="1" applyFont="1">
      <alignment horizontal="center" readingOrder="0"/>
    </xf>
    <xf borderId="35" fillId="17" fontId="87" numFmtId="0" xfId="0" applyAlignment="1" applyBorder="1" applyFont="1">
      <alignment vertical="bottom"/>
    </xf>
    <xf borderId="0" fillId="17" fontId="87" numFmtId="0" xfId="0" applyAlignment="1" applyFont="1">
      <alignment vertical="bottom"/>
    </xf>
    <xf borderId="42" fillId="18" fontId="1" numFmtId="0" xfId="0" applyAlignment="1" applyBorder="1" applyFont="1">
      <alignment horizontal="center"/>
    </xf>
    <xf borderId="42" fillId="19" fontId="1" numFmtId="0" xfId="0" applyAlignment="1" applyBorder="1" applyFont="1">
      <alignment horizontal="center"/>
    </xf>
    <xf borderId="47" fillId="4" fontId="47" numFmtId="0" xfId="0" applyAlignment="1" applyBorder="1" applyFont="1">
      <alignment horizontal="center"/>
    </xf>
    <xf borderId="0" fillId="4" fontId="47" numFmtId="0" xfId="0" applyAlignment="1" applyFont="1">
      <alignment horizontal="center" vertical="bottom"/>
    </xf>
    <xf borderId="47" fillId="10" fontId="23" numFmtId="0" xfId="0" applyAlignment="1" applyBorder="1" applyFont="1">
      <alignment horizontal="center" vertical="center"/>
    </xf>
    <xf borderId="64" fillId="10" fontId="315" numFmtId="0" xfId="0" applyAlignment="1" applyBorder="1" applyFont="1">
      <alignment readingOrder="0" vertical="bottom"/>
    </xf>
    <xf borderId="0" fillId="17" fontId="80" numFmtId="0" xfId="0" applyAlignment="1" applyFont="1">
      <alignment horizontal="center"/>
    </xf>
    <xf borderId="47" fillId="17" fontId="80" numFmtId="0" xfId="0" applyAlignment="1" applyBorder="1" applyFont="1">
      <alignment horizontal="center"/>
    </xf>
    <xf borderId="42" fillId="17" fontId="80" numFmtId="0" xfId="0" applyAlignment="1" applyBorder="1" applyFont="1">
      <alignment horizontal="center"/>
    </xf>
    <xf borderId="0" fillId="17" fontId="80" numFmtId="0" xfId="0" applyAlignment="1" applyFont="1">
      <alignment horizontal="center" vertical="bottom"/>
    </xf>
    <xf borderId="64" fillId="10" fontId="61" numFmtId="0" xfId="0" applyAlignment="1" applyBorder="1" applyFont="1">
      <alignment readingOrder="0" vertical="bottom"/>
    </xf>
    <xf borderId="64" fillId="4" fontId="47" numFmtId="0" xfId="0" applyAlignment="1" applyBorder="1" applyFont="1">
      <alignment horizontal="center"/>
    </xf>
    <xf borderId="47" fillId="46" fontId="316" numFmtId="0" xfId="0" applyAlignment="1" applyBorder="1" applyFont="1">
      <alignment horizontal="center" readingOrder="0" vertical="center"/>
    </xf>
    <xf borderId="64" fillId="46" fontId="252" numFmtId="0" xfId="0" applyAlignment="1" applyBorder="1" applyFont="1">
      <alignment readingOrder="0" vertical="center"/>
    </xf>
    <xf borderId="47" fillId="19" fontId="1" numFmtId="0" xfId="0" applyAlignment="1" applyBorder="1" applyFont="1">
      <alignment horizontal="center" vertical="bottom"/>
    </xf>
    <xf borderId="64" fillId="46" fontId="317" numFmtId="0" xfId="0" applyAlignment="1" applyBorder="1" applyFont="1">
      <alignment readingOrder="0" vertical="center"/>
    </xf>
    <xf borderId="64" fillId="46" fontId="317" numFmtId="0" xfId="0" applyAlignment="1" applyBorder="1" applyFont="1">
      <alignment readingOrder="0"/>
    </xf>
    <xf borderId="45" fillId="4" fontId="47" numFmtId="0" xfId="0" applyAlignment="1" applyBorder="1" applyFont="1">
      <alignment horizontal="center"/>
    </xf>
    <xf borderId="43" fillId="4" fontId="47" numFmtId="0" xfId="0" applyAlignment="1" applyBorder="1" applyFont="1">
      <alignment horizontal="center"/>
    </xf>
    <xf borderId="44" fillId="4" fontId="47" numFmtId="0" xfId="0" applyAlignment="1" applyBorder="1" applyFont="1">
      <alignment horizontal="center" vertical="bottom"/>
    </xf>
    <xf borderId="59" fillId="17" fontId="318" numFmtId="0" xfId="0" applyAlignment="1" applyBorder="1" applyFont="1">
      <alignment horizontal="center" readingOrder="0" vertical="center"/>
    </xf>
    <xf borderId="59" fillId="17" fontId="319" numFmtId="0" xfId="0" applyBorder="1" applyFont="1"/>
    <xf borderId="59" fillId="17" fontId="320" numFmtId="0" xfId="0" applyAlignment="1" applyBorder="1" applyFont="1">
      <alignment readingOrder="0"/>
    </xf>
    <xf borderId="60" fillId="17" fontId="321" numFmtId="0" xfId="0" applyBorder="1" applyFont="1"/>
    <xf borderId="0" fillId="17" fontId="322" numFmtId="0" xfId="0" applyFont="1"/>
    <xf borderId="47" fillId="18" fontId="1" numFmtId="0" xfId="0" applyAlignment="1" applyBorder="1" applyFont="1">
      <alignment horizontal="center"/>
    </xf>
    <xf borderId="47" fillId="31" fontId="4" numFmtId="0" xfId="0" applyAlignment="1" applyBorder="1" applyFont="1">
      <alignment horizontal="center" readingOrder="0" vertical="center"/>
    </xf>
    <xf borderId="0" fillId="31" fontId="29" numFmtId="0" xfId="0" applyAlignment="1" applyFont="1">
      <alignment readingOrder="0" vertical="bottom"/>
    </xf>
    <xf borderId="0" fillId="31" fontId="48" numFmtId="0" xfId="0" applyAlignment="1" applyFont="1">
      <alignment readingOrder="0" vertical="bottom"/>
    </xf>
    <xf borderId="64" fillId="29" fontId="17" numFmtId="0" xfId="0" applyAlignment="1" applyBorder="1" applyFont="1">
      <alignment horizontal="center" readingOrder="0" vertical="center"/>
    </xf>
    <xf borderId="0" fillId="29" fontId="72" numFmtId="0" xfId="0" applyAlignment="1" applyFont="1">
      <alignment readingOrder="0" vertical="center"/>
    </xf>
    <xf borderId="47" fillId="4" fontId="47" numFmtId="0" xfId="0" applyAlignment="1" applyBorder="1" applyFont="1">
      <alignment horizontal="center" readingOrder="0"/>
    </xf>
    <xf borderId="47" fillId="17" fontId="80" numFmtId="0" xfId="0" applyAlignment="1" applyBorder="1" applyFont="1">
      <alignment horizontal="center" vertical="bottom"/>
    </xf>
    <xf borderId="42" fillId="17" fontId="80" numFmtId="0" xfId="0" applyAlignment="1" applyBorder="1" applyFont="1">
      <alignment horizontal="center" vertical="bottom"/>
    </xf>
    <xf borderId="0" fillId="29" fontId="18" numFmtId="0" xfId="0" applyAlignment="1" applyFont="1">
      <alignment readingOrder="0" vertical="center"/>
    </xf>
    <xf borderId="0" fillId="29" fontId="50" numFmtId="0" xfId="0" applyAlignment="1" applyFont="1">
      <alignment readingOrder="0" vertical="center"/>
    </xf>
    <xf borderId="62" fillId="4" fontId="47" numFmtId="0" xfId="0" applyAlignment="1" applyBorder="1" applyFont="1">
      <alignment horizontal="center"/>
    </xf>
    <xf borderId="35" fillId="4" fontId="47" numFmtId="0" xfId="0" applyAlignment="1" applyBorder="1" applyFont="1">
      <alignment horizontal="center"/>
    </xf>
    <xf borderId="15" fillId="17" fontId="322" numFmtId="0" xfId="0" applyAlignment="1" applyBorder="1" applyFont="1">
      <alignment readingOrder="0"/>
    </xf>
    <xf borderId="16" fillId="17" fontId="322" numFmtId="0" xfId="0" applyAlignment="1" applyBorder="1" applyFont="1">
      <alignment readingOrder="0"/>
    </xf>
    <xf borderId="62" fillId="17" fontId="323" numFmtId="0" xfId="0" applyAlignment="1" applyBorder="1" applyFont="1">
      <alignment vertical="bottom"/>
    </xf>
    <xf borderId="27" fillId="17" fontId="322" numFmtId="0" xfId="0" applyAlignment="1" applyBorder="1" applyFont="1">
      <alignment readingOrder="0"/>
    </xf>
    <xf borderId="0" fillId="17" fontId="322" numFmtId="0" xfId="0" applyAlignment="1" applyFont="1">
      <alignment readingOrder="0"/>
    </xf>
    <xf borderId="0" fillId="0" fontId="46" numFmtId="9" xfId="0" applyAlignment="1" applyFont="1" applyNumberFormat="1">
      <alignment horizontal="right" vertical="bottom"/>
    </xf>
    <xf borderId="47" fillId="4" fontId="47" numFmtId="0" xfId="0" applyAlignment="1" applyBorder="1" applyFont="1">
      <alignment horizontal="center" readingOrder="0" vertical="center"/>
    </xf>
    <xf borderId="47" fillId="4" fontId="47" numFmtId="0" xfId="0" applyAlignment="1" applyBorder="1" applyFont="1">
      <alignment horizontal="center" vertical="center"/>
    </xf>
    <xf borderId="64" fillId="10" fontId="24" numFmtId="0" xfId="0" applyAlignment="1" applyBorder="1" applyFont="1">
      <alignment readingOrder="0" vertical="bottom"/>
    </xf>
    <xf borderId="64" fillId="46" fontId="252" numFmtId="0" xfId="0" applyAlignment="1" applyBorder="1" applyFont="1">
      <alignment readingOrder="0"/>
    </xf>
    <xf borderId="45" fillId="4" fontId="47" numFmtId="0" xfId="0" applyAlignment="1" applyBorder="1" applyFont="1">
      <alignment horizontal="center" vertical="center"/>
    </xf>
    <xf borderId="59" fillId="17" fontId="324" numFmtId="0" xfId="0" applyAlignment="1" applyBorder="1" applyFont="1">
      <alignment horizontal="center" vertical="center"/>
    </xf>
    <xf borderId="59" fillId="17" fontId="325" numFmtId="0" xfId="0" applyAlignment="1" applyBorder="1" applyFont="1">
      <alignment vertical="center"/>
    </xf>
    <xf borderId="45" fillId="17" fontId="326" numFmtId="0" xfId="0" applyAlignment="1" applyBorder="1" applyFont="1">
      <alignment horizontal="center" readingOrder="0" vertical="center"/>
    </xf>
    <xf borderId="60" fillId="17" fontId="327" numFmtId="0" xfId="0" applyAlignment="1" applyBorder="1" applyFont="1">
      <alignment vertical="center"/>
    </xf>
    <xf borderId="0" fillId="7" fontId="328" numFmtId="0" xfId="0" applyAlignment="1" applyFont="1">
      <alignment horizontal="left" readingOrder="0" vertical="center"/>
    </xf>
    <xf borderId="47" fillId="17" fontId="80" numFmtId="0" xfId="0" applyAlignment="1" applyBorder="1" applyFont="1">
      <alignment horizontal="center" vertical="center"/>
    </xf>
    <xf borderId="0" fillId="17" fontId="80" numFmtId="0" xfId="0" applyAlignment="1" applyFont="1">
      <alignment horizontal="center" vertical="center"/>
    </xf>
    <xf borderId="0" fillId="7" fontId="22" numFmtId="0" xfId="0" applyAlignment="1" applyFont="1">
      <alignment horizontal="left" readingOrder="0" vertical="center"/>
    </xf>
    <xf borderId="66" fillId="29" fontId="17" numFmtId="0" xfId="0" applyAlignment="1" applyBorder="1" applyFont="1">
      <alignment horizontal="center" readingOrder="0" vertical="center"/>
    </xf>
    <xf borderId="35" fillId="4" fontId="47" numFmtId="0" xfId="0" applyAlignment="1" applyBorder="1" applyFont="1">
      <alignment horizontal="center" vertical="center"/>
    </xf>
    <xf borderId="35" fillId="17" fontId="323" numFmtId="0" xfId="0" applyAlignment="1" applyBorder="1" applyFont="1">
      <alignment shrinkToFit="0" vertical="bottom" wrapText="0"/>
    </xf>
    <xf borderId="42" fillId="17" fontId="329" numFmtId="0" xfId="0" applyAlignment="1" applyBorder="1" applyFont="1">
      <alignment horizontal="center" readingOrder="0" vertical="bottom"/>
    </xf>
    <xf borderId="57" fillId="0" fontId="3" numFmtId="0" xfId="0" applyBorder="1" applyFont="1"/>
    <xf borderId="0" fillId="17" fontId="330" numFmtId="0" xfId="0" applyAlignment="1" applyFont="1">
      <alignment horizontal="center" vertical="bottom"/>
    </xf>
    <xf borderId="57" fillId="8" fontId="13" numFmtId="0" xfId="0" applyAlignment="1" applyBorder="1" applyFont="1">
      <alignment vertical="bottom"/>
    </xf>
    <xf borderId="94" fillId="17" fontId="330" numFmtId="0" xfId="0" applyAlignment="1" applyBorder="1" applyFont="1">
      <alignment vertical="bottom"/>
    </xf>
    <xf borderId="205" fillId="0" fontId="3" numFmtId="0" xfId="0" applyBorder="1" applyFont="1"/>
    <xf borderId="206" fillId="0" fontId="3" numFmtId="0" xfId="0" applyBorder="1" applyFont="1"/>
    <xf borderId="207" fillId="0" fontId="3" numFmtId="0" xfId="0" applyBorder="1" applyFont="1"/>
    <xf borderId="81" fillId="8" fontId="13" numFmtId="0" xfId="0" applyAlignment="1" applyBorder="1" applyFont="1">
      <alignment vertical="bottom"/>
    </xf>
    <xf borderId="0" fillId="17" fontId="330" numFmtId="0" xfId="0" applyAlignment="1" applyFont="1">
      <alignment horizontal="center" readingOrder="0" vertical="bottom"/>
    </xf>
    <xf borderId="208" fillId="8" fontId="13" numFmtId="0" xfId="0" applyAlignment="1" applyBorder="1" applyFont="1">
      <alignment vertical="bottom"/>
    </xf>
    <xf borderId="0" fillId="17" fontId="330" numFmtId="0" xfId="0" applyAlignment="1" applyFont="1">
      <alignment readingOrder="0" vertical="bottom"/>
    </xf>
    <xf borderId="32" fillId="17" fontId="330" numFmtId="0" xfId="0" applyAlignment="1" applyBorder="1" applyFont="1">
      <alignment shrinkToFit="0" vertical="bottom" wrapText="1"/>
    </xf>
    <xf borderId="57" fillId="17" fontId="25" numFmtId="0" xfId="0" applyAlignment="1" applyBorder="1" applyFont="1">
      <alignment horizontal="center" vertical="bottom"/>
    </xf>
    <xf borderId="57" fillId="17" fontId="330" numFmtId="0" xfId="0" applyAlignment="1" applyBorder="1" applyFont="1">
      <alignment vertical="bottom"/>
    </xf>
    <xf borderId="0" fillId="17" fontId="330" numFmtId="0" xfId="0" applyAlignment="1" applyFont="1">
      <alignment vertical="bottom"/>
    </xf>
    <xf borderId="7" fillId="8" fontId="13" numFmtId="0" xfId="0" applyAlignment="1" applyBorder="1" applyFont="1">
      <alignment vertical="center"/>
    </xf>
    <xf borderId="7" fillId="8" fontId="13" numFmtId="0" xfId="0" applyAlignment="1" applyBorder="1" applyFont="1">
      <alignment vertical="bottom"/>
    </xf>
    <xf borderId="209" fillId="8" fontId="13" numFmtId="0" xfId="0" applyAlignment="1" applyBorder="1" applyFont="1">
      <alignment shrinkToFit="0" vertical="bottom" wrapText="1"/>
    </xf>
    <xf borderId="7" fillId="8" fontId="46" numFmtId="0" xfId="0" applyAlignment="1" applyBorder="1" applyFont="1">
      <alignment horizontal="center" vertical="bottom"/>
    </xf>
    <xf borderId="105" fillId="8" fontId="13" numFmtId="0" xfId="0" applyAlignment="1" applyBorder="1" applyFont="1">
      <alignment vertical="bottom"/>
    </xf>
    <xf borderId="0" fillId="20" fontId="13" numFmtId="0" xfId="0" applyAlignment="1" applyFont="1">
      <alignment horizontal="center" vertical="center"/>
    </xf>
    <xf borderId="0" fillId="20" fontId="13" numFmtId="167" xfId="0" applyAlignment="1" applyFont="1" applyNumberFormat="1">
      <alignment horizontal="right" readingOrder="0" vertical="center"/>
    </xf>
    <xf borderId="64" fillId="8" fontId="13" numFmtId="0" xfId="0" applyAlignment="1" applyBorder="1" applyFont="1">
      <alignment vertical="bottom"/>
    </xf>
    <xf borderId="0" fillId="20" fontId="13" numFmtId="0" xfId="0" applyAlignment="1" applyFont="1">
      <alignment vertical="bottom"/>
    </xf>
    <xf borderId="64" fillId="8" fontId="331" numFmtId="0" xfId="0" applyAlignment="1" applyBorder="1" applyFont="1">
      <alignment vertical="bottom"/>
    </xf>
    <xf borderId="0" fillId="20" fontId="331" numFmtId="0" xfId="0" applyAlignment="1" applyFont="1">
      <alignment readingOrder="0" vertical="center"/>
    </xf>
    <xf borderId="32" fillId="20" fontId="331" numFmtId="0" xfId="0" applyAlignment="1" applyBorder="1" applyFont="1">
      <alignment readingOrder="0" shrinkToFit="0" vertical="bottom" wrapText="1"/>
    </xf>
    <xf borderId="0" fillId="0" fontId="46" numFmtId="0" xfId="0" applyAlignment="1" applyFont="1">
      <alignment horizontal="center" vertical="bottom"/>
    </xf>
    <xf borderId="57" fillId="0" fontId="13" numFmtId="167" xfId="0" applyAlignment="1" applyBorder="1" applyFont="1" applyNumberFormat="1">
      <alignment horizontal="right" vertical="bottom"/>
    </xf>
    <xf borderId="0" fillId="0" fontId="13" numFmtId="167" xfId="0" applyAlignment="1" applyFont="1" applyNumberFormat="1">
      <alignment horizontal="right" vertical="bottom"/>
    </xf>
    <xf borderId="94" fillId="0" fontId="13" numFmtId="0" xfId="0" applyAlignment="1" applyBorder="1" applyFont="1">
      <alignment vertical="bottom"/>
    </xf>
    <xf borderId="0" fillId="20" fontId="13" numFmtId="167" xfId="0" applyAlignment="1" applyFont="1" applyNumberFormat="1">
      <alignment horizontal="right" vertical="center"/>
    </xf>
    <xf borderId="32" fillId="20" fontId="332" numFmtId="0" xfId="0" applyAlignment="1" applyBorder="1" applyFont="1">
      <alignment readingOrder="0" shrinkToFit="0" vertical="bottom" wrapText="1"/>
    </xf>
    <xf borderId="0" fillId="0" fontId="46" numFmtId="0" xfId="0" applyAlignment="1" applyFont="1">
      <alignment horizontal="center" readingOrder="0" vertical="bottom"/>
    </xf>
    <xf borderId="0" fillId="20" fontId="13" numFmtId="0" xfId="0" applyAlignment="1" applyFont="1">
      <alignment horizontal="center" readingOrder="0" vertical="center"/>
    </xf>
    <xf borderId="0" fillId="20" fontId="13" numFmtId="0" xfId="0" applyAlignment="1" applyFont="1">
      <alignment readingOrder="0" vertical="bottom"/>
    </xf>
    <xf borderId="0" fillId="41" fontId="80" numFmtId="0" xfId="0" applyAlignment="1" applyFont="1">
      <alignment horizontal="center" readingOrder="0" vertical="center"/>
    </xf>
    <xf borderId="0" fillId="20" fontId="13" numFmtId="0" xfId="0" applyAlignment="1" applyFont="1">
      <alignment readingOrder="0" vertical="center"/>
    </xf>
    <xf borderId="32" fillId="20" fontId="13" numFmtId="0" xfId="0" applyAlignment="1" applyBorder="1" applyFont="1">
      <alignment readingOrder="0" shrinkToFit="0" vertical="bottom" wrapText="1"/>
    </xf>
    <xf borderId="0" fillId="20" fontId="13" numFmtId="0" xfId="0" applyAlignment="1" applyFont="1">
      <alignment readingOrder="0" vertical="center"/>
    </xf>
    <xf borderId="32" fillId="20" fontId="13" numFmtId="0" xfId="0" applyAlignment="1" applyBorder="1" applyFont="1">
      <alignment readingOrder="0" shrinkToFit="0" vertical="bottom" wrapText="1"/>
    </xf>
    <xf borderId="57" fillId="0" fontId="13" numFmtId="0" xfId="0" applyAlignment="1" applyBorder="1" applyFont="1">
      <alignment vertical="bottom"/>
    </xf>
    <xf borderId="7" fillId="20" fontId="13" numFmtId="0" xfId="0" applyAlignment="1" applyBorder="1" applyFont="1">
      <alignment horizontal="center" vertical="center"/>
    </xf>
    <xf borderId="7" fillId="20" fontId="13" numFmtId="167" xfId="0" applyAlignment="1" applyBorder="1" applyFont="1" applyNumberFormat="1">
      <alignment horizontal="right" vertical="center"/>
    </xf>
    <xf borderId="106" fillId="8" fontId="13" numFmtId="0" xfId="0" applyAlignment="1" applyBorder="1" applyFont="1">
      <alignment vertical="bottom"/>
    </xf>
    <xf borderId="7" fillId="20" fontId="13" numFmtId="0" xfId="0" applyAlignment="1" applyBorder="1" applyFont="1">
      <alignment vertical="bottom"/>
    </xf>
    <xf borderId="7" fillId="20" fontId="13" numFmtId="0" xfId="0" applyAlignment="1" applyBorder="1" applyFont="1">
      <alignment readingOrder="0" vertical="center"/>
    </xf>
    <xf borderId="209" fillId="20" fontId="13" numFmtId="0" xfId="0" applyAlignment="1" applyBorder="1" applyFont="1">
      <alignment readingOrder="0" shrinkToFit="0" vertical="bottom" wrapText="1"/>
    </xf>
    <xf borderId="7" fillId="0" fontId="46" numFmtId="0" xfId="0" applyAlignment="1" applyBorder="1" applyFont="1">
      <alignment horizontal="center" readingOrder="0" vertical="bottom"/>
    </xf>
    <xf borderId="210" fillId="0" fontId="13" numFmtId="0" xfId="0" applyAlignment="1" applyBorder="1" applyFont="1">
      <alignment vertical="bottom"/>
    </xf>
    <xf borderId="105" fillId="0" fontId="13" numFmtId="0" xfId="0" applyAlignment="1" applyBorder="1" applyFont="1">
      <alignment vertical="bottom"/>
    </xf>
    <xf borderId="0" fillId="9" fontId="46" numFmtId="0" xfId="0" applyAlignment="1" applyFont="1">
      <alignment horizontal="center" readingOrder="0" vertical="bottom"/>
    </xf>
    <xf borderId="0" fillId="7" fontId="222" numFmtId="0" xfId="0" applyAlignment="1" applyFont="1">
      <alignment horizontal="center" readingOrder="0" vertical="center"/>
    </xf>
    <xf borderId="32" fillId="20" fontId="13" numFmtId="0" xfId="0" applyAlignment="1" applyBorder="1" applyFont="1">
      <alignment shrinkToFit="0" vertical="bottom" wrapText="1"/>
    </xf>
    <xf borderId="0" fillId="31" fontId="10" numFmtId="0" xfId="0" applyAlignment="1" applyFont="1">
      <alignment horizontal="center" readingOrder="0" vertical="bottom"/>
    </xf>
    <xf borderId="0" fillId="41" fontId="80" numFmtId="0" xfId="0" applyAlignment="1" applyFont="1">
      <alignment horizontal="center" readingOrder="0" shrinkToFit="0" vertical="center" wrapText="1"/>
    </xf>
    <xf borderId="0" fillId="20" fontId="331" numFmtId="10" xfId="0" applyAlignment="1" applyFont="1" applyNumberFormat="1">
      <alignment readingOrder="0" vertical="center"/>
    </xf>
    <xf borderId="32" fillId="20" fontId="331" numFmtId="10" xfId="0" applyAlignment="1" applyBorder="1" applyFont="1" applyNumberFormat="1">
      <alignment readingOrder="0" shrinkToFit="0" vertical="bottom" wrapText="1"/>
    </xf>
    <xf borderId="32" fillId="20" fontId="331" numFmtId="0" xfId="0" applyAlignment="1" applyBorder="1" applyFont="1">
      <alignment readingOrder="0" shrinkToFit="0" vertical="bottom" wrapText="1"/>
    </xf>
    <xf borderId="94" fillId="0" fontId="13" numFmtId="0" xfId="0" applyAlignment="1" applyBorder="1" applyFont="1">
      <alignment readingOrder="0" vertical="bottom"/>
    </xf>
    <xf borderId="32" fillId="20" fontId="331" numFmtId="0" xfId="0" applyAlignment="1" applyBorder="1" applyFont="1">
      <alignment shrinkToFit="0" vertical="bottom" wrapText="1"/>
    </xf>
    <xf borderId="42" fillId="8" fontId="13" numFmtId="0" xfId="0" applyAlignment="1" applyBorder="1" applyFont="1">
      <alignment vertical="bottom"/>
    </xf>
    <xf borderId="107" fillId="67" fontId="46" numFmtId="0" xfId="0" applyAlignment="1" applyBorder="1" applyFill="1" applyFont="1">
      <alignment horizontal="center" readingOrder="0" vertical="center"/>
    </xf>
    <xf borderId="175" fillId="8" fontId="13" numFmtId="0" xfId="0" applyAlignment="1" applyBorder="1" applyFont="1">
      <alignment vertical="bottom"/>
    </xf>
    <xf borderId="0" fillId="0" fontId="46" numFmtId="0" xfId="0" applyAlignment="1" applyFont="1">
      <alignment horizontal="center" vertical="bottom"/>
    </xf>
    <xf borderId="0" fillId="0" fontId="13" numFmtId="0" xfId="0" applyAlignment="1" applyFont="1">
      <alignment shrinkToFit="0" vertical="bottom" wrapText="1"/>
    </xf>
    <xf borderId="0" fillId="46" fontId="293" numFmtId="0" xfId="0" applyAlignment="1" applyFont="1">
      <alignment horizontal="center" readingOrder="0" vertical="top"/>
    </xf>
    <xf borderId="64" fillId="46" fontId="333" numFmtId="0" xfId="0" applyAlignment="1" applyBorder="1" applyFont="1">
      <alignment readingOrder="0" vertical="center"/>
    </xf>
    <xf borderId="47" fillId="11" fontId="4" numFmtId="0" xfId="0" applyAlignment="1" applyBorder="1" applyFont="1">
      <alignment horizontal="center" vertical="center"/>
    </xf>
    <xf borderId="64" fillId="11" fontId="49" numFmtId="0" xfId="0" applyAlignment="1" applyBorder="1" applyFont="1">
      <alignment readingOrder="0"/>
    </xf>
    <xf borderId="64" fillId="11" fontId="48" numFmtId="0" xfId="0" applyAlignment="1" applyBorder="1" applyFont="1">
      <alignment readingOrder="0"/>
    </xf>
    <xf borderId="64" fillId="11" fontId="29" numFmtId="0" xfId="0" applyAlignment="1" applyBorder="1" applyFont="1">
      <alignment readingOrder="0"/>
    </xf>
    <xf borderId="0" fillId="11" fontId="48" numFmtId="0" xfId="0" applyAlignment="1" applyFont="1">
      <alignment readingOrder="0"/>
    </xf>
    <xf borderId="0" fillId="29" fontId="51" numFmtId="0" xfId="0" applyAlignment="1" applyFont="1">
      <alignment readingOrder="0" vertical="center"/>
    </xf>
    <xf borderId="60" fillId="17" fontId="334" numFmtId="0" xfId="0" applyAlignment="1" applyBorder="1" applyFont="1">
      <alignment horizontal="center" readingOrder="0" vertical="center"/>
    </xf>
    <xf borderId="0" fillId="31" fontId="49" numFmtId="0" xfId="0" applyAlignment="1" applyFont="1">
      <alignment readingOrder="0" vertical="bottom"/>
    </xf>
    <xf borderId="180" fillId="2" fontId="335" numFmtId="0" xfId="0" applyAlignment="1" applyBorder="1" applyFont="1">
      <alignment readingOrder="0" vertical="bottom"/>
    </xf>
    <xf borderId="180" fillId="2" fontId="13" numFmtId="0" xfId="0" applyAlignment="1" applyBorder="1" applyFont="1">
      <alignment vertical="bottom"/>
    </xf>
    <xf borderId="0" fillId="2" fontId="13" numFmtId="0" xfId="0" applyAlignment="1" applyFont="1">
      <alignment vertical="bottom"/>
    </xf>
    <xf borderId="211" fillId="8" fontId="25" numFmtId="0" xfId="0" applyAlignment="1" applyBorder="1" applyFont="1">
      <alignment horizontal="center" readingOrder="0" vertical="center"/>
    </xf>
    <xf borderId="212" fillId="0" fontId="3" numFmtId="0" xfId="0" applyBorder="1" applyFont="1"/>
    <xf borderId="213" fillId="0" fontId="3" numFmtId="0" xfId="0" applyBorder="1" applyFont="1"/>
    <xf borderId="16" fillId="8" fontId="285" numFmtId="0" xfId="0" applyAlignment="1" applyBorder="1" applyFont="1">
      <alignment horizontal="center" vertical="center"/>
    </xf>
    <xf borderId="155" fillId="2" fontId="13" numFmtId="0" xfId="0" applyAlignment="1" applyBorder="1" applyFont="1">
      <alignment vertical="bottom"/>
    </xf>
    <xf borderId="18" fillId="8" fontId="4" numFmtId="0" xfId="0" applyAlignment="1" applyBorder="1" applyFont="1">
      <alignment horizontal="center" readingOrder="0" vertical="center"/>
    </xf>
    <xf borderId="214" fillId="0" fontId="3" numFmtId="0" xfId="0" applyBorder="1" applyFont="1"/>
    <xf borderId="215" fillId="0" fontId="3" numFmtId="0" xfId="0" applyBorder="1" applyFont="1"/>
    <xf borderId="216" fillId="8" fontId="29" numFmtId="0" xfId="0" applyAlignment="1" applyBorder="1" applyFont="1">
      <alignment horizontal="center" readingOrder="0"/>
    </xf>
    <xf borderId="217" fillId="8" fontId="29" numFmtId="0" xfId="0" applyAlignment="1" applyBorder="1" applyFont="1">
      <alignment horizontal="center" readingOrder="0"/>
    </xf>
    <xf borderId="218" fillId="8" fontId="29" numFmtId="0" xfId="0" applyAlignment="1" applyBorder="1" applyFont="1">
      <alignment horizontal="center" readingOrder="0"/>
    </xf>
    <xf borderId="35" fillId="17" fontId="336" numFmtId="0" xfId="0" applyAlignment="1" applyBorder="1" applyFont="1">
      <alignment horizontal="center" readingOrder="0" vertical="center"/>
    </xf>
    <xf borderId="131" fillId="17" fontId="29" numFmtId="0" xfId="0" applyAlignment="1" applyBorder="1" applyFont="1">
      <alignment horizontal="center" readingOrder="0"/>
    </xf>
    <xf borderId="46" fillId="17" fontId="29" numFmtId="0" xfId="0" applyAlignment="1" applyBorder="1" applyFont="1">
      <alignment horizontal="center" readingOrder="0"/>
    </xf>
    <xf borderId="47" fillId="46" fontId="316" numFmtId="0" xfId="0" applyAlignment="1" applyBorder="1" applyFont="1">
      <alignment horizontal="center" readingOrder="0" vertical="bottom"/>
    </xf>
    <xf borderId="0" fillId="46" fontId="252" numFmtId="0" xfId="0" applyAlignment="1" applyFont="1">
      <alignment horizontal="left" readingOrder="0" vertical="center"/>
    </xf>
    <xf borderId="131" fillId="0" fontId="46" numFmtId="0" xfId="0" applyAlignment="1" applyBorder="1" applyFont="1">
      <alignment horizontal="center" readingOrder="0" vertical="center"/>
    </xf>
    <xf borderId="130" fillId="0" fontId="46" numFmtId="0" xfId="0" applyAlignment="1" applyBorder="1" applyFont="1">
      <alignment horizontal="center" readingOrder="0" vertical="center"/>
    </xf>
    <xf borderId="46" fillId="0" fontId="46" numFmtId="0" xfId="0" applyAlignment="1" applyBorder="1" applyFont="1">
      <alignment horizontal="center" readingOrder="0" vertical="center"/>
    </xf>
    <xf borderId="47" fillId="11" fontId="4" numFmtId="0" xfId="0" applyAlignment="1" applyBorder="1" applyFont="1">
      <alignment horizontal="center"/>
    </xf>
    <xf borderId="0" fillId="11" fontId="29" numFmtId="0" xfId="0" applyAlignment="1" applyFont="1">
      <alignment horizontal="left" readingOrder="0" vertical="center"/>
    </xf>
    <xf borderId="47" fillId="29" fontId="17" numFmtId="0" xfId="0" applyAlignment="1" applyBorder="1" applyFont="1">
      <alignment horizontal="center" readingOrder="0" vertical="center"/>
    </xf>
    <xf borderId="45" fillId="29" fontId="18" numFmtId="0" xfId="0" applyAlignment="1" applyBorder="1" applyFont="1">
      <alignment horizontal="left" readingOrder="0" vertical="center"/>
    </xf>
    <xf borderId="43" fillId="17" fontId="13" numFmtId="0" xfId="0" applyBorder="1" applyFont="1"/>
    <xf borderId="0" fillId="17" fontId="13" numFmtId="0" xfId="0" applyFont="1"/>
    <xf borderId="44" fillId="17" fontId="14" numFmtId="0" xfId="0" applyAlignment="1" applyBorder="1" applyFont="1">
      <alignment horizontal="left"/>
    </xf>
    <xf borderId="59" fillId="17" fontId="337" numFmtId="0" xfId="0" applyAlignment="1" applyBorder="1" applyFont="1">
      <alignment horizontal="center" vertical="center"/>
    </xf>
    <xf borderId="58" fillId="17" fontId="338" numFmtId="0" xfId="0" applyBorder="1" applyFont="1"/>
    <xf borderId="60" fillId="17" fontId="339" numFmtId="0" xfId="0" applyBorder="1" applyFont="1"/>
    <xf borderId="59" fillId="17" fontId="340" numFmtId="0" xfId="0" applyBorder="1" applyFont="1"/>
    <xf borderId="60" fillId="17" fontId="341" numFmtId="0" xfId="0" applyBorder="1" applyFont="1"/>
    <xf borderId="60" fillId="17" fontId="342" numFmtId="0" xfId="0" applyBorder="1" applyFont="1"/>
    <xf borderId="59" fillId="17" fontId="343" numFmtId="0" xfId="0" applyAlignment="1" applyBorder="1" applyFont="1">
      <alignment horizontal="center" shrinkToFit="0" vertical="center" wrapText="0"/>
    </xf>
    <xf borderId="60" fillId="17" fontId="344" numFmtId="0" xfId="0" applyAlignment="1" applyBorder="1" applyFont="1">
      <alignment horizontal="center" shrinkToFit="0" vertical="center" wrapText="0"/>
    </xf>
    <xf borderId="60" fillId="17" fontId="59" numFmtId="0" xfId="0" applyAlignment="1" applyBorder="1" applyFont="1">
      <alignment horizontal="center" shrinkToFit="0" vertical="center" wrapText="0"/>
    </xf>
    <xf borderId="47" fillId="10" fontId="23" numFmtId="0" xfId="0" applyAlignment="1" applyBorder="1" applyFont="1">
      <alignment horizontal="center" vertical="bottom"/>
    </xf>
    <xf borderId="0" fillId="10" fontId="24" numFmtId="0" xfId="0" applyAlignment="1" applyFont="1">
      <alignment horizontal="left" readingOrder="0" vertical="center"/>
    </xf>
    <xf borderId="129" fillId="0" fontId="46" numFmtId="0" xfId="0" applyAlignment="1" applyBorder="1" applyFont="1">
      <alignment horizontal="center" readingOrder="0" vertical="center"/>
    </xf>
    <xf borderId="0" fillId="31" fontId="345" numFmtId="0" xfId="0" applyAlignment="1" applyFont="1">
      <alignment horizontal="left" readingOrder="0" vertical="center"/>
    </xf>
    <xf borderId="0" fillId="31" fontId="29" numFmtId="0" xfId="0" applyAlignment="1" applyFont="1">
      <alignment horizontal="left" readingOrder="0" vertical="center"/>
    </xf>
    <xf borderId="47" fillId="9" fontId="17" numFmtId="0" xfId="0" applyAlignment="1" applyBorder="1" applyFont="1">
      <alignment horizontal="center" readingOrder="0"/>
    </xf>
    <xf borderId="56" fillId="0" fontId="46" numFmtId="0" xfId="0" applyAlignment="1" applyBorder="1" applyFont="1">
      <alignment horizontal="center" readingOrder="0" vertical="center"/>
    </xf>
    <xf borderId="35" fillId="0" fontId="46" numFmtId="0" xfId="0" applyAlignment="1" applyBorder="1" applyFont="1">
      <alignment horizontal="center" readingOrder="0" vertical="center"/>
    </xf>
    <xf borderId="56" fillId="17" fontId="13" numFmtId="0" xfId="0" applyBorder="1" applyFont="1"/>
    <xf borderId="62" fillId="17" fontId="13" numFmtId="0" xfId="0" applyBorder="1" applyFont="1"/>
    <xf borderId="35" fillId="17" fontId="13" numFmtId="0" xfId="0" applyBorder="1" applyFont="1"/>
    <xf borderId="16" fillId="17" fontId="59" numFmtId="0" xfId="0" applyAlignment="1" applyBorder="1" applyFont="1">
      <alignment readingOrder="0" shrinkToFit="0" wrapText="0"/>
    </xf>
    <xf borderId="62" fillId="17" fontId="59" numFmtId="0" xfId="0" applyAlignment="1" applyBorder="1" applyFont="1">
      <alignment readingOrder="0" shrinkToFit="0" wrapText="0"/>
    </xf>
    <xf borderId="0" fillId="8" fontId="40" numFmtId="0" xfId="0" applyAlignment="1" applyFont="1">
      <alignment horizontal="center" readingOrder="0" textRotation="90" vertical="center"/>
    </xf>
    <xf borderId="30" fillId="19" fontId="14" numFmtId="0" xfId="0" applyAlignment="1" applyBorder="1" applyFont="1">
      <alignment vertical="center"/>
    </xf>
    <xf borderId="71" fillId="19" fontId="46" numFmtId="0" xfId="0" applyAlignment="1" applyBorder="1" applyFont="1">
      <alignment horizontal="right" vertical="bottom"/>
    </xf>
    <xf borderId="30" fillId="22" fontId="14" numFmtId="0" xfId="0" applyAlignment="1" applyBorder="1" applyFont="1">
      <alignment vertical="center"/>
    </xf>
    <xf borderId="71" fillId="22" fontId="46" numFmtId="0" xfId="0" applyAlignment="1" applyBorder="1" applyFont="1">
      <alignment horizontal="right" vertical="bottom"/>
    </xf>
    <xf borderId="30" fillId="20" fontId="63" numFmtId="0" xfId="0" applyAlignment="1" applyBorder="1" applyFont="1">
      <alignment vertical="center"/>
    </xf>
    <xf borderId="71" fillId="20" fontId="46" numFmtId="0" xfId="0" applyAlignment="1" applyBorder="1" applyFont="1">
      <alignment horizontal="right" vertical="bottom"/>
    </xf>
    <xf borderId="30" fillId="4" fontId="64" numFmtId="0" xfId="0" applyAlignment="1" applyBorder="1" applyFont="1">
      <alignment vertical="center"/>
    </xf>
    <xf borderId="71" fillId="4" fontId="47" numFmtId="0" xfId="0" applyAlignment="1" applyBorder="1" applyFont="1">
      <alignment horizontal="right" vertical="bottom"/>
    </xf>
    <xf borderId="30" fillId="23" fontId="63" numFmtId="0" xfId="0" applyAlignment="1" applyBorder="1" applyFont="1">
      <alignment vertical="center"/>
    </xf>
    <xf borderId="31" fillId="23" fontId="46" numFmtId="0" xfId="0" applyAlignment="1" applyBorder="1" applyFont="1">
      <alignment horizontal="right" vertical="bottom"/>
    </xf>
    <xf borderId="30" fillId="0" fontId="63" numFmtId="0" xfId="0" applyAlignment="1" applyBorder="1" applyFont="1">
      <alignment vertical="center"/>
    </xf>
    <xf borderId="31" fillId="0" fontId="46" numFmtId="0" xfId="0" applyAlignment="1" applyBorder="1" applyFont="1">
      <alignment horizontal="right" vertical="bottom"/>
    </xf>
    <xf borderId="70" fillId="0" fontId="63" numFmtId="9" xfId="0" applyAlignment="1" applyBorder="1" applyFont="1" applyNumberFormat="1">
      <alignment vertical="center"/>
    </xf>
    <xf borderId="42" fillId="17" fontId="346" numFmtId="0" xfId="0" applyAlignment="1" applyBorder="1" applyFont="1">
      <alignment horizontal="center" readingOrder="0" vertical="bottom"/>
    </xf>
    <xf borderId="0" fillId="17" fontId="347" numFmtId="0" xfId="0" applyAlignment="1" applyFont="1">
      <alignment horizontal="center" vertical="bottom"/>
    </xf>
    <xf borderId="0" fillId="8" fontId="87" numFmtId="0" xfId="0" applyAlignment="1" applyFont="1">
      <alignment vertical="bottom"/>
    </xf>
    <xf borderId="57" fillId="8" fontId="87" numFmtId="0" xfId="0" applyAlignment="1" applyBorder="1" applyFont="1">
      <alignment vertical="bottom"/>
    </xf>
    <xf borderId="94" fillId="17" fontId="347" numFmtId="0" xfId="0" applyAlignment="1" applyBorder="1" applyFont="1">
      <alignment vertical="bottom"/>
    </xf>
    <xf borderId="81" fillId="8" fontId="87" numFmtId="0" xfId="0" applyAlignment="1" applyBorder="1" applyFont="1">
      <alignment vertical="bottom"/>
    </xf>
    <xf borderId="0" fillId="17" fontId="347" numFmtId="0" xfId="0" applyAlignment="1" applyFont="1">
      <alignment horizontal="center" readingOrder="0" vertical="bottom"/>
    </xf>
    <xf borderId="208" fillId="8" fontId="87" numFmtId="0" xfId="0" applyAlignment="1" applyBorder="1" applyFont="1">
      <alignment vertical="bottom"/>
    </xf>
    <xf borderId="57" fillId="17" fontId="347" numFmtId="0" xfId="0" applyAlignment="1" applyBorder="1" applyFont="1">
      <alignment readingOrder="0" vertical="bottom"/>
    </xf>
    <xf borderId="57" fillId="17" fontId="347" numFmtId="0" xfId="0" applyAlignment="1" applyBorder="1" applyFont="1">
      <alignment shrinkToFit="0" vertical="bottom" wrapText="1"/>
    </xf>
    <xf borderId="57" fillId="17" fontId="347" numFmtId="0" xfId="0" applyAlignment="1" applyBorder="1" applyFont="1">
      <alignment horizontal="center" vertical="bottom"/>
    </xf>
    <xf borderId="57" fillId="17" fontId="347" numFmtId="0" xfId="0" applyAlignment="1" applyBorder="1" applyFont="1">
      <alignment vertical="bottom"/>
    </xf>
    <xf borderId="0" fillId="17" fontId="347" numFmtId="0" xfId="0" applyAlignment="1" applyFont="1">
      <alignment vertical="bottom"/>
    </xf>
    <xf borderId="7" fillId="8" fontId="87" numFmtId="0" xfId="0" applyAlignment="1" applyBorder="1" applyFont="1">
      <alignment vertical="center"/>
    </xf>
    <xf borderId="7" fillId="8" fontId="87" numFmtId="0" xfId="0" applyAlignment="1" applyBorder="1" applyFont="1">
      <alignment vertical="bottom"/>
    </xf>
    <xf borderId="7" fillId="8" fontId="87" numFmtId="0" xfId="0" applyAlignment="1" applyBorder="1" applyFont="1">
      <alignment shrinkToFit="0" vertical="bottom" wrapText="1"/>
    </xf>
    <xf borderId="7" fillId="8" fontId="150" numFmtId="0" xfId="0" applyAlignment="1" applyBorder="1" applyFont="1">
      <alignment horizontal="center" vertical="bottom"/>
    </xf>
    <xf borderId="105" fillId="8" fontId="87" numFmtId="0" xfId="0" applyAlignment="1" applyBorder="1" applyFont="1">
      <alignment vertical="bottom"/>
    </xf>
    <xf borderId="0" fillId="20" fontId="87" numFmtId="0" xfId="0" applyAlignment="1" applyFont="1">
      <alignment horizontal="center" vertical="center"/>
    </xf>
    <xf borderId="0" fillId="20" fontId="87" numFmtId="167" xfId="0" applyAlignment="1" applyFont="1" applyNumberFormat="1">
      <alignment horizontal="right" vertical="center"/>
    </xf>
    <xf borderId="64" fillId="8" fontId="87" numFmtId="0" xfId="0" applyAlignment="1" applyBorder="1" applyFont="1">
      <alignment vertical="bottom"/>
    </xf>
    <xf borderId="0" fillId="20" fontId="87" numFmtId="0" xfId="0" applyAlignment="1" applyFont="1">
      <alignment vertical="bottom"/>
    </xf>
    <xf borderId="57" fillId="20" fontId="87" numFmtId="0" xfId="0" applyAlignment="1" applyBorder="1" applyFont="1">
      <alignment vertical="center"/>
    </xf>
    <xf borderId="57" fillId="20" fontId="87" numFmtId="0" xfId="0" applyAlignment="1" applyBorder="1" applyFont="1">
      <alignment shrinkToFit="0" vertical="bottom" wrapText="1"/>
    </xf>
    <xf borderId="0" fillId="7" fontId="158" numFmtId="0" xfId="0" applyAlignment="1" applyFont="1">
      <alignment horizontal="center" readingOrder="0" vertical="center"/>
    </xf>
    <xf borderId="57" fillId="0" fontId="87" numFmtId="167" xfId="0" applyAlignment="1" applyBorder="1" applyFont="1" applyNumberFormat="1">
      <alignment horizontal="right" vertical="bottom"/>
    </xf>
    <xf borderId="0" fillId="0" fontId="87" numFmtId="167" xfId="0" applyAlignment="1" applyFont="1" applyNumberFormat="1">
      <alignment horizontal="right" vertical="bottom"/>
    </xf>
    <xf borderId="94" fillId="0" fontId="87" numFmtId="0" xfId="0" applyAlignment="1" applyBorder="1" applyFont="1">
      <alignment vertical="bottom"/>
    </xf>
    <xf borderId="0" fillId="33" fontId="348" numFmtId="0" xfId="0" applyAlignment="1" applyFont="1">
      <alignment horizontal="center" readingOrder="0" vertical="center"/>
    </xf>
    <xf borderId="0" fillId="20" fontId="87" numFmtId="0" xfId="0" applyAlignment="1" applyFont="1">
      <alignment horizontal="center" readingOrder="0" vertical="center"/>
    </xf>
    <xf borderId="57" fillId="20" fontId="87" numFmtId="0" xfId="0" applyAlignment="1" applyBorder="1" applyFont="1">
      <alignment readingOrder="0" vertical="center"/>
    </xf>
    <xf borderId="57" fillId="20" fontId="87" numFmtId="0" xfId="0" applyAlignment="1" applyBorder="1" applyFont="1">
      <alignment readingOrder="0" shrinkToFit="0" vertical="bottom" wrapText="1"/>
    </xf>
    <xf borderId="0" fillId="20" fontId="87" numFmtId="0" xfId="0" applyAlignment="1" applyFont="1">
      <alignment readingOrder="0" vertical="bottom"/>
    </xf>
    <xf borderId="0" fillId="0" fontId="150" numFmtId="0" xfId="0" applyAlignment="1" applyFont="1">
      <alignment horizontal="center" readingOrder="0" vertical="bottom"/>
    </xf>
    <xf borderId="57" fillId="0" fontId="87" numFmtId="167" xfId="0" applyAlignment="1" applyBorder="1" applyFont="1" applyNumberFormat="1">
      <alignment horizontal="right" readingOrder="0" vertical="bottom"/>
    </xf>
    <xf borderId="0" fillId="0" fontId="87" numFmtId="167" xfId="0" applyAlignment="1" applyFont="1" applyNumberFormat="1">
      <alignment horizontal="right" readingOrder="0" vertical="bottom"/>
    </xf>
    <xf borderId="0" fillId="0" fontId="150" numFmtId="0" xfId="0" applyAlignment="1" applyFont="1">
      <alignment horizontal="center" vertical="bottom"/>
    </xf>
    <xf borderId="57" fillId="20" fontId="87" numFmtId="0" xfId="0" applyAlignment="1" applyBorder="1" applyFont="1">
      <alignment readingOrder="0" vertical="center"/>
    </xf>
    <xf borderId="57" fillId="20" fontId="87" numFmtId="0" xfId="0" applyAlignment="1" applyBorder="1" applyFont="1">
      <alignment shrinkToFit="0" vertical="bottom" wrapText="1"/>
    </xf>
    <xf borderId="0" fillId="33" fontId="348" numFmtId="0" xfId="0" applyAlignment="1" applyFont="1">
      <alignment horizontal="center" readingOrder="0" vertical="center"/>
    </xf>
    <xf borderId="57" fillId="20" fontId="87" numFmtId="0" xfId="0" applyAlignment="1" applyBorder="1" applyFont="1">
      <alignment readingOrder="0" shrinkToFit="0" vertical="bottom" wrapText="1"/>
    </xf>
    <xf borderId="0" fillId="0" fontId="150" numFmtId="0" xfId="0" applyAlignment="1" applyFont="1">
      <alignment horizontal="center" readingOrder="0" vertical="bottom"/>
    </xf>
    <xf borderId="57" fillId="0" fontId="87" numFmtId="0" xfId="0" applyAlignment="1" applyBorder="1" applyFont="1">
      <alignment vertical="bottom"/>
    </xf>
    <xf borderId="0" fillId="0" fontId="87" numFmtId="0" xfId="0" applyAlignment="1" applyFont="1">
      <alignment vertical="bottom"/>
    </xf>
    <xf borderId="7" fillId="20" fontId="87" numFmtId="0" xfId="0" applyAlignment="1" applyBorder="1" applyFont="1">
      <alignment horizontal="center" vertical="center"/>
    </xf>
    <xf borderId="7" fillId="20" fontId="87" numFmtId="167" xfId="0" applyAlignment="1" applyBorder="1" applyFont="1" applyNumberFormat="1">
      <alignment horizontal="right" vertical="center"/>
    </xf>
    <xf borderId="106" fillId="8" fontId="87" numFmtId="0" xfId="0" applyAlignment="1" applyBorder="1" applyFont="1">
      <alignment vertical="bottom"/>
    </xf>
    <xf borderId="7" fillId="20" fontId="87" numFmtId="0" xfId="0" applyAlignment="1" applyBorder="1" applyFont="1">
      <alignment vertical="bottom"/>
    </xf>
    <xf borderId="210" fillId="20" fontId="87" numFmtId="0" xfId="0" applyAlignment="1" applyBorder="1" applyFont="1">
      <alignment readingOrder="0" vertical="center"/>
    </xf>
    <xf borderId="210" fillId="20" fontId="87" numFmtId="0" xfId="0" applyAlignment="1" applyBorder="1" applyFont="1">
      <alignment readingOrder="0" shrinkToFit="0" vertical="bottom" wrapText="1"/>
    </xf>
    <xf borderId="7" fillId="0" fontId="150" numFmtId="0" xfId="0" applyAlignment="1" applyBorder="1" applyFont="1">
      <alignment horizontal="center" readingOrder="0" vertical="bottom"/>
    </xf>
    <xf borderId="210" fillId="0" fontId="87" numFmtId="0" xfId="0" applyAlignment="1" applyBorder="1" applyFont="1">
      <alignment vertical="bottom"/>
    </xf>
    <xf borderId="7" fillId="0" fontId="87" numFmtId="0" xfId="0" applyAlignment="1" applyBorder="1" applyFont="1">
      <alignment vertical="bottom"/>
    </xf>
    <xf borderId="105" fillId="0" fontId="87" numFmtId="0" xfId="0" applyAlignment="1" applyBorder="1" applyFont="1">
      <alignment vertical="bottom"/>
    </xf>
    <xf borderId="0" fillId="30" fontId="150" numFmtId="0" xfId="0" applyAlignment="1" applyFont="1">
      <alignment horizontal="center" readingOrder="0" vertical="bottom"/>
    </xf>
    <xf borderId="0" fillId="30" fontId="163" numFmtId="0" xfId="0" applyAlignment="1" applyFont="1">
      <alignment horizontal="center" readingOrder="0" vertical="center"/>
    </xf>
    <xf borderId="0" fillId="20" fontId="87" numFmtId="167" xfId="0" applyAlignment="1" applyFont="1" applyNumberFormat="1">
      <alignment horizontal="right" readingOrder="0" vertical="center"/>
    </xf>
    <xf borderId="0" fillId="32" fontId="349" numFmtId="0" xfId="0" applyAlignment="1" applyFont="1">
      <alignment horizontal="center" readingOrder="0" vertical="bottom"/>
    </xf>
    <xf borderId="0" fillId="0" fontId="150" numFmtId="0" xfId="0" applyAlignment="1" applyFont="1">
      <alignment horizontal="center" vertical="bottom"/>
    </xf>
    <xf borderId="0" fillId="29" fontId="163" numFmtId="0" xfId="0" applyAlignment="1" applyFont="1">
      <alignment horizontal="center" readingOrder="0" vertical="center"/>
    </xf>
    <xf borderId="0" fillId="31" fontId="151" numFmtId="0" xfId="0" applyAlignment="1" applyFont="1">
      <alignment horizontal="center" readingOrder="0" vertical="center"/>
    </xf>
    <xf borderId="0" fillId="4" fontId="163" numFmtId="0" xfId="0" applyAlignment="1" applyFont="1">
      <alignment horizontal="center" readingOrder="0" vertical="center"/>
    </xf>
    <xf borderId="31" fillId="20" fontId="87" numFmtId="0" xfId="0" applyAlignment="1" applyBorder="1" applyFont="1">
      <alignment readingOrder="0" shrinkToFit="0" vertical="bottom" wrapText="1"/>
    </xf>
    <xf borderId="0" fillId="11" fontId="124" numFmtId="0" xfId="0" applyAlignment="1" applyFont="1">
      <alignment horizontal="center" readingOrder="0" vertical="center"/>
    </xf>
    <xf borderId="57" fillId="20" fontId="87" numFmtId="0" xfId="0" applyAlignment="1" applyBorder="1" applyFont="1">
      <alignment vertical="center"/>
    </xf>
    <xf borderId="94" fillId="20" fontId="87" numFmtId="0" xfId="0" applyAlignment="1" applyBorder="1" applyFont="1">
      <alignment readingOrder="0" vertical="bottom"/>
    </xf>
    <xf borderId="94" fillId="0" fontId="87" numFmtId="0" xfId="0" applyAlignment="1" applyBorder="1" applyFont="1">
      <alignment readingOrder="0" vertical="bottom"/>
    </xf>
    <xf borderId="57" fillId="20" fontId="150" numFmtId="0" xfId="0" applyAlignment="1" applyBorder="1" applyFont="1">
      <alignment readingOrder="0" vertical="center"/>
    </xf>
    <xf borderId="57" fillId="20" fontId="150" numFmtId="0" xfId="0" applyAlignment="1" applyBorder="1" applyFont="1">
      <alignment readingOrder="0" shrinkToFit="0" vertical="bottom" wrapText="1"/>
    </xf>
    <xf borderId="57" fillId="20" fontId="87" numFmtId="0" xfId="0" applyAlignment="1" applyBorder="1" applyFont="1">
      <alignment readingOrder="0" shrinkToFit="0" vertical="bottom" wrapText="1"/>
    </xf>
    <xf borderId="0" fillId="41" fontId="151" numFmtId="0" xfId="0" applyAlignment="1" applyFont="1">
      <alignment horizontal="center" readingOrder="0" vertical="center"/>
    </xf>
    <xf borderId="0" fillId="4" fontId="154" numFmtId="0" xfId="0" applyAlignment="1" applyFont="1">
      <alignment horizontal="center" readingOrder="0" vertical="center"/>
    </xf>
    <xf borderId="42" fillId="8" fontId="87" numFmtId="0" xfId="0" applyAlignment="1" applyBorder="1" applyFont="1">
      <alignment vertical="bottom"/>
    </xf>
    <xf borderId="107" fillId="67" fontId="150" numFmtId="0" xfId="0" applyAlignment="1" applyBorder="1" applyFont="1">
      <alignment horizontal="center" readingOrder="0" vertical="center"/>
    </xf>
    <xf borderId="175" fillId="8" fontId="87" numFmtId="0" xfId="0" applyAlignment="1" applyBorder="1" applyFont="1">
      <alignment vertical="bottom"/>
    </xf>
    <xf borderId="0" fillId="0" fontId="87" numFmtId="0" xfId="0" applyAlignment="1" applyFont="1">
      <alignment readingOrder="0" vertical="bottom"/>
    </xf>
    <xf borderId="0" fillId="0" fontId="87" numFmtId="0" xfId="0" applyAlignment="1" applyFont="1">
      <alignment readingOrder="0" shrinkToFit="0" vertical="bottom" wrapText="1"/>
    </xf>
    <xf borderId="0" fillId="0" fontId="87" numFmtId="0" xfId="0" applyAlignment="1" applyFont="1">
      <alignment shrinkToFit="0" vertical="bottom" wrapText="1"/>
    </xf>
    <xf borderId="41" fillId="2" fontId="87" numFmtId="0" xfId="0" applyAlignment="1" applyBorder="1" applyFont="1">
      <alignment horizontal="right" readingOrder="0" vertical="bottom"/>
    </xf>
    <xf borderId="41" fillId="2" fontId="87" numFmtId="0" xfId="0" applyAlignment="1" applyBorder="1" applyFont="1">
      <alignment vertical="bottom"/>
    </xf>
    <xf borderId="0" fillId="2" fontId="87" numFmtId="0" xfId="0" applyAlignment="1" applyFont="1">
      <alignment vertical="bottom"/>
    </xf>
    <xf borderId="0" fillId="2" fontId="87" numFmtId="0" xfId="0" applyAlignment="1" applyFont="1">
      <alignment vertical="center"/>
    </xf>
    <xf borderId="43" fillId="8" fontId="134" numFmtId="0" xfId="0" applyAlignment="1" applyBorder="1" applyFont="1">
      <alignment horizontal="center" readingOrder="0"/>
    </xf>
    <xf borderId="18" fillId="8" fontId="350" numFmtId="0" xfId="0" applyAlignment="1" applyBorder="1" applyFont="1">
      <alignment horizontal="center" readingOrder="0" vertical="center"/>
    </xf>
    <xf borderId="0" fillId="7" fontId="351" numFmtId="0" xfId="0" applyAlignment="1" applyFont="1">
      <alignment horizontal="center" readingOrder="0" vertical="top"/>
    </xf>
    <xf borderId="49" fillId="8" fontId="130" numFmtId="0" xfId="0" applyAlignment="1" applyBorder="1" applyFont="1">
      <alignment horizontal="center" vertical="bottom"/>
    </xf>
    <xf borderId="50" fillId="8" fontId="130" numFmtId="0" xfId="0" applyAlignment="1" applyBorder="1" applyFont="1">
      <alignment horizontal="center" vertical="bottom"/>
    </xf>
    <xf borderId="17" fillId="8" fontId="130" numFmtId="0" xfId="0" applyAlignment="1" applyBorder="1" applyFont="1">
      <alignment horizontal="center" vertical="bottom"/>
    </xf>
    <xf borderId="35" fillId="17" fontId="352" numFmtId="0" xfId="0" applyAlignment="1" applyBorder="1" applyFont="1">
      <alignment horizontal="center" readingOrder="0"/>
    </xf>
    <xf borderId="35" fillId="17" fontId="353" numFmtId="0" xfId="0" applyAlignment="1" applyBorder="1" applyFont="1">
      <alignment horizontal="center" readingOrder="0" vertical="center"/>
    </xf>
    <xf borderId="48" fillId="17" fontId="127" numFmtId="0" xfId="0" applyAlignment="1" applyBorder="1" applyFont="1">
      <alignment horizontal="center" readingOrder="0"/>
    </xf>
    <xf borderId="16" fillId="17" fontId="127" numFmtId="0" xfId="0" applyAlignment="1" applyBorder="1" applyFont="1">
      <alignment horizontal="center" readingOrder="0"/>
    </xf>
    <xf borderId="15" fillId="17" fontId="127" numFmtId="0" xfId="0" applyAlignment="1" applyBorder="1" applyFont="1">
      <alignment horizontal="center" readingOrder="0"/>
    </xf>
    <xf borderId="53" fillId="17" fontId="127" numFmtId="0" xfId="0" applyAlignment="1" applyBorder="1" applyFont="1">
      <alignment horizontal="center" readingOrder="0"/>
    </xf>
    <xf borderId="48" fillId="17" fontId="127" numFmtId="0" xfId="0" applyAlignment="1" applyBorder="1" applyFont="1">
      <alignment horizontal="center" readingOrder="0" vertical="center"/>
    </xf>
    <xf borderId="53" fillId="17" fontId="127" numFmtId="0" xfId="0" applyAlignment="1" applyBorder="1" applyFont="1">
      <alignment horizontal="center" readingOrder="0" vertical="center"/>
    </xf>
    <xf borderId="42" fillId="8" fontId="354" numFmtId="0" xfId="0" applyAlignment="1" applyBorder="1" applyFont="1">
      <alignment horizontal="center" readingOrder="0" textRotation="90" vertical="center"/>
    </xf>
    <xf borderId="121" fillId="7" fontId="355" numFmtId="0" xfId="0" applyAlignment="1" applyBorder="1" applyFont="1">
      <alignment horizontal="center" readingOrder="0" vertical="center"/>
    </xf>
    <xf borderId="64" fillId="7" fontId="131" numFmtId="0" xfId="0" applyAlignment="1" applyBorder="1" applyFont="1">
      <alignment readingOrder="0" vertical="center"/>
    </xf>
    <xf borderId="0" fillId="0" fontId="150" numFmtId="0" xfId="0" applyAlignment="1" applyFont="1">
      <alignment horizontal="center" readingOrder="0" vertical="center"/>
    </xf>
    <xf borderId="47" fillId="0" fontId="150" numFmtId="0" xfId="0" applyAlignment="1" applyBorder="1" applyFont="1">
      <alignment horizontal="center" readingOrder="0" vertical="center"/>
    </xf>
    <xf borderId="46" fillId="4" fontId="356" numFmtId="0" xfId="0" applyAlignment="1" applyBorder="1" applyFont="1">
      <alignment horizontal="center" readingOrder="0"/>
    </xf>
    <xf borderId="130" fillId="4" fontId="356" numFmtId="0" xfId="0" applyAlignment="1" applyBorder="1" applyFont="1">
      <alignment horizontal="center" readingOrder="0"/>
    </xf>
    <xf borderId="64" fillId="7" fontId="357" numFmtId="0" xfId="0" applyAlignment="1" applyBorder="1" applyFont="1">
      <alignment readingOrder="0" vertical="center"/>
    </xf>
    <xf borderId="0" fillId="4" fontId="356" numFmtId="0" xfId="0" applyAlignment="1" applyFont="1">
      <alignment horizontal="center"/>
    </xf>
    <xf borderId="47" fillId="4" fontId="356" numFmtId="0" xfId="0" applyAlignment="1" applyBorder="1" applyFont="1">
      <alignment horizontal="center"/>
    </xf>
    <xf borderId="64" fillId="7" fontId="358" numFmtId="0" xfId="0" applyBorder="1" applyFont="1"/>
    <xf borderId="0" fillId="17" fontId="151" numFmtId="0" xfId="0" applyAlignment="1" applyFont="1">
      <alignment horizontal="center"/>
    </xf>
    <xf borderId="47" fillId="17" fontId="151" numFmtId="0" xfId="0" applyAlignment="1" applyBorder="1" applyFont="1">
      <alignment horizontal="center"/>
    </xf>
    <xf borderId="64" fillId="7" fontId="359" numFmtId="0" xfId="0" applyAlignment="1" applyBorder="1" applyFont="1">
      <alignment readingOrder="0"/>
    </xf>
    <xf borderId="42" fillId="18" fontId="154" numFmtId="0" xfId="0" applyAlignment="1" applyBorder="1" applyFont="1">
      <alignment horizontal="center"/>
    </xf>
    <xf borderId="0" fillId="19" fontId="154" numFmtId="0" xfId="0" applyAlignment="1" applyFont="1">
      <alignment horizontal="center"/>
    </xf>
    <xf borderId="47" fillId="19" fontId="154" numFmtId="0" xfId="0" applyAlignment="1" applyBorder="1" applyFont="1">
      <alignment horizontal="center"/>
    </xf>
    <xf borderId="0" fillId="4" fontId="356" numFmtId="0" xfId="0" applyAlignment="1" applyFont="1">
      <alignment horizontal="center" readingOrder="0"/>
    </xf>
    <xf borderId="47" fillId="4" fontId="356" numFmtId="0" xfId="0" applyAlignment="1" applyBorder="1" applyFont="1">
      <alignment horizontal="center" readingOrder="0"/>
    </xf>
    <xf borderId="64" fillId="7" fontId="359" numFmtId="0" xfId="0" applyBorder="1" applyFont="1"/>
    <xf borderId="66" fillId="7" fontId="358" numFmtId="0" xfId="0" applyBorder="1" applyFont="1"/>
    <xf borderId="64" fillId="29" fontId="360" numFmtId="0" xfId="0" applyAlignment="1" applyBorder="1" applyFont="1">
      <alignment horizontal="center" readingOrder="0" vertical="center"/>
    </xf>
    <xf borderId="0" fillId="29" fontId="103" numFmtId="0" xfId="0" applyAlignment="1" applyFont="1">
      <alignment readingOrder="0" vertical="center"/>
    </xf>
    <xf borderId="0" fillId="29" fontId="129" numFmtId="0" xfId="0" applyAlignment="1" applyFont="1">
      <alignment readingOrder="0" vertical="center"/>
    </xf>
    <xf borderId="0" fillId="29" fontId="361" numFmtId="0" xfId="0" applyAlignment="1" applyFont="1">
      <alignment readingOrder="0" vertical="center"/>
    </xf>
    <xf borderId="0" fillId="29" fontId="133" numFmtId="0" xfId="0" applyAlignment="1" applyFont="1">
      <alignment readingOrder="0" shrinkToFit="0" vertical="center" wrapText="0"/>
    </xf>
    <xf borderId="43" fillId="29" fontId="133" numFmtId="0" xfId="0" applyAlignment="1" applyBorder="1" applyFont="1">
      <alignment readingOrder="0" shrinkToFit="0" vertical="center" wrapText="0"/>
    </xf>
    <xf borderId="61" fillId="31" fontId="134" numFmtId="0" xfId="0" applyAlignment="1" applyBorder="1" applyFont="1">
      <alignment horizontal="center" readingOrder="0" vertical="center"/>
    </xf>
    <xf borderId="64" fillId="31" fontId="130" numFmtId="0" xfId="0" applyAlignment="1" applyBorder="1" applyFont="1">
      <alignment horizontal="left" readingOrder="0" vertical="center"/>
    </xf>
    <xf borderId="64" fillId="31" fontId="148" numFmtId="0" xfId="0" applyAlignment="1" applyBorder="1" applyFont="1">
      <alignment horizontal="left" readingOrder="0" vertical="center"/>
    </xf>
    <xf borderId="120" fillId="32" fontId="362" numFmtId="0" xfId="0" applyAlignment="1" applyBorder="1" applyFont="1">
      <alignment horizontal="center" readingOrder="0" vertical="center"/>
    </xf>
    <xf borderId="120" fillId="32" fontId="363" numFmtId="0" xfId="0" applyAlignment="1" applyBorder="1" applyFont="1">
      <alignment horizontal="left" readingOrder="0" vertical="center"/>
    </xf>
    <xf borderId="44" fillId="4" fontId="356" numFmtId="0" xfId="0" applyAlignment="1" applyBorder="1" applyFont="1">
      <alignment horizontal="center" readingOrder="0"/>
    </xf>
    <xf borderId="45" fillId="4" fontId="356" numFmtId="0" xfId="0" applyAlignment="1" applyBorder="1" applyFont="1">
      <alignment horizontal="center" readingOrder="0"/>
    </xf>
    <xf borderId="58" fillId="17" fontId="3" numFmtId="0" xfId="0" applyAlignment="1" applyBorder="1" applyFont="1">
      <alignment horizontal="center" vertical="center"/>
    </xf>
    <xf borderId="59" fillId="17" fontId="3" numFmtId="0" xfId="0" applyAlignment="1" applyBorder="1" applyFont="1">
      <alignment horizontal="center" vertical="center"/>
    </xf>
    <xf borderId="60" fillId="17" fontId="364" numFmtId="0" xfId="0" applyBorder="1" applyFont="1"/>
    <xf borderId="59" fillId="17" fontId="365" numFmtId="0" xfId="0" applyAlignment="1" applyBorder="1" applyFont="1">
      <alignment vertical="center"/>
    </xf>
    <xf borderId="60" fillId="17" fontId="366" numFmtId="0" xfId="0" applyAlignment="1" applyBorder="1" applyFont="1">
      <alignment vertical="center"/>
    </xf>
    <xf borderId="44" fillId="17" fontId="367" numFmtId="0" xfId="0" applyAlignment="1" applyBorder="1" applyFont="1">
      <alignment horizontal="center"/>
    </xf>
    <xf borderId="45" fillId="17" fontId="368" numFmtId="0" xfId="0" applyAlignment="1" applyBorder="1" applyFont="1">
      <alignment horizontal="center"/>
    </xf>
    <xf borderId="61" fillId="8" fontId="354" numFmtId="0" xfId="0" applyAlignment="1" applyBorder="1" applyFont="1">
      <alignment horizontal="center" readingOrder="0" textRotation="90" vertical="center"/>
    </xf>
    <xf borderId="121" fillId="30" fontId="360" numFmtId="0" xfId="0" applyAlignment="1" applyBorder="1" applyFont="1">
      <alignment horizontal="center" readingOrder="0" vertical="center"/>
    </xf>
    <xf borderId="64" fillId="30" fontId="369" numFmtId="0" xfId="0" applyAlignment="1" applyBorder="1" applyFont="1">
      <alignment readingOrder="0" vertical="bottom"/>
    </xf>
    <xf borderId="64" fillId="30" fontId="133" numFmtId="0" xfId="0" applyAlignment="1" applyBorder="1" applyFont="1">
      <alignment readingOrder="0" vertical="bottom"/>
    </xf>
    <xf borderId="64" fillId="30" fontId="133" numFmtId="0" xfId="0" applyAlignment="1" applyBorder="1" applyFont="1">
      <alignment readingOrder="0" shrinkToFit="0" vertical="bottom" wrapText="0"/>
    </xf>
    <xf borderId="64" fillId="30" fontId="361" numFmtId="0" xfId="0" applyAlignment="1" applyBorder="1" applyFont="1">
      <alignment readingOrder="0"/>
    </xf>
    <xf borderId="64" fillId="30" fontId="129" numFmtId="0" xfId="0" applyAlignment="1" applyBorder="1" applyFont="1">
      <alignment readingOrder="0"/>
    </xf>
    <xf borderId="64" fillId="30" fontId="103" numFmtId="0" xfId="0" applyAlignment="1" applyBorder="1" applyFont="1">
      <alignment readingOrder="0"/>
    </xf>
    <xf borderId="120" fillId="13" fontId="370" numFmtId="0" xfId="0" applyAlignment="1" applyBorder="1" applyFont="1">
      <alignment horizontal="center" readingOrder="0" vertical="center"/>
    </xf>
    <xf borderId="120" fillId="13" fontId="139" numFmtId="0" xfId="0" applyAlignment="1" applyBorder="1" applyFont="1">
      <alignment readingOrder="0"/>
    </xf>
    <xf borderId="120" fillId="33" fontId="371" numFmtId="0" xfId="0" applyAlignment="1" applyBorder="1" applyFont="1">
      <alignment horizontal="center" readingOrder="0" vertical="center"/>
    </xf>
    <xf borderId="120" fillId="33" fontId="372" numFmtId="0" xfId="0" applyAlignment="1" applyBorder="1" applyFont="1">
      <alignment readingOrder="0"/>
    </xf>
    <xf borderId="62" fillId="4" fontId="356" numFmtId="0" xfId="0" applyAlignment="1" applyBorder="1" applyFont="1">
      <alignment horizontal="center" readingOrder="0"/>
    </xf>
    <xf borderId="35" fillId="4" fontId="356" numFmtId="0" xfId="0" applyAlignment="1" applyBorder="1" applyFont="1">
      <alignment horizontal="center" readingOrder="0"/>
    </xf>
    <xf borderId="193" fillId="17" fontId="136" numFmtId="0" xfId="0" applyAlignment="1" applyBorder="1" applyFont="1">
      <alignment horizontal="center" readingOrder="0" vertical="center"/>
    </xf>
    <xf borderId="193" fillId="17" fontId="373" numFmtId="0" xfId="0" applyAlignment="1" applyBorder="1" applyFont="1">
      <alignment readingOrder="0"/>
    </xf>
    <xf borderId="15" fillId="17" fontId="3" numFmtId="0" xfId="0" applyBorder="1" applyFont="1"/>
    <xf borderId="62" fillId="17" fontId="3" numFmtId="0" xfId="0" applyBorder="1" applyFont="1"/>
    <xf borderId="25" fillId="17" fontId="3" numFmtId="0" xfId="0" applyBorder="1" applyFont="1"/>
    <xf borderId="27" fillId="17" fontId="323" numFmtId="0" xfId="0" applyAlignment="1" applyBorder="1" applyFont="1">
      <alignment vertical="bottom"/>
    </xf>
    <xf borderId="16" fillId="17" fontId="323" numFmtId="0" xfId="0" applyAlignment="1" applyBorder="1" applyFont="1">
      <alignment vertical="bottom"/>
    </xf>
    <xf borderId="16" fillId="17" fontId="323" numFmtId="0" xfId="0" applyAlignment="1" applyBorder="1" applyFont="1">
      <alignment horizontal="center" vertical="center"/>
    </xf>
    <xf borderId="27" fillId="17" fontId="323" numFmtId="0" xfId="0" applyAlignment="1" applyBorder="1" applyFont="1">
      <alignment horizontal="center" vertical="center"/>
    </xf>
    <xf borderId="62" fillId="17" fontId="323" numFmtId="0" xfId="0" applyAlignment="1" applyBorder="1" applyFont="1">
      <alignment horizontal="center"/>
    </xf>
    <xf borderId="35" fillId="17" fontId="323" numFmtId="0" xfId="0" applyAlignment="1" applyBorder="1" applyFont="1">
      <alignment horizontal="center"/>
    </xf>
    <xf borderId="31" fillId="8" fontId="374" numFmtId="0" xfId="0" applyAlignment="1" applyBorder="1" applyFont="1">
      <alignment horizontal="center" textRotation="90" vertical="center"/>
    </xf>
    <xf borderId="0" fillId="21" fontId="195" numFmtId="0" xfId="0" applyFont="1"/>
    <xf borderId="47" fillId="19" fontId="150" numFmtId="0" xfId="0" applyAlignment="1" applyBorder="1" applyFont="1">
      <alignment horizontal="right" vertical="bottom"/>
    </xf>
    <xf borderId="64" fillId="19" fontId="150" numFmtId="0" xfId="0" applyAlignment="1" applyBorder="1" applyFont="1">
      <alignment horizontal="right" vertical="bottom"/>
    </xf>
    <xf borderId="64" fillId="19" fontId="150" numFmtId="0" xfId="0" applyAlignment="1" applyBorder="1" applyFont="1">
      <alignment horizontal="right" vertical="center"/>
    </xf>
    <xf borderId="64" fillId="19" fontId="150" numFmtId="0" xfId="0" applyAlignment="1" applyBorder="1" applyFont="1">
      <alignment horizontal="right"/>
    </xf>
    <xf borderId="0" fillId="18" fontId="195" numFmtId="0" xfId="0" applyFont="1"/>
    <xf borderId="47" fillId="22" fontId="150" numFmtId="0" xfId="0" applyAlignment="1" applyBorder="1" applyFont="1">
      <alignment horizontal="right" vertical="bottom"/>
    </xf>
    <xf borderId="64" fillId="22" fontId="150" numFmtId="0" xfId="0" applyAlignment="1" applyBorder="1" applyFont="1">
      <alignment horizontal="right" vertical="bottom"/>
    </xf>
    <xf borderId="64" fillId="22" fontId="150" numFmtId="0" xfId="0" applyAlignment="1" applyBorder="1" applyFont="1">
      <alignment horizontal="right" vertical="center"/>
    </xf>
    <xf borderId="64" fillId="22" fontId="150" numFmtId="0" xfId="0" applyAlignment="1" applyBorder="1" applyFont="1">
      <alignment horizontal="right"/>
    </xf>
    <xf borderId="0" fillId="20" fontId="195" numFmtId="0" xfId="0" applyFont="1"/>
    <xf borderId="47" fillId="20" fontId="150" numFmtId="0" xfId="0" applyAlignment="1" applyBorder="1" applyFont="1">
      <alignment horizontal="right" vertical="bottom"/>
    </xf>
    <xf borderId="64" fillId="20" fontId="150" numFmtId="0" xfId="0" applyAlignment="1" applyBorder="1" applyFont="1">
      <alignment horizontal="right" vertical="bottom"/>
    </xf>
    <xf borderId="64" fillId="20" fontId="150" numFmtId="0" xfId="0" applyAlignment="1" applyBorder="1" applyFont="1">
      <alignment horizontal="right" vertical="center"/>
    </xf>
    <xf borderId="64" fillId="20" fontId="150" numFmtId="0" xfId="0" applyAlignment="1" applyBorder="1" applyFont="1">
      <alignment horizontal="right"/>
    </xf>
    <xf borderId="0" fillId="4" fontId="375" numFmtId="0" xfId="0" applyFont="1"/>
    <xf borderId="47" fillId="4" fontId="356" numFmtId="0" xfId="0" applyAlignment="1" applyBorder="1" applyFont="1">
      <alignment horizontal="right" vertical="bottom"/>
    </xf>
    <xf borderId="64" fillId="4" fontId="356" numFmtId="0" xfId="0" applyAlignment="1" applyBorder="1" applyFont="1">
      <alignment horizontal="right" vertical="bottom"/>
    </xf>
    <xf borderId="64" fillId="4" fontId="356" numFmtId="0" xfId="0" applyAlignment="1" applyBorder="1" applyFont="1">
      <alignment horizontal="right" vertical="center"/>
    </xf>
    <xf borderId="64" fillId="4" fontId="356" numFmtId="0" xfId="0" applyAlignment="1" applyBorder="1" applyFont="1">
      <alignment horizontal="right"/>
    </xf>
    <xf borderId="0" fillId="23" fontId="195" numFmtId="0" xfId="0" applyFont="1"/>
    <xf borderId="47" fillId="23" fontId="150" numFmtId="0" xfId="0" applyAlignment="1" applyBorder="1" applyFont="1">
      <alignment horizontal="right" vertical="bottom"/>
    </xf>
    <xf borderId="64" fillId="23" fontId="150" numFmtId="0" xfId="0" applyAlignment="1" applyBorder="1" applyFont="1">
      <alignment horizontal="right" vertical="bottom"/>
    </xf>
    <xf borderId="64" fillId="23" fontId="150" numFmtId="0" xfId="0" applyAlignment="1" applyBorder="1" applyFont="1">
      <alignment horizontal="right" vertical="center"/>
    </xf>
    <xf borderId="64" fillId="23" fontId="150" numFmtId="0" xfId="0" applyAlignment="1" applyBorder="1" applyFont="1">
      <alignment horizontal="right"/>
    </xf>
    <xf borderId="0" fillId="0" fontId="195" numFmtId="0" xfId="0" applyFont="1"/>
    <xf borderId="47" fillId="0" fontId="150" numFmtId="0" xfId="0" applyAlignment="1" applyBorder="1" applyFont="1">
      <alignment horizontal="right" vertical="bottom"/>
    </xf>
    <xf borderId="64" fillId="0" fontId="150" numFmtId="0" xfId="0" applyAlignment="1" applyBorder="1" applyFont="1">
      <alignment horizontal="right" vertical="bottom"/>
    </xf>
    <xf borderId="64" fillId="0" fontId="150" numFmtId="0" xfId="0" applyAlignment="1" applyBorder="1" applyFont="1">
      <alignment horizontal="right" vertical="center"/>
    </xf>
    <xf borderId="64" fillId="0" fontId="150" numFmtId="0" xfId="0" applyAlignment="1" applyBorder="1" applyFont="1">
      <alignment horizontal="right"/>
    </xf>
    <xf borderId="44" fillId="0" fontId="195" numFmtId="9" xfId="0" applyBorder="1" applyFont="1" applyNumberFormat="1"/>
    <xf borderId="45" fillId="0" fontId="150" numFmtId="9" xfId="0" applyAlignment="1" applyBorder="1" applyFont="1" applyNumberFormat="1">
      <alignment horizontal="right" vertical="bottom"/>
    </xf>
    <xf borderId="66" fillId="0" fontId="150" numFmtId="9" xfId="0" applyAlignment="1" applyBorder="1" applyFont="1" applyNumberFormat="1">
      <alignment horizontal="right" vertical="bottom"/>
    </xf>
    <xf borderId="66" fillId="0" fontId="150" numFmtId="9" xfId="0" applyAlignment="1" applyBorder="1" applyFont="1" applyNumberFormat="1">
      <alignment horizontal="right" vertical="center"/>
    </xf>
    <xf borderId="66" fillId="0" fontId="150" numFmtId="9" xfId="0" applyAlignment="1" applyBorder="1" applyFont="1" applyNumberFormat="1">
      <alignment horizontal="right"/>
    </xf>
    <xf borderId="180" fillId="2" fontId="376" numFmtId="0" xfId="0" applyAlignment="1" applyBorder="1" applyFont="1">
      <alignment readingOrder="0" vertical="bottom"/>
    </xf>
    <xf borderId="211" fillId="8" fontId="136" numFmtId="0" xfId="0" applyAlignment="1" applyBorder="1" applyFont="1">
      <alignment horizontal="center" readingOrder="0" vertical="center"/>
    </xf>
    <xf borderId="16" fillId="8" fontId="377" numFmtId="0" xfId="0" applyAlignment="1" applyBorder="1" applyFont="1">
      <alignment horizontal="center" vertical="center"/>
    </xf>
    <xf borderId="18" fillId="8" fontId="126" numFmtId="0" xfId="0" applyAlignment="1" applyBorder="1" applyFont="1">
      <alignment horizontal="center" readingOrder="0" vertical="center"/>
    </xf>
    <xf borderId="216" fillId="8" fontId="127" numFmtId="0" xfId="0" applyAlignment="1" applyBorder="1" applyFont="1">
      <alignment horizontal="center" readingOrder="0"/>
    </xf>
    <xf borderId="217" fillId="8" fontId="127" numFmtId="0" xfId="0" applyAlignment="1" applyBorder="1" applyFont="1">
      <alignment horizontal="center" readingOrder="0"/>
    </xf>
    <xf borderId="218" fillId="8" fontId="127" numFmtId="0" xfId="0" applyAlignment="1" applyBorder="1" applyFont="1">
      <alignment horizontal="center" readingOrder="0"/>
    </xf>
    <xf borderId="35" fillId="17" fontId="134" numFmtId="0" xfId="0" applyAlignment="1" applyBorder="1" applyFont="1">
      <alignment horizontal="center" readingOrder="0"/>
    </xf>
    <xf borderId="131" fillId="17" fontId="127" numFmtId="0" xfId="0" applyAlignment="1" applyBorder="1" applyFont="1">
      <alignment horizontal="center" readingOrder="0"/>
    </xf>
    <xf borderId="46" fillId="17" fontId="127" numFmtId="0" xfId="0" applyAlignment="1" applyBorder="1" applyFont="1">
      <alignment horizontal="center" readingOrder="0"/>
    </xf>
    <xf borderId="121" fillId="8" fontId="134" numFmtId="0" xfId="0" applyAlignment="1" applyBorder="1" applyFont="1">
      <alignment horizontal="center" readingOrder="0" vertical="center"/>
    </xf>
    <xf borderId="108" fillId="7" fontId="355" numFmtId="0" xfId="0" applyAlignment="1" applyBorder="1" applyFont="1">
      <alignment horizontal="center" readingOrder="0" vertical="center"/>
    </xf>
    <xf borderId="129" fillId="7" fontId="358" numFmtId="0" xfId="0" applyAlignment="1" applyBorder="1" applyFont="1">
      <alignment horizontal="left" readingOrder="0" vertical="center"/>
    </xf>
    <xf borderId="47" fillId="0" fontId="121" numFmtId="0" xfId="0" applyAlignment="1" applyBorder="1" applyFont="1">
      <alignment horizontal="center" readingOrder="0" vertical="center"/>
    </xf>
    <xf borderId="45" fillId="7" fontId="378" numFmtId="0" xfId="0" applyAlignment="1" applyBorder="1" applyFont="1">
      <alignment horizontal="left" readingOrder="0" vertical="center"/>
    </xf>
    <xf borderId="64" fillId="17" fontId="151" numFmtId="0" xfId="0" applyAlignment="1" applyBorder="1" applyFont="1">
      <alignment horizontal="center" readingOrder="0" vertical="center"/>
    </xf>
    <xf borderId="59" fillId="29" fontId="360" numFmtId="0" xfId="0" applyAlignment="1" applyBorder="1" applyFont="1">
      <alignment horizontal="center" readingOrder="0" vertical="center"/>
    </xf>
    <xf borderId="45" fillId="29" fontId="149" numFmtId="0" xfId="0" applyAlignment="1" applyBorder="1" applyFont="1">
      <alignment horizontal="left" readingOrder="0" vertical="center"/>
    </xf>
    <xf borderId="59" fillId="31" fontId="379" numFmtId="0" xfId="0" applyAlignment="1" applyBorder="1" applyFont="1">
      <alignment horizontal="center" readingOrder="0" vertical="center"/>
    </xf>
    <xf borderId="60" fillId="31" fontId="130" numFmtId="0" xfId="0" applyAlignment="1" applyBorder="1" applyFont="1">
      <alignment horizontal="left" readingOrder="0" vertical="center"/>
    </xf>
    <xf borderId="43" fillId="17" fontId="3" numFmtId="0" xfId="0" applyBorder="1" applyFont="1"/>
    <xf borderId="44" fillId="17" fontId="3" numFmtId="0" xfId="0" applyBorder="1" applyFont="1"/>
    <xf borderId="44" fillId="17" fontId="380" numFmtId="0" xfId="0" applyAlignment="1" applyBorder="1" applyFont="1">
      <alignment horizontal="left"/>
    </xf>
    <xf borderId="60" fillId="17" fontId="381" numFmtId="0" xfId="0" applyAlignment="1" applyBorder="1" applyFont="1">
      <alignment horizontal="center" vertical="center"/>
    </xf>
    <xf borderId="59" fillId="17" fontId="382" numFmtId="0" xfId="0" applyBorder="1" applyFont="1"/>
    <xf borderId="59" fillId="17" fontId="383" numFmtId="0" xfId="0" applyBorder="1" applyFont="1"/>
    <xf borderId="60" fillId="17" fontId="384" numFmtId="0" xfId="0" applyAlignment="1" applyBorder="1" applyFont="1">
      <alignment horizontal="center" shrinkToFit="0" vertical="center" wrapText="0"/>
    </xf>
    <xf borderId="60" fillId="17" fontId="322" numFmtId="0" xfId="0" applyAlignment="1" applyBorder="1" applyFont="1">
      <alignment horizontal="center" shrinkToFit="0" vertical="center" wrapText="0"/>
    </xf>
    <xf borderId="108" fillId="30" fontId="360" numFmtId="0" xfId="0" applyAlignment="1" applyBorder="1" applyFont="1">
      <alignment horizontal="center" readingOrder="0" vertical="center"/>
    </xf>
    <xf borderId="0" fillId="30" fontId="149" numFmtId="0" xfId="0" applyAlignment="1" applyFont="1">
      <alignment horizontal="left" readingOrder="0" vertical="center"/>
    </xf>
    <xf borderId="0" fillId="30" fontId="369" numFmtId="0" xfId="0" applyAlignment="1" applyFont="1">
      <alignment horizontal="left" readingOrder="0" vertical="center"/>
    </xf>
    <xf borderId="44" fillId="30" fontId="149" numFmtId="0" xfId="0" applyAlignment="1" applyBorder="1" applyFont="1">
      <alignment horizontal="left" readingOrder="0" vertical="center"/>
    </xf>
    <xf borderId="108" fillId="13" fontId="385" numFmtId="0" xfId="0" applyAlignment="1" applyBorder="1" applyFont="1">
      <alignment horizontal="center" readingOrder="0" vertical="center"/>
    </xf>
    <xf borderId="0" fillId="13" fontId="139" numFmtId="0" xfId="0" applyAlignment="1" applyFont="1">
      <alignment horizontal="left" readingOrder="0" vertical="center"/>
    </xf>
    <xf borderId="44" fillId="13" fontId="139" numFmtId="0" xfId="0" applyAlignment="1" applyBorder="1" applyFont="1">
      <alignment horizontal="left" readingOrder="0" vertical="center"/>
    </xf>
    <xf borderId="56" fillId="17" fontId="3" numFmtId="0" xfId="0" applyBorder="1" applyFont="1"/>
    <xf borderId="35" fillId="17" fontId="3" numFmtId="0" xfId="0" applyBorder="1" applyFont="1"/>
    <xf borderId="16" fillId="17" fontId="322" numFmtId="0" xfId="0" applyAlignment="1" applyBorder="1" applyFont="1">
      <alignment readingOrder="0" shrinkToFit="0" wrapText="0"/>
    </xf>
    <xf borderId="0" fillId="8" fontId="374" numFmtId="0" xfId="0" applyAlignment="1" applyFont="1">
      <alignment horizontal="center" readingOrder="0" textRotation="90" vertical="center"/>
    </xf>
    <xf borderId="30" fillId="19" fontId="386" numFmtId="0" xfId="0" applyAlignment="1" applyBorder="1" applyFont="1">
      <alignment vertical="center"/>
    </xf>
    <xf borderId="71" fillId="19" fontId="150" numFmtId="0" xfId="0" applyAlignment="1" applyBorder="1" applyFont="1">
      <alignment horizontal="right" vertical="bottom"/>
    </xf>
    <xf borderId="30" fillId="22" fontId="386" numFmtId="0" xfId="0" applyAlignment="1" applyBorder="1" applyFont="1">
      <alignment vertical="center"/>
    </xf>
    <xf borderId="71" fillId="22" fontId="150" numFmtId="0" xfId="0" applyAlignment="1" applyBorder="1" applyFont="1">
      <alignment horizontal="right" vertical="bottom"/>
    </xf>
    <xf borderId="30" fillId="20" fontId="195" numFmtId="0" xfId="0" applyAlignment="1" applyBorder="1" applyFont="1">
      <alignment vertical="center"/>
    </xf>
    <xf borderId="71" fillId="20" fontId="150" numFmtId="0" xfId="0" applyAlignment="1" applyBorder="1" applyFont="1">
      <alignment horizontal="right" vertical="bottom"/>
    </xf>
    <xf borderId="30" fillId="4" fontId="375" numFmtId="0" xfId="0" applyAlignment="1" applyBorder="1" applyFont="1">
      <alignment vertical="center"/>
    </xf>
    <xf borderId="71" fillId="4" fontId="356" numFmtId="0" xfId="0" applyAlignment="1" applyBorder="1" applyFont="1">
      <alignment horizontal="right" vertical="bottom"/>
    </xf>
    <xf borderId="30" fillId="23" fontId="195" numFmtId="0" xfId="0" applyAlignment="1" applyBorder="1" applyFont="1">
      <alignment vertical="center"/>
    </xf>
    <xf borderId="31" fillId="23" fontId="150" numFmtId="0" xfId="0" applyAlignment="1" applyBorder="1" applyFont="1">
      <alignment horizontal="right" vertical="bottom"/>
    </xf>
    <xf borderId="30" fillId="0" fontId="195" numFmtId="0" xfId="0" applyAlignment="1" applyBorder="1" applyFont="1">
      <alignment vertical="center"/>
    </xf>
    <xf borderId="31" fillId="0" fontId="150" numFmtId="0" xfId="0" applyAlignment="1" applyBorder="1" applyFont="1">
      <alignment horizontal="right" vertical="bottom"/>
    </xf>
    <xf borderId="70" fillId="0" fontId="195" numFmtId="9" xfId="0" applyAlignment="1" applyBorder="1" applyFont="1" applyNumberFormat="1">
      <alignment vertical="center"/>
    </xf>
    <xf borderId="65" fillId="0" fontId="150" numFmtId="9" xfId="0" applyAlignment="1" applyBorder="1" applyFont="1" applyNumberFormat="1">
      <alignment horizontal="right" vertical="bottom"/>
    </xf>
    <xf borderId="0" fillId="29" fontId="137" numFmtId="0" xfId="0" applyAlignment="1" applyFont="1">
      <alignment horizontal="center" readingOrder="0" vertical="top"/>
    </xf>
    <xf borderId="56" fillId="17" fontId="127" numFmtId="0" xfId="0" applyAlignment="1" applyBorder="1" applyFont="1">
      <alignment horizontal="center" readingOrder="0"/>
    </xf>
    <xf borderId="56" fillId="17" fontId="127" numFmtId="0" xfId="0" applyAlignment="1" applyBorder="1" applyFont="1">
      <alignment horizontal="center" readingOrder="0" vertical="center"/>
    </xf>
    <xf borderId="62" fillId="17" fontId="87" numFmtId="0" xfId="0" applyAlignment="1" applyBorder="1" applyFont="1">
      <alignment vertical="bottom"/>
    </xf>
    <xf borderId="204" fillId="29" fontId="360" numFmtId="0" xfId="0" applyAlignment="1" applyBorder="1" applyFont="1">
      <alignment horizontal="center" readingOrder="0" vertical="center"/>
    </xf>
    <xf borderId="47" fillId="29" fontId="103" numFmtId="0" xfId="0" applyAlignment="1" applyBorder="1" applyFont="1">
      <alignment readingOrder="0" vertical="center"/>
    </xf>
    <xf borderId="47" fillId="4" fontId="154" numFmtId="0" xfId="0" applyAlignment="1" applyBorder="1" applyFont="1">
      <alignment horizontal="center" readingOrder="0" vertical="center"/>
    </xf>
    <xf borderId="0" fillId="4" fontId="356" numFmtId="0" xfId="0" applyAlignment="1" applyFont="1">
      <alignment horizontal="center" readingOrder="0" vertical="center"/>
    </xf>
    <xf borderId="47" fillId="4" fontId="356" numFmtId="0" xfId="0" applyAlignment="1" applyBorder="1" applyFont="1">
      <alignment horizontal="center" readingOrder="0" vertical="center"/>
    </xf>
    <xf borderId="0" fillId="4" fontId="154" numFmtId="0" xfId="0" applyAlignment="1" applyFont="1">
      <alignment horizontal="center" readingOrder="0" vertical="center"/>
    </xf>
    <xf borderId="42" fillId="4" fontId="356" numFmtId="0" xfId="0" applyAlignment="1" applyBorder="1" applyFont="1">
      <alignment horizontal="center" readingOrder="0" vertical="center"/>
    </xf>
    <xf borderId="131" fillId="4" fontId="356" numFmtId="0" xfId="0" applyAlignment="1" applyBorder="1" applyFont="1">
      <alignment horizontal="center" readingOrder="0" vertical="center"/>
    </xf>
    <xf borderId="46" fillId="4" fontId="356" numFmtId="0" xfId="0" applyAlignment="1" applyBorder="1" applyFont="1">
      <alignment horizontal="center" readingOrder="0" vertical="center"/>
    </xf>
    <xf borderId="130" fillId="4" fontId="356" numFmtId="0" xfId="0" applyAlignment="1" applyBorder="1" applyFont="1">
      <alignment horizontal="center" readingOrder="0" vertical="center"/>
    </xf>
    <xf borderId="47" fillId="29" fontId="129" numFmtId="0" xfId="0" applyAlignment="1" applyBorder="1" applyFont="1">
      <alignment readingOrder="0" vertical="center"/>
    </xf>
    <xf borderId="47" fillId="29" fontId="361" numFmtId="0" xfId="0" applyAlignment="1" applyBorder="1" applyFont="1">
      <alignment readingOrder="0" vertical="center"/>
    </xf>
    <xf borderId="42" fillId="4" fontId="356" numFmtId="0" xfId="0" applyAlignment="1" applyBorder="1" applyFont="1">
      <alignment horizontal="center" vertical="center"/>
    </xf>
    <xf borderId="0" fillId="4" fontId="356" numFmtId="0" xfId="0" applyAlignment="1" applyFont="1">
      <alignment horizontal="center" vertical="center"/>
    </xf>
    <xf borderId="47" fillId="4" fontId="356" numFmtId="0" xfId="0" applyAlignment="1" applyBorder="1" applyFont="1">
      <alignment horizontal="center" vertical="center"/>
    </xf>
    <xf borderId="42" fillId="0" fontId="150" numFmtId="0" xfId="0" applyAlignment="1" applyBorder="1" applyFont="1">
      <alignment horizontal="center" readingOrder="0" vertical="center"/>
    </xf>
    <xf borderId="45" fillId="0" fontId="150" numFmtId="0" xfId="0" applyAlignment="1" applyBorder="1" applyFont="1">
      <alignment horizontal="center" readingOrder="0" vertical="center"/>
    </xf>
    <xf borderId="43" fillId="0" fontId="150" numFmtId="0" xfId="0" applyAlignment="1" applyBorder="1" applyFont="1">
      <alignment horizontal="center" readingOrder="0" vertical="center"/>
    </xf>
    <xf borderId="44" fillId="17" fontId="151" numFmtId="0" xfId="0" applyAlignment="1" applyBorder="1" applyFont="1">
      <alignment horizontal="center" vertical="center"/>
    </xf>
    <xf borderId="45" fillId="17" fontId="151" numFmtId="0" xfId="0" applyAlignment="1" applyBorder="1" applyFont="1">
      <alignment horizontal="center" vertical="center"/>
    </xf>
    <xf borderId="0" fillId="17" fontId="151" numFmtId="0" xfId="0" applyAlignment="1" applyFont="1">
      <alignment horizontal="center" vertical="center"/>
    </xf>
    <xf borderId="42" fillId="17" fontId="151" numFmtId="0" xfId="0" applyAlignment="1" applyBorder="1" applyFont="1">
      <alignment horizontal="center" vertical="center"/>
    </xf>
    <xf borderId="47" fillId="17" fontId="151" numFmtId="0" xfId="0" applyAlignment="1" applyBorder="1" applyFont="1">
      <alignment horizontal="center" vertical="center"/>
    </xf>
    <xf borderId="66" fillId="29" fontId="133" numFmtId="0" xfId="0" applyAlignment="1" applyBorder="1" applyFont="1">
      <alignment readingOrder="0" shrinkToFit="0" vertical="center" wrapText="0"/>
    </xf>
    <xf borderId="64" fillId="30" fontId="149" numFmtId="0" xfId="0" applyAlignment="1" applyBorder="1" applyFont="1">
      <alignment readingOrder="0" vertical="bottom"/>
    </xf>
    <xf borderId="64" fillId="30" fontId="361" numFmtId="0" xfId="0" applyAlignment="1" applyBorder="1" applyFont="1">
      <alignment readingOrder="0" vertical="center"/>
    </xf>
    <xf borderId="0" fillId="17" fontId="151" numFmtId="0" xfId="0" applyAlignment="1" applyFont="1">
      <alignment horizontal="center" readingOrder="0" vertical="center"/>
    </xf>
    <xf borderId="47" fillId="17" fontId="151" numFmtId="0" xfId="0" applyAlignment="1" applyBorder="1" applyFont="1">
      <alignment horizontal="center" readingOrder="0" vertical="center"/>
    </xf>
    <xf borderId="45" fillId="4" fontId="356" numFmtId="0" xfId="0" applyAlignment="1" applyBorder="1" applyFont="1">
      <alignment horizontal="center"/>
    </xf>
    <xf borderId="45" fillId="30" fontId="129" numFmtId="0" xfId="0" applyAlignment="1" applyBorder="1" applyFont="1">
      <alignment readingOrder="0"/>
    </xf>
    <xf borderId="43" fillId="17" fontId="151" numFmtId="0" xfId="0" applyAlignment="1" applyBorder="1" applyFont="1">
      <alignment horizontal="center" vertical="center"/>
    </xf>
    <xf borderId="44" fillId="17" fontId="151" numFmtId="0" xfId="0" applyAlignment="1" applyBorder="1" applyFont="1">
      <alignment horizontal="center"/>
    </xf>
    <xf borderId="44" fillId="0" fontId="151" numFmtId="0" xfId="0" applyAlignment="1" applyBorder="1" applyFont="1">
      <alignment horizontal="center" readingOrder="0" vertical="center"/>
    </xf>
    <xf borderId="45" fillId="0" fontId="151" numFmtId="0" xfId="0" applyAlignment="1" applyBorder="1" applyFont="1">
      <alignment horizontal="center" readingOrder="0" vertical="center"/>
    </xf>
    <xf borderId="0" fillId="0" fontId="151" numFmtId="0" xfId="0" applyAlignment="1" applyFont="1">
      <alignment horizontal="center" readingOrder="0" vertical="center"/>
    </xf>
    <xf borderId="44" fillId="17" fontId="3" numFmtId="0" xfId="0" applyAlignment="1" applyBorder="1" applyFont="1">
      <alignment horizontal="center" vertical="center"/>
    </xf>
    <xf borderId="45" fillId="17" fontId="387" numFmtId="0" xfId="0" applyBorder="1" applyFont="1"/>
    <xf borderId="44" fillId="17" fontId="388" numFmtId="0" xfId="0" applyAlignment="1" applyBorder="1" applyFont="1">
      <alignment vertical="center"/>
    </xf>
    <xf borderId="44" fillId="17" fontId="389" numFmtId="0" xfId="0" applyAlignment="1" applyBorder="1" applyFont="1">
      <alignment horizontal="center" vertical="center"/>
    </xf>
    <xf borderId="121" fillId="7" fontId="131" numFmtId="0" xfId="0" applyAlignment="1" applyBorder="1" applyFont="1">
      <alignment readingOrder="0" vertical="center"/>
    </xf>
    <xf borderId="64" fillId="7" fontId="390" numFmtId="0" xfId="0" applyAlignment="1" applyBorder="1" applyFont="1">
      <alignment readingOrder="0" vertical="center"/>
    </xf>
    <xf borderId="45" fillId="7" fontId="357" numFmtId="0" xfId="0" applyAlignment="1" applyBorder="1" applyFont="1">
      <alignment readingOrder="0" vertical="center"/>
    </xf>
    <xf borderId="42" fillId="19" fontId="154" numFmtId="0" xfId="0" applyAlignment="1" applyBorder="1" applyFont="1">
      <alignment horizontal="center"/>
    </xf>
    <xf borderId="47" fillId="18" fontId="154" numFmtId="0" xfId="0" applyAlignment="1" applyBorder="1" applyFont="1">
      <alignment horizontal="center"/>
    </xf>
    <xf borderId="121" fillId="13" fontId="370" numFmtId="0" xfId="0" applyAlignment="1" applyBorder="1" applyFont="1">
      <alignment horizontal="center" readingOrder="0" vertical="center"/>
    </xf>
    <xf borderId="52" fillId="33" fontId="371" numFmtId="0" xfId="0" applyAlignment="1" applyBorder="1" applyFont="1">
      <alignment horizontal="center" readingOrder="0" vertical="center"/>
    </xf>
    <xf borderId="121" fillId="33" fontId="372" numFmtId="0" xfId="0" applyAlignment="1" applyBorder="1" applyFont="1">
      <alignment readingOrder="0"/>
    </xf>
    <xf borderId="35" fillId="4" fontId="154" numFmtId="0" xfId="0" applyAlignment="1" applyBorder="1" applyFont="1">
      <alignment horizontal="center" readingOrder="0"/>
    </xf>
    <xf borderId="62" fillId="4" fontId="356" numFmtId="0" xfId="0" applyAlignment="1" applyBorder="1" applyFont="1">
      <alignment horizontal="center" readingOrder="0" vertical="center"/>
    </xf>
    <xf borderId="62" fillId="4" fontId="154" numFmtId="0" xfId="0" applyAlignment="1" applyBorder="1" applyFont="1">
      <alignment horizontal="center" readingOrder="0" vertical="center"/>
    </xf>
    <xf borderId="35" fillId="4" fontId="154" numFmtId="0" xfId="0" applyAlignment="1" applyBorder="1" applyFont="1">
      <alignment horizontal="center" readingOrder="0" vertical="center"/>
    </xf>
    <xf borderId="56" fillId="4" fontId="356" numFmtId="0" xfId="0" applyAlignment="1" applyBorder="1" applyFont="1">
      <alignment horizontal="center" readingOrder="0" vertical="center"/>
    </xf>
    <xf borderId="35" fillId="4" fontId="356" numFmtId="0" xfId="0" applyAlignment="1" applyBorder="1" applyFont="1">
      <alignment horizontal="center" readingOrder="0" vertical="center"/>
    </xf>
    <xf borderId="17" fillId="17" fontId="3" numFmtId="0" xfId="0" applyBorder="1" applyFont="1"/>
    <xf borderId="62" fillId="17" fontId="323" numFmtId="0" xfId="0" applyAlignment="1" applyBorder="1" applyFont="1">
      <alignment horizontal="center" vertical="bottom"/>
    </xf>
    <xf borderId="121" fillId="8" fontId="134" numFmtId="0" xfId="0" applyAlignment="1" applyBorder="1" applyFont="1">
      <alignment horizontal="center" readingOrder="0"/>
    </xf>
    <xf borderId="60" fillId="29" fontId="149" numFmtId="0" xfId="0" applyAlignment="1" applyBorder="1" applyFont="1">
      <alignment horizontal="left" readingOrder="0" vertical="center"/>
    </xf>
    <xf borderId="59" fillId="30" fontId="360" numFmtId="0" xfId="0" applyAlignment="1" applyBorder="1" applyFont="1">
      <alignment horizontal="center" readingOrder="0" vertical="center"/>
    </xf>
    <xf borderId="60" fillId="30" fontId="149" numFmtId="0" xfId="0" applyAlignment="1" applyBorder="1" applyFont="1">
      <alignment horizontal="left" readingOrder="0" vertical="center"/>
    </xf>
    <xf borderId="42" fillId="17" fontId="3" numFmtId="0" xfId="0" applyBorder="1" applyFont="1"/>
    <xf borderId="0" fillId="17" fontId="3" numFmtId="0" xfId="0" applyFont="1"/>
    <xf borderId="0" fillId="17" fontId="380" numFmtId="0" xfId="0" applyAlignment="1" applyFont="1">
      <alignment horizontal="left"/>
    </xf>
    <xf borderId="59" fillId="7" fontId="355" numFmtId="0" xfId="0" applyAlignment="1" applyBorder="1" applyFont="1">
      <alignment horizontal="center" readingOrder="0" vertical="center"/>
    </xf>
    <xf borderId="60" fillId="7" fontId="378" numFmtId="0" xfId="0" applyAlignment="1" applyBorder="1" applyFont="1">
      <alignment horizontal="left" readingOrder="0" vertical="center"/>
    </xf>
    <xf borderId="0" fillId="13" fontId="391" numFmtId="0" xfId="0" applyAlignment="1" applyFont="1">
      <alignment horizontal="left" readingOrder="0" vertical="center"/>
    </xf>
    <xf borderId="64" fillId="17" fontId="151" numFmtId="0" xfId="0" applyAlignment="1" applyBorder="1" applyFont="1">
      <alignment horizontal="center" vertical="center"/>
    </xf>
    <xf borderId="45" fillId="13" fontId="139" numFmtId="0" xfId="0" applyAlignment="1" applyBorder="1" applyFont="1">
      <alignment horizontal="left" readingOrder="0" vertical="center"/>
    </xf>
    <xf borderId="71" fillId="23" fontId="150" numFmtId="0" xfId="0" applyAlignment="1" applyBorder="1" applyFont="1">
      <alignment horizontal="right" vertical="bottom"/>
    </xf>
    <xf borderId="71" fillId="0" fontId="150" numFmtId="0" xfId="0" applyAlignment="1" applyBorder="1" applyFont="1">
      <alignment horizontal="right" vertical="bottom"/>
    </xf>
    <xf borderId="73" fillId="0" fontId="150" numFmtId="9" xfId="0" applyAlignment="1" applyBorder="1" applyFont="1" applyNumberFormat="1">
      <alignment horizontal="right" vertical="bottom"/>
    </xf>
    <xf borderId="52" fillId="17" fontId="127" numFmtId="0" xfId="0" applyAlignment="1" applyBorder="1" applyFont="1">
      <alignment horizontal="center" readingOrder="0"/>
    </xf>
    <xf borderId="66" fillId="7" fontId="357" numFmtId="0" xfId="0" applyAlignment="1" applyBorder="1" applyFont="1">
      <alignment readingOrder="0" vertical="center"/>
    </xf>
    <xf borderId="121" fillId="30" fontId="103" numFmtId="0" xfId="0" applyAlignment="1" applyBorder="1" applyFont="1">
      <alignment readingOrder="0"/>
    </xf>
    <xf borderId="64" fillId="30" fontId="129" numFmtId="0" xfId="0" applyAlignment="1" applyBorder="1" applyFont="1">
      <alignment readingOrder="0" vertical="center"/>
    </xf>
    <xf borderId="66" fillId="30" fontId="129" numFmtId="0" xfId="0" applyAlignment="1" applyBorder="1" applyFont="1">
      <alignment readingOrder="0"/>
    </xf>
    <xf borderId="121" fillId="31" fontId="392" numFmtId="0" xfId="0" applyAlignment="1" applyBorder="1" applyFont="1">
      <alignment horizontal="left" readingOrder="0" vertical="center"/>
    </xf>
    <xf borderId="66" fillId="31" fontId="148" numFmtId="0" xfId="0" applyAlignment="1" applyBorder="1" applyFont="1">
      <alignment horizontal="left" readingOrder="0" vertical="center"/>
    </xf>
    <xf borderId="16" fillId="8" fontId="393" numFmtId="0" xfId="0" applyAlignment="1" applyBorder="1" applyFont="1">
      <alignment horizontal="center" vertical="center"/>
    </xf>
    <xf borderId="18" fillId="8" fontId="354" numFmtId="0" xfId="0" applyAlignment="1" applyBorder="1" applyFont="1">
      <alignment horizontal="center" readingOrder="0" vertical="center"/>
    </xf>
    <xf borderId="35" fillId="17" fontId="394" numFmtId="0" xfId="0" applyAlignment="1" applyBorder="1" applyFont="1">
      <alignment horizontal="center" readingOrder="0"/>
    </xf>
    <xf borderId="25" fillId="17" fontId="395" numFmtId="0" xfId="0" applyAlignment="1" applyBorder="1" applyFont="1">
      <alignment horizontal="center" readingOrder="0"/>
    </xf>
    <xf borderId="111" fillId="17" fontId="127" numFmtId="0" xfId="0" applyAlignment="1" applyBorder="1" applyFont="1">
      <alignment horizontal="center" readingOrder="0"/>
    </xf>
    <xf borderId="47" fillId="8" fontId="134" numFmtId="0" xfId="0" applyAlignment="1" applyBorder="1" applyFont="1">
      <alignment horizontal="center" readingOrder="0"/>
    </xf>
    <xf borderId="0" fillId="29" fontId="360" numFmtId="0" xfId="0" applyAlignment="1" applyFont="1">
      <alignment horizontal="center" readingOrder="0" vertical="center"/>
    </xf>
    <xf borderId="31" fillId="29" fontId="149" numFmtId="0" xfId="0" applyAlignment="1" applyBorder="1" applyFont="1">
      <alignment horizontal="left" readingOrder="0" vertical="center"/>
    </xf>
    <xf borderId="0" fillId="0" fontId="121" numFmtId="0" xfId="0" applyAlignment="1" applyFont="1">
      <alignment horizontal="center" readingOrder="0" vertical="center"/>
    </xf>
    <xf borderId="31" fillId="0" fontId="121" numFmtId="0" xfId="0" applyAlignment="1" applyBorder="1" applyFont="1">
      <alignment horizontal="center" readingOrder="0" vertical="center"/>
    </xf>
    <xf borderId="0" fillId="7" fontId="355" numFmtId="0" xfId="0" applyAlignment="1" applyFont="1">
      <alignment horizontal="center" readingOrder="0" vertical="center"/>
    </xf>
    <xf borderId="25" fillId="7" fontId="378" numFmtId="0" xfId="0" applyAlignment="1" applyBorder="1" applyFont="1">
      <alignment horizontal="left" readingOrder="0" vertical="center"/>
    </xf>
    <xf borderId="48" fillId="17" fontId="3" numFmtId="0" xfId="0" applyBorder="1" applyFont="1"/>
    <xf borderId="46" fillId="17" fontId="3" numFmtId="0" xfId="0" applyBorder="1" applyFont="1"/>
    <xf borderId="59" fillId="17" fontId="396" numFmtId="0" xfId="0" applyAlignment="1" applyBorder="1" applyFont="1">
      <alignment horizontal="center" vertical="center"/>
    </xf>
    <xf borderId="69" fillId="17" fontId="397" numFmtId="0" xfId="0" applyAlignment="1" applyBorder="1" applyFont="1">
      <alignment horizontal="center" vertical="center"/>
    </xf>
    <xf borderId="180" fillId="2" fontId="87" numFmtId="0" xfId="0" applyAlignment="1" applyBorder="1" applyFont="1">
      <alignment readingOrder="0" vertical="bottom"/>
    </xf>
    <xf borderId="0" fillId="8" fontId="134" numFmtId="0" xfId="0" applyAlignment="1" applyFont="1">
      <alignment horizontal="center" readingOrder="0" vertical="center"/>
    </xf>
    <xf borderId="131" fillId="30" fontId="360" numFmtId="0" xfId="0" applyAlignment="1" applyBorder="1" applyFont="1">
      <alignment horizontal="center" readingOrder="0" vertical="center"/>
    </xf>
    <xf borderId="19" fillId="30" fontId="149" numFmtId="0" xfId="0" applyAlignment="1" applyBorder="1" applyFont="1">
      <alignment horizontal="left" readingOrder="0" vertical="center"/>
    </xf>
    <xf borderId="42" fillId="31" fontId="379" numFmtId="0" xfId="0" applyAlignment="1" applyBorder="1" applyFont="1">
      <alignment horizontal="center" readingOrder="0" vertical="center"/>
    </xf>
    <xf borderId="31" fillId="31" fontId="130" numFmtId="0" xfId="0" applyAlignment="1" applyBorder="1" applyFont="1">
      <alignment horizontal="left" readingOrder="0" vertical="center"/>
    </xf>
    <xf borderId="42" fillId="13" fontId="385" numFmtId="0" xfId="0" applyAlignment="1" applyBorder="1" applyFont="1">
      <alignment horizontal="center" readingOrder="0" vertical="center"/>
    </xf>
    <xf borderId="31" fillId="13" fontId="139" numFmtId="0" xfId="0" applyAlignment="1" applyBorder="1" applyFont="1">
      <alignment horizontal="left" readingOrder="0" vertical="center"/>
    </xf>
    <xf borderId="16" fillId="17" fontId="3" numFmtId="0" xfId="0" applyBorder="1" applyFont="1"/>
    <xf borderId="27" fillId="17" fontId="3" numFmtId="0" xfId="0" applyBorder="1" applyFont="1"/>
    <xf borderId="17" fillId="17" fontId="322" numFmtId="0" xfId="0" applyAlignment="1" applyBorder="1" applyFont="1">
      <alignment readingOrder="0"/>
    </xf>
    <xf borderId="31" fillId="19" fontId="150" numFmtId="0" xfId="0" applyAlignment="1" applyBorder="1" applyFont="1">
      <alignment horizontal="right" vertical="bottom"/>
    </xf>
    <xf borderId="31" fillId="22" fontId="150" numFmtId="0" xfId="0" applyAlignment="1" applyBorder="1" applyFont="1">
      <alignment horizontal="right" vertical="bottom"/>
    </xf>
    <xf borderId="30" fillId="20" fontId="386" numFmtId="0" xfId="0" applyAlignment="1" applyBorder="1" applyFont="1">
      <alignment vertical="center"/>
    </xf>
    <xf borderId="31" fillId="20" fontId="150" numFmtId="0" xfId="0" applyAlignment="1" applyBorder="1" applyFont="1">
      <alignment horizontal="right" vertical="bottom"/>
    </xf>
    <xf borderId="30" fillId="4" fontId="398" numFmtId="0" xfId="0" applyAlignment="1" applyBorder="1" applyFont="1">
      <alignment vertical="center"/>
    </xf>
    <xf borderId="31" fillId="4" fontId="356" numFmtId="0" xfId="0" applyAlignment="1" applyBorder="1" applyFont="1">
      <alignment horizontal="right" vertical="bottom"/>
    </xf>
    <xf borderId="18" fillId="8" fontId="393" numFmtId="0" xfId="0" applyAlignment="1" applyBorder="1" applyFont="1">
      <alignment horizontal="left" readingOrder="0" vertical="center"/>
    </xf>
    <xf borderId="62" fillId="17" fontId="127" numFmtId="0" xfId="0" applyAlignment="1" applyBorder="1" applyFont="1">
      <alignment horizontal="center" readingOrder="0"/>
    </xf>
    <xf borderId="47" fillId="29" fontId="103" numFmtId="0" xfId="0" applyAlignment="1" applyBorder="1" applyFont="1">
      <alignment readingOrder="0"/>
    </xf>
    <xf borderId="47" fillId="29" fontId="129" numFmtId="0" xfId="0" applyAlignment="1" applyBorder="1" applyFont="1">
      <alignment readingOrder="0"/>
    </xf>
    <xf borderId="47" fillId="29" fontId="133" numFmtId="0" xfId="0" applyAlignment="1" applyBorder="1" applyFont="1">
      <alignment horizontal="left" readingOrder="0" vertical="center"/>
    </xf>
    <xf borderId="43" fillId="29" fontId="133" numFmtId="0" xfId="0" applyAlignment="1" applyBorder="1" applyFont="1">
      <alignment readingOrder="0" shrinkToFit="0" vertical="bottom" wrapText="0"/>
    </xf>
    <xf borderId="42" fillId="17" fontId="151" numFmtId="0" xfId="0" applyAlignment="1" applyBorder="1" applyFont="1">
      <alignment horizontal="center" readingOrder="0" vertical="center"/>
    </xf>
    <xf borderId="0" fillId="18" fontId="150" numFmtId="0" xfId="0" applyAlignment="1" applyFont="1">
      <alignment horizontal="center"/>
    </xf>
    <xf borderId="121" fillId="30" fontId="379" numFmtId="0" xfId="0" applyAlignment="1" applyBorder="1" applyFont="1">
      <alignment horizontal="center" readingOrder="0" vertical="center"/>
    </xf>
    <xf borderId="64" fillId="30" fontId="130" numFmtId="0" xfId="0" applyAlignment="1" applyBorder="1" applyFont="1">
      <alignment vertical="bottom"/>
    </xf>
    <xf borderId="64" fillId="30" fontId="148" numFmtId="0" xfId="0" applyAlignment="1" applyBorder="1" applyFont="1">
      <alignment vertical="bottom"/>
    </xf>
    <xf borderId="64" fillId="30" fontId="399" numFmtId="0" xfId="0" applyAlignment="1" applyBorder="1" applyFont="1">
      <alignment vertical="bottom"/>
    </xf>
    <xf borderId="64" fillId="30" fontId="148" numFmtId="0" xfId="0" applyBorder="1" applyFont="1"/>
    <xf borderId="47" fillId="30" fontId="128" numFmtId="0" xfId="0" applyAlignment="1" applyBorder="1" applyFont="1">
      <alignment readingOrder="0"/>
    </xf>
    <xf borderId="45" fillId="30" fontId="128" numFmtId="0" xfId="0" applyAlignment="1" applyBorder="1" applyFont="1">
      <alignment readingOrder="0"/>
    </xf>
    <xf borderId="121" fillId="36" fontId="379" numFmtId="0" xfId="0" applyAlignment="1" applyBorder="1" applyFont="1">
      <alignment horizontal="center" readingOrder="0" vertical="center"/>
    </xf>
    <xf borderId="42" fillId="36" fontId="399" numFmtId="0" xfId="0" applyAlignment="1" applyBorder="1" applyFont="1">
      <alignment vertical="bottom"/>
    </xf>
    <xf borderId="0" fillId="36" fontId="127" numFmtId="0" xfId="0" applyAlignment="1" applyFont="1">
      <alignment readingOrder="0" vertical="center"/>
    </xf>
    <xf borderId="42" fillId="36" fontId="148" numFmtId="0" xfId="0" applyAlignment="1" applyBorder="1" applyFont="1">
      <alignment readingOrder="0" shrinkToFit="0" vertical="bottom" wrapText="0"/>
    </xf>
    <xf borderId="219" fillId="36" fontId="148" numFmtId="0" xfId="0" applyAlignment="1" applyBorder="1" applyFont="1">
      <alignment shrinkToFit="0" vertical="bottom" wrapText="0"/>
    </xf>
    <xf borderId="61" fillId="44" fontId="400" numFmtId="0" xfId="0" applyAlignment="1" applyBorder="1" applyFont="1">
      <alignment horizontal="center" readingOrder="0" vertical="center"/>
    </xf>
    <xf borderId="121" fillId="44" fontId="401" numFmtId="0" xfId="0" applyAlignment="1" applyBorder="1" applyFont="1">
      <alignment readingOrder="0" vertical="bottom"/>
    </xf>
    <xf borderId="64" fillId="44" fontId="149" numFmtId="0" xfId="0" applyAlignment="1" applyBorder="1" applyFont="1">
      <alignment readingOrder="0" vertical="bottom"/>
    </xf>
    <xf borderId="44" fillId="17" fontId="151" numFmtId="0" xfId="0" applyAlignment="1" applyBorder="1" applyFont="1">
      <alignment horizontal="center" readingOrder="0" vertical="center"/>
    </xf>
    <xf borderId="45" fillId="17" fontId="151" numFmtId="0" xfId="0" applyAlignment="1" applyBorder="1" applyFont="1">
      <alignment horizontal="center" readingOrder="0" vertical="center"/>
    </xf>
    <xf borderId="60" fillId="17" fontId="3" numFmtId="0" xfId="0" applyAlignment="1" applyBorder="1" applyFont="1">
      <alignment horizontal="center" vertical="center"/>
    </xf>
    <xf borderId="43" fillId="17" fontId="402" numFmtId="0" xfId="0" applyAlignment="1" applyBorder="1" applyFont="1">
      <alignment horizontal="center" vertical="center"/>
    </xf>
    <xf borderId="44" fillId="17" fontId="403" numFmtId="0" xfId="0" applyAlignment="1" applyBorder="1" applyFont="1">
      <alignment horizontal="center" vertical="center"/>
    </xf>
    <xf borderId="45" fillId="17" fontId="404" numFmtId="0" xfId="0" applyAlignment="1" applyBorder="1" applyFont="1">
      <alignment horizontal="center" vertical="center"/>
    </xf>
    <xf borderId="47" fillId="7" fontId="131" numFmtId="0" xfId="0" applyAlignment="1" applyBorder="1" applyFont="1">
      <alignment readingOrder="0"/>
    </xf>
    <xf borderId="47" fillId="7" fontId="357" numFmtId="0" xfId="0" applyAlignment="1" applyBorder="1" applyFont="1">
      <alignment readingOrder="0"/>
    </xf>
    <xf borderId="121" fillId="38" fontId="360" numFmtId="0" xfId="0" applyAlignment="1" applyBorder="1" applyFont="1">
      <alignment horizontal="center" readingOrder="0" vertical="center"/>
    </xf>
    <xf borderId="121" fillId="38" fontId="149" numFmtId="0" xfId="0" applyAlignment="1" applyBorder="1" applyFont="1">
      <alignment readingOrder="0" vertical="center"/>
    </xf>
    <xf borderId="47" fillId="38" fontId="380" numFmtId="0" xfId="0" applyAlignment="1" applyBorder="1" applyFont="1">
      <alignment readingOrder="0"/>
    </xf>
    <xf borderId="121" fillId="32" fontId="126" numFmtId="0" xfId="0" applyAlignment="1" applyBorder="1" applyFont="1">
      <alignment horizontal="center" readingOrder="0" vertical="center"/>
    </xf>
    <xf borderId="47" fillId="32" fontId="127" numFmtId="0" xfId="0" applyAlignment="1" applyBorder="1" applyFont="1">
      <alignment readingOrder="0"/>
    </xf>
    <xf borderId="47" fillId="32" fontId="128" numFmtId="0" xfId="0" applyAlignment="1" applyBorder="1" applyFont="1">
      <alignment readingOrder="0"/>
    </xf>
    <xf borderId="121" fillId="34" fontId="120" numFmtId="0" xfId="0" applyAlignment="1" applyBorder="1" applyFont="1">
      <alignment horizontal="center" readingOrder="0" vertical="center"/>
    </xf>
    <xf borderId="129" fillId="34" fontId="310" numFmtId="0" xfId="0" applyAlignment="1" applyBorder="1" applyFont="1">
      <alignment readingOrder="0"/>
    </xf>
    <xf borderId="47" fillId="34" fontId="380" numFmtId="0" xfId="0" applyAlignment="1" applyBorder="1" applyFont="1">
      <alignment readingOrder="0"/>
    </xf>
    <xf borderId="45" fillId="34" fontId="380" numFmtId="0" xfId="0" applyAlignment="1" applyBorder="1" applyFont="1">
      <alignment readingOrder="0"/>
    </xf>
    <xf borderId="121" fillId="13" fontId="385" numFmtId="0" xfId="0" applyAlignment="1" applyBorder="1" applyFont="1">
      <alignment horizontal="center" readingOrder="0" vertical="center"/>
    </xf>
    <xf borderId="47" fillId="13" fontId="139" numFmtId="0" xfId="0" applyAlignment="1" applyBorder="1" applyFont="1">
      <alignment readingOrder="0"/>
    </xf>
    <xf borderId="45" fillId="13" fontId="405" numFmtId="0" xfId="0" applyAlignment="1" applyBorder="1" applyFont="1">
      <alignment readingOrder="0"/>
    </xf>
    <xf borderId="193" fillId="39" fontId="147" numFmtId="0" xfId="0" applyAlignment="1" applyBorder="1" applyFont="1">
      <alignment horizontal="center" readingOrder="0" vertical="center"/>
    </xf>
    <xf borderId="47" fillId="39" fontId="130" numFmtId="0" xfId="0" applyAlignment="1" applyBorder="1" applyFont="1">
      <alignment horizontal="left" readingOrder="0" vertical="center"/>
    </xf>
    <xf borderId="0" fillId="2" fontId="87" numFmtId="0" xfId="0" applyAlignment="1" applyFont="1">
      <alignment vertical="bottom"/>
    </xf>
    <xf borderId="0" fillId="29" fontId="149" numFmtId="0" xfId="0" applyAlignment="1" applyFont="1">
      <alignment horizontal="left" readingOrder="0" vertical="center"/>
    </xf>
    <xf borderId="0" fillId="30" fontId="379" numFmtId="0" xfId="0" applyAlignment="1" applyFont="1">
      <alignment horizontal="center" readingOrder="0" vertical="center"/>
    </xf>
    <xf borderId="0" fillId="30" fontId="130" numFmtId="0" xfId="0" applyAlignment="1" applyFont="1">
      <alignment horizontal="left" readingOrder="0" vertical="center"/>
    </xf>
    <xf borderId="0" fillId="36" fontId="379" numFmtId="0" xfId="0" applyAlignment="1" applyFont="1">
      <alignment horizontal="center" readingOrder="0" vertical="center"/>
    </xf>
    <xf borderId="0" fillId="36" fontId="130" numFmtId="0" xfId="0" applyAlignment="1" applyFont="1">
      <alignment horizontal="left" readingOrder="0" vertical="center"/>
    </xf>
    <xf borderId="0" fillId="44" fontId="360" numFmtId="0" xfId="0" applyAlignment="1" applyFont="1">
      <alignment horizontal="center" readingOrder="0" vertical="center"/>
    </xf>
    <xf borderId="0" fillId="44" fontId="401" numFmtId="0" xfId="0" applyAlignment="1" applyFont="1">
      <alignment horizontal="left" readingOrder="0" vertical="center"/>
    </xf>
    <xf borderId="62" fillId="44" fontId="149" numFmtId="0" xfId="0" applyAlignment="1" applyBorder="1" applyFont="1">
      <alignment horizontal="left" readingOrder="0" vertical="center"/>
    </xf>
    <xf borderId="62" fillId="17" fontId="3" numFmtId="0" xfId="0" applyAlignment="1" applyBorder="1" applyFont="1">
      <alignment horizontal="left"/>
    </xf>
    <xf borderId="58" fillId="17" fontId="406" numFmtId="0" xfId="0" applyAlignment="1" applyBorder="1" applyFont="1">
      <alignment horizontal="center" vertical="center"/>
    </xf>
    <xf borderId="185" fillId="2" fontId="87" numFmtId="0" xfId="0" applyAlignment="1" applyBorder="1" applyFont="1">
      <alignment vertical="bottom"/>
    </xf>
    <xf borderId="0" fillId="7" fontId="378" numFmtId="0" xfId="0" applyAlignment="1" applyFont="1">
      <alignment horizontal="left" readingOrder="0" vertical="center"/>
    </xf>
    <xf borderId="0" fillId="38" fontId="360" numFmtId="0" xfId="0" applyAlignment="1" applyFont="1">
      <alignment horizontal="center" readingOrder="0" vertical="center"/>
    </xf>
    <xf borderId="0" fillId="38" fontId="401" numFmtId="0" xfId="0" applyAlignment="1" applyFont="1">
      <alignment horizontal="left" readingOrder="0" vertical="center"/>
    </xf>
    <xf borderId="0" fillId="38" fontId="149" numFmtId="0" xfId="0" applyAlignment="1" applyFont="1">
      <alignment horizontal="left" readingOrder="0" vertical="center"/>
    </xf>
    <xf borderId="0" fillId="32" fontId="407" numFmtId="0" xfId="0" applyAlignment="1" applyFont="1">
      <alignment horizontal="center" readingOrder="0"/>
    </xf>
    <xf borderId="0" fillId="32" fontId="130" numFmtId="0" xfId="0" applyAlignment="1" applyFont="1">
      <alignment horizontal="left" readingOrder="0" vertical="center"/>
    </xf>
    <xf borderId="0" fillId="34" fontId="360" numFmtId="0" xfId="0" applyAlignment="1" applyFont="1">
      <alignment horizontal="center" readingOrder="0" vertical="center"/>
    </xf>
    <xf borderId="0" fillId="34" fontId="149" numFmtId="0" xfId="0" applyAlignment="1" applyFont="1">
      <alignment horizontal="left" readingOrder="0" vertical="center"/>
    </xf>
    <xf borderId="0" fillId="13" fontId="408" numFmtId="0" xfId="0" applyAlignment="1" applyFont="1">
      <alignment horizontal="center" readingOrder="0" vertical="center"/>
    </xf>
    <xf borderId="0" fillId="13" fontId="409" numFmtId="0" xfId="0" applyAlignment="1" applyFont="1">
      <alignment horizontal="left" readingOrder="0" vertical="center"/>
    </xf>
    <xf borderId="0" fillId="8" fontId="393" numFmtId="0" xfId="0" applyAlignment="1" applyFont="1">
      <alignment vertical="center"/>
    </xf>
    <xf borderId="0" fillId="30" fontId="134" numFmtId="0" xfId="0" applyAlignment="1" applyFont="1">
      <alignment horizontal="center" readingOrder="0" vertical="top"/>
    </xf>
    <xf borderId="0" fillId="17" fontId="127" numFmtId="0" xfId="0" applyAlignment="1" applyFont="1">
      <alignment horizontal="center" readingOrder="0"/>
    </xf>
    <xf borderId="47" fillId="30" fontId="379" numFmtId="0" xfId="0" applyAlignment="1" applyBorder="1" applyFont="1">
      <alignment horizontal="center" readingOrder="0" vertical="center"/>
    </xf>
    <xf borderId="47" fillId="30" fontId="127" numFmtId="0" xfId="0" applyAlignment="1" applyBorder="1" applyFont="1">
      <alignment readingOrder="0"/>
    </xf>
    <xf borderId="0" fillId="19" fontId="150" numFmtId="0" xfId="0" applyAlignment="1" applyFont="1">
      <alignment horizontal="center"/>
    </xf>
    <xf borderId="47" fillId="19" fontId="150" numFmtId="0" xfId="0" applyAlignment="1" applyBorder="1" applyFont="1">
      <alignment horizontal="center"/>
    </xf>
    <xf borderId="47" fillId="30" fontId="410" numFmtId="0" xfId="0" applyAlignment="1" applyBorder="1" applyFont="1">
      <alignment readingOrder="0"/>
    </xf>
    <xf borderId="0" fillId="4" fontId="154" numFmtId="0" xfId="0" applyAlignment="1" applyFont="1">
      <alignment horizontal="center" readingOrder="0"/>
    </xf>
    <xf borderId="42" fillId="4" fontId="356" numFmtId="0" xfId="0" applyAlignment="1" applyBorder="1" applyFont="1">
      <alignment horizontal="center"/>
    </xf>
    <xf borderId="47" fillId="30" fontId="148" numFmtId="0" xfId="0" applyAlignment="1" applyBorder="1" applyFont="1">
      <alignment horizontal="left" readingOrder="0" vertical="center"/>
    </xf>
    <xf borderId="47" fillId="36" fontId="379" numFmtId="0" xfId="0" applyAlignment="1" applyBorder="1" applyFont="1">
      <alignment horizontal="center" readingOrder="0" vertical="center"/>
    </xf>
    <xf borderId="219" fillId="36" fontId="130" numFmtId="0" xfId="0" applyAlignment="1" applyBorder="1" applyFont="1">
      <alignment readingOrder="0" shrinkToFit="0" vertical="bottom" wrapText="0"/>
    </xf>
    <xf borderId="42" fillId="36" fontId="148" numFmtId="0" xfId="0" applyAlignment="1" applyBorder="1" applyFont="1">
      <alignment vertical="bottom"/>
    </xf>
    <xf borderId="219" fillId="36" fontId="148" numFmtId="0" xfId="0" applyAlignment="1" applyBorder="1" applyFont="1">
      <alignment readingOrder="0" shrinkToFit="0" vertical="bottom" wrapText="0"/>
    </xf>
    <xf borderId="47" fillId="7" fontId="355" numFmtId="0" xfId="0" applyAlignment="1" applyBorder="1" applyFont="1">
      <alignment horizontal="center" readingOrder="0" vertical="center"/>
    </xf>
    <xf borderId="47" fillId="7" fontId="411" numFmtId="0" xfId="0" applyAlignment="1" applyBorder="1" applyFont="1">
      <alignment readingOrder="0"/>
    </xf>
    <xf borderId="47" fillId="7" fontId="390" numFmtId="0" xfId="0" applyAlignment="1" applyBorder="1" applyFont="1">
      <alignment readingOrder="0"/>
    </xf>
    <xf borderId="47" fillId="11" fontId="360" numFmtId="0" xfId="0" applyAlignment="1" applyBorder="1" applyFont="1">
      <alignment horizontal="center" readingOrder="0" vertical="center"/>
    </xf>
    <xf borderId="64" fillId="11" fontId="412" numFmtId="0" xfId="0" applyAlignment="1" applyBorder="1" applyFont="1">
      <alignment vertical="bottom"/>
    </xf>
    <xf borderId="64" fillId="11" fontId="386" numFmtId="0" xfId="0" applyAlignment="1" applyBorder="1" applyFont="1">
      <alignment readingOrder="0" shrinkToFit="0" vertical="bottom" wrapText="0"/>
    </xf>
    <xf borderId="64" fillId="11" fontId="386" numFmtId="0" xfId="0" applyAlignment="1" applyBorder="1" applyFont="1">
      <alignment shrinkToFit="0" vertical="bottom" wrapText="0"/>
    </xf>
    <xf borderId="64" fillId="11" fontId="412" numFmtId="0" xfId="0" applyAlignment="1" applyBorder="1" applyFont="1">
      <alignment shrinkToFit="0" wrapText="0"/>
    </xf>
    <xf borderId="64" fillId="11" fontId="386" numFmtId="0" xfId="0" applyBorder="1" applyFont="1"/>
    <xf borderId="47" fillId="11" fontId="195" numFmtId="0" xfId="0" applyAlignment="1" applyBorder="1" applyFont="1">
      <alignment readingOrder="0"/>
    </xf>
    <xf borderId="120" fillId="17" fontId="413" numFmtId="0" xfId="0" applyAlignment="1" applyBorder="1" applyFont="1">
      <alignment horizontal="center" vertical="center"/>
    </xf>
    <xf borderId="47" fillId="37" fontId="379" numFmtId="0" xfId="0" applyAlignment="1" applyBorder="1" applyFont="1">
      <alignment horizontal="center" readingOrder="0" vertical="center"/>
    </xf>
    <xf borderId="47" fillId="37" fontId="373" numFmtId="0" xfId="0" applyAlignment="1" applyBorder="1" applyFont="1">
      <alignment readingOrder="0"/>
    </xf>
    <xf borderId="47" fillId="37" fontId="127" numFmtId="0" xfId="0" applyAlignment="1" applyBorder="1" applyFont="1">
      <alignment readingOrder="0"/>
    </xf>
    <xf borderId="47" fillId="37" fontId="410" numFmtId="0" xfId="0" applyAlignment="1" applyBorder="1" applyFont="1">
      <alignment readingOrder="0"/>
    </xf>
    <xf borderId="47" fillId="37" fontId="128" numFmtId="0" xfId="0" applyAlignment="1" applyBorder="1" applyFont="1">
      <alignment readingOrder="0"/>
    </xf>
    <xf borderId="47" fillId="38" fontId="360" numFmtId="0" xfId="0" applyAlignment="1" applyBorder="1" applyFont="1">
      <alignment horizontal="center" readingOrder="0" vertical="center"/>
    </xf>
    <xf borderId="64" fillId="38" fontId="149" numFmtId="0" xfId="0" applyAlignment="1" applyBorder="1" applyFont="1">
      <alignment readingOrder="0" vertical="center"/>
    </xf>
    <xf borderId="47" fillId="38" fontId="414" numFmtId="0" xfId="0" applyAlignment="1" applyBorder="1" applyFont="1">
      <alignment readingOrder="0"/>
    </xf>
    <xf borderId="0" fillId="0" fontId="150" numFmtId="0" xfId="0" applyAlignment="1" applyFont="1">
      <alignment horizontal="center"/>
    </xf>
    <xf borderId="47" fillId="0" fontId="150" numFmtId="0" xfId="0" applyAlignment="1" applyBorder="1" applyFont="1">
      <alignment horizontal="center"/>
    </xf>
    <xf borderId="47" fillId="32" fontId="379" numFmtId="0" xfId="0" applyAlignment="1" applyBorder="1" applyFont="1">
      <alignment horizontal="center" readingOrder="0" vertical="center"/>
    </xf>
    <xf borderId="47" fillId="34" fontId="360" numFmtId="0" xfId="0" applyAlignment="1" applyBorder="1" applyFont="1">
      <alignment horizontal="center" readingOrder="0" vertical="center"/>
    </xf>
    <xf borderId="47" fillId="34" fontId="414" numFmtId="0" xfId="0" applyAlignment="1" applyBorder="1" applyFont="1">
      <alignment readingOrder="0"/>
    </xf>
    <xf borderId="47" fillId="34" fontId="310" numFmtId="0" xfId="0" applyAlignment="1" applyBorder="1" applyFont="1">
      <alignment readingOrder="0"/>
    </xf>
    <xf borderId="47" fillId="13" fontId="408" numFmtId="0" xfId="0" applyAlignment="1" applyBorder="1" applyFont="1">
      <alignment horizontal="center" readingOrder="0" vertical="center"/>
    </xf>
    <xf borderId="47" fillId="13" fontId="405" numFmtId="0" xfId="0" applyAlignment="1" applyBorder="1" applyFont="1">
      <alignment readingOrder="0"/>
    </xf>
    <xf borderId="47" fillId="39" fontId="379" numFmtId="0" xfId="0" applyAlignment="1" applyBorder="1" applyFont="1">
      <alignment horizontal="center" readingOrder="0" vertical="center"/>
    </xf>
    <xf borderId="47" fillId="40" fontId="415" numFmtId="0" xfId="0" applyAlignment="1" applyBorder="1" applyFont="1">
      <alignment horizontal="center" readingOrder="0" vertical="center"/>
    </xf>
    <xf borderId="47" fillId="40" fontId="416" numFmtId="0" xfId="0" applyAlignment="1" applyBorder="1" applyFont="1">
      <alignment horizontal="left" readingOrder="0" vertical="center"/>
    </xf>
    <xf borderId="47" fillId="40" fontId="417" numFmtId="0" xfId="0" applyAlignment="1" applyBorder="1" applyFont="1">
      <alignment horizontal="left" readingOrder="0" vertical="center"/>
    </xf>
    <xf borderId="62" fillId="4" fontId="154" numFmtId="0" xfId="0" applyAlignment="1" applyBorder="1" applyFont="1">
      <alignment horizontal="center" readingOrder="0"/>
    </xf>
    <xf borderId="47" fillId="17" fontId="418" numFmtId="0" xfId="0" applyAlignment="1" applyBorder="1" applyFont="1">
      <alignment horizontal="center" readingOrder="0"/>
    </xf>
    <xf borderId="220" fillId="17" fontId="127" numFmtId="0" xfId="0" applyAlignment="1" applyBorder="1" applyFont="1">
      <alignment horizontal="center" readingOrder="0"/>
    </xf>
    <xf borderId="221" fillId="0" fontId="3" numFmtId="0" xfId="0" applyAlignment="1" applyBorder="1" applyFont="1">
      <alignment horizontal="center" readingOrder="0" vertical="center"/>
    </xf>
    <xf borderId="107" fillId="0" fontId="3" numFmtId="0" xfId="0" applyAlignment="1" applyBorder="1" applyFont="1">
      <alignment horizontal="center" readingOrder="0" vertical="center"/>
    </xf>
    <xf borderId="222" fillId="0" fontId="3" numFmtId="0" xfId="0" applyAlignment="1" applyBorder="1" applyFont="1">
      <alignment horizontal="center" readingOrder="0" vertical="center"/>
    </xf>
    <xf borderId="42" fillId="0" fontId="121" numFmtId="0" xfId="0" applyAlignment="1" applyBorder="1" applyFont="1">
      <alignment horizontal="center" readingOrder="0" vertical="center"/>
    </xf>
    <xf borderId="221" fillId="0" fontId="121" numFmtId="0" xfId="0" applyAlignment="1" applyBorder="1" applyFont="1">
      <alignment horizontal="center" readingOrder="0" vertical="center"/>
    </xf>
    <xf borderId="47" fillId="0" fontId="3" numFmtId="0" xfId="0" applyAlignment="1" applyBorder="1" applyFont="1">
      <alignment horizontal="center" readingOrder="0" vertical="center"/>
    </xf>
    <xf borderId="0" fillId="0" fontId="3" numFmtId="0" xfId="0" applyAlignment="1" applyFont="1">
      <alignment horizontal="center" readingOrder="0" vertical="center"/>
    </xf>
    <xf borderId="64" fillId="0" fontId="3" numFmtId="0" xfId="0" applyAlignment="1" applyBorder="1" applyFont="1">
      <alignment horizontal="center" readingOrder="0" vertical="center"/>
    </xf>
    <xf borderId="0" fillId="7" fontId="355" numFmtId="0" xfId="0" applyAlignment="1" applyFont="1">
      <alignment horizontal="center" readingOrder="0" vertical="center"/>
    </xf>
    <xf borderId="0" fillId="11" fontId="360" numFmtId="0" xfId="0" applyAlignment="1" applyFont="1">
      <alignment horizontal="center" readingOrder="0" vertical="center"/>
    </xf>
    <xf borderId="0" fillId="11" fontId="149" numFmtId="0" xfId="0" applyAlignment="1" applyFont="1">
      <alignment horizontal="left" readingOrder="0" vertical="center"/>
    </xf>
    <xf borderId="27" fillId="17" fontId="419" numFmtId="0" xfId="0" applyAlignment="1" applyBorder="1" applyFont="1">
      <alignment horizontal="center" vertical="center"/>
    </xf>
    <xf borderId="16" fillId="17" fontId="420" numFmtId="0" xfId="0" applyAlignment="1" applyBorder="1" applyFont="1">
      <alignment horizontal="center" vertical="center"/>
    </xf>
    <xf borderId="53" fillId="17" fontId="421" numFmtId="0" xfId="0" applyAlignment="1" applyBorder="1" applyFont="1">
      <alignment horizontal="center" vertical="center"/>
    </xf>
    <xf borderId="48" fillId="17" fontId="422" numFmtId="0" xfId="0" applyAlignment="1" applyBorder="1" applyFont="1">
      <alignment horizontal="center" vertical="center"/>
    </xf>
    <xf borderId="27" fillId="17" fontId="423" numFmtId="0" xfId="0" applyAlignment="1" applyBorder="1" applyFont="1">
      <alignment horizontal="center" vertical="center"/>
    </xf>
    <xf borderId="0" fillId="37" fontId="379" numFmtId="0" xfId="0" applyAlignment="1" applyFont="1">
      <alignment horizontal="center" readingOrder="0" vertical="center"/>
    </xf>
    <xf borderId="0" fillId="37" fontId="130" numFmtId="0" xfId="0" applyAlignment="1" applyFont="1">
      <alignment readingOrder="0" vertical="center"/>
    </xf>
    <xf borderId="47" fillId="4" fontId="3" numFmtId="0" xfId="0" applyAlignment="1" applyBorder="1" applyFont="1">
      <alignment horizontal="center" readingOrder="0" vertical="center"/>
    </xf>
    <xf borderId="47" fillId="21" fontId="121" numFmtId="0" xfId="0" applyAlignment="1" applyBorder="1" applyFont="1">
      <alignment horizontal="center" readingOrder="0" vertical="center"/>
    </xf>
    <xf borderId="0" fillId="38" fontId="149" numFmtId="0" xfId="0" applyAlignment="1" applyFont="1">
      <alignment readingOrder="0" vertical="center"/>
    </xf>
    <xf borderId="47" fillId="4" fontId="121" numFmtId="0" xfId="0" applyAlignment="1" applyBorder="1" applyFont="1">
      <alignment horizontal="center" readingOrder="0" vertical="center"/>
    </xf>
    <xf borderId="0" fillId="40" fontId="415" numFmtId="0" xfId="0" applyAlignment="1" applyFont="1">
      <alignment horizontal="center" readingOrder="0" vertical="center"/>
    </xf>
    <xf borderId="0" fillId="40" fontId="424" numFmtId="0" xfId="0" applyAlignment="1" applyFont="1">
      <alignment horizontal="left" readingOrder="0" vertical="center"/>
    </xf>
    <xf borderId="0" fillId="44" fontId="195" numFmtId="0" xfId="0" applyAlignment="1" applyFont="1">
      <alignment horizontal="left" readingOrder="0" vertical="center"/>
    </xf>
    <xf borderId="64" fillId="0" fontId="150" numFmtId="0" xfId="0" applyAlignment="1" applyBorder="1" applyFont="1">
      <alignment horizontal="center" readingOrder="0" vertical="center"/>
    </xf>
    <xf borderId="56" fillId="0" fontId="121" numFmtId="0" xfId="0" applyAlignment="1" applyBorder="1" applyFont="1">
      <alignment horizontal="center" readingOrder="0" vertical="center"/>
    </xf>
    <xf borderId="62" fillId="17" fontId="425" numFmtId="0" xfId="0" applyAlignment="1" applyBorder="1" applyFont="1">
      <alignment readingOrder="0"/>
    </xf>
    <xf borderId="16" fillId="17" fontId="425" numFmtId="0" xfId="0" applyAlignment="1" applyBorder="1" applyFont="1">
      <alignment readingOrder="0"/>
    </xf>
    <xf borderId="62" fillId="17" fontId="322" numFmtId="0" xfId="0" applyAlignment="1" applyBorder="1" applyFont="1">
      <alignment readingOrder="0"/>
    </xf>
    <xf borderId="120" fillId="17" fontId="123" numFmtId="0" xfId="0" applyAlignment="1" applyBorder="1" applyFont="1">
      <alignment horizontal="center" readingOrder="0" vertical="center"/>
    </xf>
    <xf borderId="44" fillId="6" fontId="121" numFmtId="0" xfId="0" applyAlignment="1" applyBorder="1" applyFont="1">
      <alignment horizontal="center" readingOrder="0" vertical="center"/>
    </xf>
    <xf borderId="70" fillId="6" fontId="121" numFmtId="0" xfId="0" applyAlignment="1" applyBorder="1" applyFont="1">
      <alignment horizontal="center" readingOrder="0" vertical="center"/>
    </xf>
    <xf borderId="62" fillId="56" fontId="3" numFmtId="0" xfId="0" applyAlignment="1" applyBorder="1" applyFont="1">
      <alignment horizontal="center" readingOrder="0" vertical="center"/>
    </xf>
    <xf borderId="223" fillId="56" fontId="3" numFmtId="0" xfId="0" applyAlignment="1" applyBorder="1" applyFont="1">
      <alignment horizontal="center" readingOrder="0" vertical="center"/>
    </xf>
    <xf borderId="224" fillId="56" fontId="3" numFmtId="0" xfId="0" applyAlignment="1" applyBorder="1" applyFont="1">
      <alignment horizontal="center" readingOrder="0" vertical="center"/>
    </xf>
    <xf borderId="24" fillId="56" fontId="3" numFmtId="0" xfId="0" applyAlignment="1" applyBorder="1" applyFont="1">
      <alignment horizontal="center" readingOrder="0" vertical="center"/>
    </xf>
    <xf borderId="225" fillId="56" fontId="3" numFmtId="0" xfId="0" applyAlignment="1" applyBorder="1" applyFont="1">
      <alignment horizontal="center" readingOrder="0" vertical="center"/>
    </xf>
    <xf borderId="25" fillId="56" fontId="3" numFmtId="0" xfId="0" applyAlignment="1" applyBorder="1" applyFont="1">
      <alignment horizontal="center" readingOrder="0" vertical="center"/>
    </xf>
    <xf borderId="0" fillId="4" fontId="121" numFmtId="0" xfId="0" applyAlignment="1" applyFont="1">
      <alignment horizontal="left" readingOrder="0" vertical="center"/>
    </xf>
    <xf borderId="0" fillId="4" fontId="121" numFmtId="0" xfId="0" applyAlignment="1" applyFont="1">
      <alignment horizontal="center" readingOrder="0" vertical="center"/>
    </xf>
    <xf borderId="120" fillId="17" fontId="124" numFmtId="0" xfId="0" applyAlignment="1" applyBorder="1" applyFont="1">
      <alignment horizontal="center" readingOrder="0" vertical="center"/>
    </xf>
    <xf borderId="46" fillId="49" fontId="124" numFmtId="0" xfId="0" applyAlignment="1" applyBorder="1" applyFont="1">
      <alignment horizontal="center" readingOrder="0" vertical="center"/>
    </xf>
    <xf borderId="131" fillId="50" fontId="426" numFmtId="0" xfId="0" applyAlignment="1" applyBorder="1" applyFont="1">
      <alignment horizontal="center" readingOrder="0" vertical="center"/>
    </xf>
    <xf borderId="226" fillId="0" fontId="3" numFmtId="0" xfId="0" applyBorder="1" applyFont="1"/>
    <xf borderId="227" fillId="50" fontId="426" numFmtId="0" xfId="0" applyAlignment="1" applyBorder="1" applyFont="1">
      <alignment horizontal="center" readingOrder="0" vertical="center"/>
    </xf>
    <xf borderId="228" fillId="8" fontId="124" numFmtId="0" xfId="0" applyAlignment="1" applyBorder="1" applyFont="1">
      <alignment horizontal="center" readingOrder="0" vertical="center"/>
    </xf>
    <xf borderId="27" fillId="49" fontId="124" numFmtId="0" xfId="0" applyAlignment="1" applyBorder="1" applyFont="1">
      <alignment horizontal="center" readingOrder="0" vertical="center"/>
    </xf>
    <xf borderId="16" fillId="37" fontId="124" numFmtId="0" xfId="0" applyAlignment="1" applyBorder="1" applyFont="1">
      <alignment horizontal="center" readingOrder="0" vertical="center"/>
    </xf>
    <xf borderId="229" fillId="0" fontId="3" numFmtId="0" xfId="0" applyBorder="1" applyFont="1"/>
    <xf borderId="227" fillId="37" fontId="124" numFmtId="0" xfId="0" applyAlignment="1" applyBorder="1" applyFont="1">
      <alignment horizontal="center" readingOrder="0" vertical="center"/>
    </xf>
    <xf borderId="16" fillId="34" fontId="427" numFmtId="0" xfId="0" applyAlignment="1" applyBorder="1" applyFont="1">
      <alignment horizontal="center" readingOrder="0" vertical="center"/>
    </xf>
    <xf borderId="16" fillId="51" fontId="428" numFmtId="0" xfId="0" applyAlignment="1" applyBorder="1" applyFont="1">
      <alignment horizontal="center" readingOrder="0" vertical="center"/>
    </xf>
    <xf borderId="48" fillId="51" fontId="428" numFmtId="0" xfId="0" applyAlignment="1" applyBorder="1" applyFont="1">
      <alignment horizontal="center" readingOrder="0" vertical="center"/>
    </xf>
    <xf borderId="48" fillId="37" fontId="124" numFmtId="0" xfId="0" applyAlignment="1" applyBorder="1" applyFont="1">
      <alignment horizontal="center" readingOrder="0" vertical="center"/>
    </xf>
    <xf borderId="48" fillId="34" fontId="427" numFmtId="0" xfId="0" applyAlignment="1" applyBorder="1" applyFont="1">
      <alignment horizontal="center" readingOrder="0" vertical="center"/>
    </xf>
    <xf borderId="53" fillId="34" fontId="427" numFmtId="0" xfId="0" applyAlignment="1" applyBorder="1" applyFont="1">
      <alignment horizontal="center" readingOrder="0" vertical="center"/>
    </xf>
    <xf borderId="53" fillId="8" fontId="124" numFmtId="0" xfId="0" applyAlignment="1" applyBorder="1" applyFont="1">
      <alignment horizontal="center" readingOrder="0" vertical="center"/>
    </xf>
    <xf borderId="226" fillId="8" fontId="124" numFmtId="0" xfId="0" applyAlignment="1" applyBorder="1" applyFont="1">
      <alignment horizontal="center" readingOrder="0" vertical="center"/>
    </xf>
    <xf borderId="16" fillId="30" fontId="151" numFmtId="0" xfId="0" applyAlignment="1" applyBorder="1" applyFont="1">
      <alignment horizontal="center" readingOrder="0"/>
    </xf>
    <xf borderId="48" fillId="29" fontId="427" numFmtId="0" xfId="0" applyAlignment="1" applyBorder="1" applyFont="1">
      <alignment horizontal="center" readingOrder="0" vertical="center"/>
    </xf>
    <xf borderId="0" fillId="4" fontId="429" numFmtId="0" xfId="0" applyAlignment="1" applyFont="1">
      <alignment horizontal="center" readingOrder="0" vertical="center"/>
    </xf>
    <xf borderId="61" fillId="17" fontId="124" numFmtId="0" xfId="0" applyAlignment="1" applyBorder="1" applyFont="1">
      <alignment horizontal="center" readingOrder="0" vertical="center"/>
    </xf>
    <xf borderId="230" fillId="53" fontId="124" numFmtId="0" xfId="0" applyAlignment="1" applyBorder="1" applyFont="1">
      <alignment horizontal="center" readingOrder="0" vertical="center"/>
    </xf>
    <xf borderId="0" fillId="53" fontId="151" numFmtId="0" xfId="0" applyAlignment="1" applyFont="1">
      <alignment horizontal="center" readingOrder="0" vertical="center"/>
    </xf>
    <xf borderId="0" fillId="54" fontId="146" numFmtId="0" xfId="0" applyAlignment="1" applyFont="1">
      <alignment horizontal="center" readingOrder="0" vertical="center"/>
    </xf>
    <xf borderId="175" fillId="54" fontId="146" numFmtId="0" xfId="0" applyAlignment="1" applyBorder="1" applyFont="1">
      <alignment horizontal="center" readingOrder="0" vertical="center"/>
    </xf>
    <xf borderId="175" fillId="54" fontId="123" numFmtId="0" xfId="0" applyAlignment="1" applyBorder="1" applyFont="1">
      <alignment horizontal="center" readingOrder="0" vertical="center"/>
    </xf>
    <xf borderId="226" fillId="8" fontId="124" numFmtId="0" xfId="0" applyAlignment="1" applyBorder="1" applyFont="1">
      <alignment horizontal="center" readingOrder="0" vertical="top"/>
    </xf>
    <xf borderId="0" fillId="39" fontId="123" numFmtId="0" xfId="0" applyAlignment="1" applyFont="1">
      <alignment horizontal="center" readingOrder="0" vertical="center"/>
    </xf>
    <xf borderId="175" fillId="34" fontId="121" numFmtId="0" xfId="0" applyAlignment="1" applyBorder="1" applyFont="1">
      <alignment horizontal="center" readingOrder="0" vertical="center"/>
    </xf>
    <xf borderId="175" fillId="0" fontId="3" numFmtId="0" xfId="0" applyBorder="1" applyFont="1"/>
    <xf borderId="175" fillId="13" fontId="430" numFmtId="0" xfId="0" applyAlignment="1" applyBorder="1" applyFont="1">
      <alignment horizontal="center" readingOrder="0" vertical="center"/>
    </xf>
    <xf borderId="0" fillId="56" fontId="150" numFmtId="0" xfId="0" applyAlignment="1" applyFont="1">
      <alignment horizontal="center" readingOrder="0" vertical="center"/>
    </xf>
    <xf borderId="0" fillId="59" fontId="431" numFmtId="0" xfId="0" applyAlignment="1" applyFont="1">
      <alignment horizontal="center" readingOrder="0" vertical="center"/>
    </xf>
    <xf borderId="0" fillId="7" fontId="124" numFmtId="0" xfId="0" applyAlignment="1" applyFont="1">
      <alignment horizontal="center" readingOrder="0" vertical="center"/>
    </xf>
    <xf borderId="0" fillId="34" fontId="121" numFmtId="0" xfId="0" applyAlignment="1" applyFont="1">
      <alignment horizontal="center" readingOrder="0" vertical="center"/>
    </xf>
    <xf borderId="175" fillId="60" fontId="123" numFmtId="0" xfId="0" applyAlignment="1" applyBorder="1" applyFont="1">
      <alignment horizontal="center" readingOrder="0" vertical="center"/>
    </xf>
    <xf borderId="0" fillId="60" fontId="123" numFmtId="0" xfId="0" applyAlignment="1" applyFont="1">
      <alignment horizontal="center" readingOrder="0" vertical="center"/>
    </xf>
    <xf borderId="0" fillId="34" fontId="154" numFmtId="0" xfId="0" applyAlignment="1" applyFont="1">
      <alignment horizontal="center" readingOrder="0" vertical="center"/>
    </xf>
    <xf borderId="175" fillId="34" fontId="154" numFmtId="0" xfId="0" applyAlignment="1" applyBorder="1" applyFont="1">
      <alignment horizontal="center" readingOrder="0" vertical="center"/>
    </xf>
    <xf borderId="175" fillId="32" fontId="146" numFmtId="0" xfId="0" applyAlignment="1" applyBorder="1" applyFont="1">
      <alignment horizontal="center" readingOrder="0" vertical="center"/>
    </xf>
    <xf borderId="175" fillId="11" fontId="124" numFmtId="0" xfId="0" applyAlignment="1" applyBorder="1" applyFont="1">
      <alignment horizontal="center" readingOrder="0" vertical="center"/>
    </xf>
    <xf borderId="0" fillId="33" fontId="432" numFmtId="0" xfId="0" applyAlignment="1" applyFont="1">
      <alignment horizontal="center" readingOrder="0" vertical="center"/>
    </xf>
    <xf borderId="175" fillId="54" fontId="124" numFmtId="0" xfId="0" applyAlignment="1" applyBorder="1" applyFont="1">
      <alignment horizontal="center" readingOrder="0" vertical="center"/>
    </xf>
    <xf borderId="0" fillId="54" fontId="124" numFmtId="0" xfId="0" applyAlignment="1" applyFont="1">
      <alignment horizontal="center" readingOrder="0" vertical="center"/>
    </xf>
    <xf borderId="0" fillId="11" fontId="151" numFmtId="0" xfId="0" applyAlignment="1" applyFont="1">
      <alignment horizontal="center" readingOrder="0" vertical="center"/>
    </xf>
    <xf borderId="175" fillId="37" fontId="124" numFmtId="0" xfId="0" applyAlignment="1" applyBorder="1" applyFont="1">
      <alignment horizontal="center" readingOrder="0" vertical="center"/>
    </xf>
    <xf borderId="175" fillId="23" fontId="121" numFmtId="0" xfId="0" applyAlignment="1" applyBorder="1" applyFont="1">
      <alignment horizontal="center" readingOrder="0" vertical="center"/>
    </xf>
    <xf borderId="0" fillId="46" fontId="433" numFmtId="0" xfId="0" applyAlignment="1" applyFont="1">
      <alignment horizontal="center" readingOrder="0" vertical="center"/>
    </xf>
    <xf borderId="0" fillId="37" fontId="124" numFmtId="0" xfId="0" applyAlignment="1" applyFont="1">
      <alignment horizontal="center" readingOrder="0" vertical="center"/>
    </xf>
    <xf borderId="175" fillId="55" fontId="124" numFmtId="0" xfId="0" applyAlignment="1" applyBorder="1" applyFont="1">
      <alignment horizontal="center" readingOrder="0" shrinkToFit="0" vertical="center" wrapText="0"/>
    </xf>
    <xf borderId="175" fillId="49" fontId="124" numFmtId="0" xfId="0" applyAlignment="1" applyBorder="1" applyFont="1">
      <alignment horizontal="center" readingOrder="0" vertical="center"/>
    </xf>
    <xf borderId="175" fillId="46" fontId="433" numFmtId="0" xfId="0" applyAlignment="1" applyBorder="1" applyFont="1">
      <alignment horizontal="center" readingOrder="0" vertical="center"/>
    </xf>
    <xf borderId="0" fillId="49" fontId="123" numFmtId="0" xfId="0" applyAlignment="1" applyFont="1">
      <alignment horizontal="center" readingOrder="0" vertical="center"/>
    </xf>
    <xf borderId="175" fillId="55" fontId="123" numFmtId="0" xfId="0" applyAlignment="1" applyBorder="1" applyFont="1">
      <alignment horizontal="center" readingOrder="0" vertical="center"/>
    </xf>
    <xf borderId="0" fillId="38" fontId="121" numFmtId="0" xfId="0" applyAlignment="1" applyFont="1">
      <alignment horizontal="center" readingOrder="0" vertical="center"/>
    </xf>
    <xf borderId="0" fillId="2" fontId="434" numFmtId="0" xfId="0" applyAlignment="1" applyFont="1">
      <alignment horizontal="center" readingOrder="0" vertical="center"/>
    </xf>
    <xf borderId="0" fillId="40" fontId="435" numFmtId="0" xfId="0" applyAlignment="1" applyFont="1">
      <alignment horizontal="center" readingOrder="0"/>
    </xf>
    <xf borderId="0" fillId="44" fontId="121" numFmtId="0" xfId="0" applyAlignment="1" applyFont="1">
      <alignment horizontal="center" readingOrder="0" vertical="center"/>
    </xf>
    <xf borderId="175" fillId="2" fontId="434" numFmtId="0" xfId="0" applyAlignment="1" applyBorder="1" applyFont="1">
      <alignment horizontal="center" readingOrder="0" vertical="center"/>
    </xf>
    <xf borderId="0" fillId="30" fontId="121" numFmtId="0" xfId="0" applyAlignment="1" applyFont="1">
      <alignment horizontal="center" readingOrder="0" vertical="center"/>
    </xf>
    <xf borderId="0" fillId="30" fontId="123" numFmtId="0" xfId="0" applyAlignment="1" applyFont="1">
      <alignment horizontal="center" readingOrder="0" vertical="center"/>
    </xf>
    <xf borderId="175" fillId="50" fontId="426" numFmtId="0" xfId="0" applyAlignment="1" applyBorder="1" applyFont="1">
      <alignment horizontal="center" readingOrder="0" vertical="center"/>
    </xf>
    <xf borderId="175" fillId="29" fontId="132" numFmtId="0" xfId="0" applyAlignment="1" applyBorder="1" applyFont="1">
      <alignment horizontal="center" readingOrder="0" shrinkToFit="0" vertical="center" wrapText="0"/>
    </xf>
    <xf borderId="0" fillId="50" fontId="426" numFmtId="0" xfId="0" applyAlignment="1" applyFont="1">
      <alignment horizontal="center" readingOrder="0" vertical="center"/>
    </xf>
    <xf borderId="175" fillId="13" fontId="146" numFmtId="0" xfId="0" applyAlignment="1" applyBorder="1" applyFont="1">
      <alignment horizontal="center" readingOrder="0" vertical="center"/>
    </xf>
    <xf borderId="0" fillId="13" fontId="146" numFmtId="0" xfId="0" applyAlignment="1" applyFont="1">
      <alignment horizontal="center" readingOrder="0" vertical="center"/>
    </xf>
    <xf borderId="0" fillId="19" fontId="436" numFmtId="0" xfId="0" applyAlignment="1" applyFont="1">
      <alignment horizontal="center" readingOrder="0" vertical="center"/>
    </xf>
    <xf borderId="175" fillId="52" fontId="124" numFmtId="0" xfId="0" applyAlignment="1" applyBorder="1" applyFont="1">
      <alignment horizontal="center" readingOrder="0" vertical="center"/>
    </xf>
    <xf borderId="0" fillId="37" fontId="123" numFmtId="0" xfId="0" applyAlignment="1" applyFont="1">
      <alignment horizontal="center" readingOrder="0" vertical="center"/>
    </xf>
    <xf borderId="175" fillId="19" fontId="436" numFmtId="0" xfId="0" applyAlignment="1" applyBorder="1" applyFont="1">
      <alignment horizontal="center" readingOrder="0" vertical="center"/>
    </xf>
    <xf borderId="0" fillId="52" fontId="124" numFmtId="0" xfId="0" applyAlignment="1" applyFont="1">
      <alignment horizontal="center" readingOrder="0" vertical="center"/>
    </xf>
    <xf borderId="0" fillId="4" fontId="437" numFmtId="0" xfId="0" applyAlignment="1" applyFont="1">
      <alignment horizontal="center" readingOrder="0" vertical="center"/>
    </xf>
    <xf borderId="175" fillId="4" fontId="437" numFmtId="0" xfId="0" applyAlignment="1" applyBorder="1" applyFont="1">
      <alignment horizontal="center" readingOrder="0" vertical="center"/>
    </xf>
    <xf borderId="0" fillId="7" fontId="123" numFmtId="0" xfId="0" applyAlignment="1" applyFont="1">
      <alignment horizontal="center" readingOrder="0" vertical="center"/>
    </xf>
    <xf borderId="175" fillId="7" fontId="123" numFmtId="0" xfId="0" applyAlignment="1" applyBorder="1" applyFont="1">
      <alignment horizontal="center" readingOrder="0" vertical="center"/>
    </xf>
    <xf borderId="0" fillId="29" fontId="121" numFmtId="0" xfId="0" applyAlignment="1" applyFont="1">
      <alignment horizontal="center" readingOrder="0" vertical="center"/>
    </xf>
    <xf borderId="175" fillId="25" fontId="124" numFmtId="0" xfId="0" applyAlignment="1" applyBorder="1" applyFont="1">
      <alignment horizontal="center" readingOrder="0" vertical="center"/>
    </xf>
    <xf borderId="0" fillId="25" fontId="124" numFmtId="0" xfId="0" applyAlignment="1" applyFont="1">
      <alignment horizontal="center" readingOrder="0" vertical="center"/>
    </xf>
    <xf borderId="0" fillId="23" fontId="132" numFmtId="0" xfId="0" applyAlignment="1" applyFont="1">
      <alignment horizontal="center" readingOrder="0" vertical="center"/>
    </xf>
    <xf borderId="0" fillId="68" fontId="438" numFmtId="0" xfId="0" applyAlignment="1" applyFill="1" applyFont="1">
      <alignment horizontal="center" readingOrder="0" shrinkToFit="0" vertical="center" wrapText="1"/>
    </xf>
    <xf borderId="175" fillId="32" fontId="439" numFmtId="0" xfId="0" applyAlignment="1" applyBorder="1" applyFont="1">
      <alignment horizontal="center" readingOrder="0" vertical="center"/>
    </xf>
    <xf borderId="175" fillId="25" fontId="146" numFmtId="0" xfId="0" applyAlignment="1" applyBorder="1" applyFont="1">
      <alignment horizontal="center" readingOrder="0" shrinkToFit="0" vertical="center" wrapText="1"/>
    </xf>
    <xf borderId="175" fillId="11" fontId="427" numFmtId="0" xfId="0" applyAlignment="1" applyBorder="1" applyFont="1">
      <alignment horizontal="center" readingOrder="0" vertical="center"/>
    </xf>
    <xf borderId="175" fillId="36" fontId="124" numFmtId="0" xfId="0" applyAlignment="1" applyBorder="1" applyFont="1">
      <alignment horizontal="center" readingOrder="0" vertical="center"/>
    </xf>
    <xf borderId="0" fillId="36" fontId="123" numFmtId="0" xfId="0" applyAlignment="1" applyFont="1">
      <alignment horizontal="center" readingOrder="0" vertical="center"/>
    </xf>
    <xf borderId="175" fillId="7" fontId="440" numFmtId="0" xfId="0" applyAlignment="1" applyBorder="1" applyFont="1">
      <alignment horizontal="center" readingOrder="0" vertical="center"/>
    </xf>
  </cellXfs>
  <cellStyles count="1">
    <cellStyle xfId="0" name="Normal" builtinId="0"/>
  </cellStyles>
  <dxfs count="50">
    <dxf>
      <font>
        <b/>
      </font>
      <fill>
        <patternFill patternType="solid">
          <fgColor rgb="FFB7E1CD"/>
          <bgColor rgb="FFB7E1CD"/>
        </patternFill>
      </fill>
      <border/>
    </dxf>
    <dxf>
      <font>
        <b/>
      </font>
      <fill>
        <patternFill patternType="solid">
          <fgColor rgb="FFF4C7C3"/>
          <bgColor rgb="FFF4C7C3"/>
        </patternFill>
      </fill>
      <border/>
    </dxf>
    <dxf>
      <font>
        <b/>
      </font>
      <fill>
        <patternFill patternType="solid">
          <fgColor rgb="FFFFF2CC"/>
          <bgColor rgb="FFFFF2CC"/>
        </patternFill>
      </fill>
      <border/>
    </dxf>
    <dxf>
      <font>
        <b/>
        <color rgb="FF000000"/>
      </font>
      <fill>
        <patternFill patternType="solid">
          <fgColor rgb="FFF4C7C3"/>
          <bgColor rgb="FFF4C7C3"/>
        </patternFill>
      </fill>
      <border/>
    </dxf>
    <dxf>
      <font>
        <b/>
        <color rgb="FF000000"/>
      </font>
      <fill>
        <patternFill patternType="solid">
          <fgColor rgb="FFD9EAD3"/>
          <bgColor rgb="FFD9EAD3"/>
        </patternFill>
      </fill>
      <border/>
    </dxf>
    <dxf>
      <font>
        <b/>
        <color rgb="FFC53929"/>
      </font>
      <fill>
        <patternFill patternType="solid">
          <fgColor rgb="FFFFFFFF"/>
          <bgColor rgb="FFFFFFFF"/>
        </patternFill>
      </fill>
      <border/>
    </dxf>
    <dxf>
      <font>
        <b/>
        <color rgb="FFFFFFFF"/>
      </font>
      <fill>
        <patternFill patternType="solid">
          <fgColor rgb="FF666666"/>
          <bgColor rgb="FF666666"/>
        </patternFill>
      </fill>
      <border/>
    </dxf>
    <dxf>
      <font>
        <strike/>
        <color rgb="FFFFFFFF"/>
      </font>
      <fill>
        <patternFill patternType="solid">
          <fgColor rgb="FFD9D9D9"/>
          <bgColor rgb="FFD9D9D9"/>
        </patternFill>
      </fill>
      <border/>
    </dxf>
    <dxf>
      <font/>
      <fill>
        <patternFill patternType="solid">
          <fgColor rgb="FFFF0000"/>
          <bgColor rgb="FFFF0000"/>
        </patternFill>
      </fill>
      <border/>
    </dxf>
    <dxf>
      <font/>
      <fill>
        <patternFill patternType="solid">
          <fgColor rgb="FFFF9900"/>
          <bgColor rgb="FFFF9900"/>
        </patternFill>
      </fill>
      <border/>
    </dxf>
    <dxf>
      <font/>
      <fill>
        <patternFill patternType="solid">
          <fgColor rgb="FF00FFFF"/>
          <bgColor rgb="FF00FFFF"/>
        </patternFill>
      </fill>
      <border/>
    </dxf>
    <dxf>
      <font>
        <color rgb="FFFFFFFF"/>
      </font>
      <fill>
        <patternFill patternType="solid">
          <fgColor rgb="FFFFFFFF"/>
          <bgColor rgb="FFFFFFFF"/>
        </patternFill>
      </fill>
      <border/>
    </dxf>
    <dxf>
      <font/>
      <fill>
        <patternFill patternType="solid">
          <fgColor rgb="FFF79727"/>
          <bgColor rgb="FFF79727"/>
        </patternFill>
      </fill>
      <border/>
    </dxf>
    <dxf>
      <font>
        <color rgb="FF434343"/>
      </font>
      <fill>
        <patternFill patternType="solid">
          <fgColor rgb="FFFFD166"/>
          <bgColor rgb="FFFFD166"/>
        </patternFill>
      </fill>
      <border/>
    </dxf>
    <dxf>
      <font>
        <color rgb="FF434343"/>
      </font>
      <fill>
        <patternFill patternType="solid">
          <fgColor rgb="FFF6B26B"/>
          <bgColor rgb="FFF6B26B"/>
        </patternFill>
      </fill>
      <border/>
    </dxf>
    <dxf>
      <font>
        <color rgb="FFCFE2F3"/>
      </font>
      <fill>
        <patternFill patternType="solid">
          <fgColor rgb="FF3D85C6"/>
          <bgColor rgb="FF3D85C6"/>
        </patternFill>
      </fill>
      <border/>
    </dxf>
    <dxf>
      <font>
        <color rgb="FFFFFFFF"/>
      </font>
      <fill>
        <patternFill patternType="solid">
          <fgColor rgb="FF44C6C1"/>
          <bgColor rgb="FF44C6C1"/>
        </patternFill>
      </fill>
      <border/>
    </dxf>
    <dxf>
      <font>
        <color rgb="FFFFFFFF"/>
      </font>
      <fill>
        <patternFill patternType="solid">
          <fgColor rgb="FFC33C54"/>
          <bgColor rgb="FFC33C54"/>
        </patternFill>
      </fill>
      <border/>
    </dxf>
    <dxf>
      <font>
        <color rgb="FFFFFFFF"/>
      </font>
      <fill>
        <patternFill patternType="solid">
          <fgColor rgb="FFFF0000"/>
          <bgColor rgb="FFFF0000"/>
        </patternFill>
      </fill>
      <border/>
    </dxf>
    <dxf>
      <font>
        <color rgb="FF666666"/>
      </font>
      <fill>
        <patternFill patternType="solid">
          <fgColor rgb="FFFFFFFF"/>
          <bgColor rgb="FFFFFFFF"/>
        </patternFill>
      </fill>
      <border/>
    </dxf>
    <dxf>
      <font>
        <color rgb="FF000000"/>
      </font>
      <fill>
        <patternFill patternType="solid">
          <fgColor rgb="FFCFE2F3"/>
          <bgColor rgb="FFCFE2F3"/>
        </patternFill>
      </fill>
      <border/>
    </dxf>
    <dxf>
      <font/>
      <fill>
        <patternFill patternType="solid">
          <fgColor rgb="FFF7F760"/>
          <bgColor rgb="FFF7F760"/>
        </patternFill>
      </fill>
      <border/>
    </dxf>
    <dxf>
      <font/>
      <fill>
        <patternFill patternType="solid">
          <fgColor rgb="FFFFF2CC"/>
          <bgColor rgb="FFFFF2CC"/>
        </patternFill>
      </fill>
      <border/>
    </dxf>
    <dxf>
      <font/>
      <fill>
        <patternFill patternType="solid">
          <fgColor rgb="FFB7E1CD"/>
          <bgColor rgb="FFB7E1CD"/>
        </patternFill>
      </fill>
      <border/>
    </dxf>
    <dxf>
      <font>
        <color rgb="FFFFFFFF"/>
      </font>
      <fill>
        <patternFill patternType="solid">
          <fgColor rgb="FF00AF3F"/>
          <bgColor rgb="FF00AF3F"/>
        </patternFill>
      </fill>
      <border/>
    </dxf>
    <dxf>
      <font>
        <color rgb="FFFFFFFF"/>
      </font>
      <fill>
        <patternFill patternType="solid">
          <fgColor rgb="FFCC0000"/>
          <bgColor rgb="FFCC0000"/>
        </patternFill>
      </fill>
      <border/>
    </dxf>
    <dxf>
      <font>
        <color rgb="FFFFFFFF"/>
      </font>
      <fill>
        <patternFill patternType="solid">
          <fgColor rgb="FF153460"/>
          <bgColor rgb="FF153460"/>
        </patternFill>
      </fill>
      <border/>
    </dxf>
    <dxf>
      <font/>
      <fill>
        <patternFill patternType="solid">
          <fgColor rgb="FFFD8C24"/>
          <bgColor rgb="FFFD8C24"/>
        </patternFill>
      </fill>
      <border/>
    </dxf>
    <dxf>
      <font>
        <color rgb="FF980000"/>
      </font>
      <fill>
        <patternFill patternType="solid">
          <fgColor rgb="FF82BC00"/>
          <bgColor rgb="FF82BC00"/>
        </patternFill>
      </fill>
      <border/>
    </dxf>
    <dxf>
      <font>
        <color rgb="FFFFFFFF"/>
      </font>
      <fill>
        <patternFill patternType="solid">
          <fgColor rgb="FF732A86"/>
          <bgColor rgb="FF732A86"/>
        </patternFill>
      </fill>
      <border/>
    </dxf>
    <dxf>
      <font>
        <color rgb="FFFFFFFF"/>
      </font>
      <fill>
        <patternFill patternType="solid">
          <fgColor rgb="FF38761D"/>
          <bgColor rgb="FF38761D"/>
        </patternFill>
      </fill>
      <border/>
    </dxf>
    <dxf>
      <font/>
      <fill>
        <patternFill patternType="solid">
          <fgColor rgb="FF93C47D"/>
          <bgColor rgb="FF93C47D"/>
        </patternFill>
      </fill>
      <border/>
    </dxf>
    <dxf>
      <font>
        <b/>
      </font>
      <fill>
        <patternFill patternType="solid">
          <fgColor rgb="FFE06666"/>
          <bgColor rgb="FFE06666"/>
        </patternFill>
      </fill>
      <border/>
    </dxf>
    <dxf>
      <font>
        <color rgb="FF000000"/>
      </font>
      <fill>
        <patternFill patternType="solid">
          <fgColor rgb="FFF6B26B"/>
          <bgColor rgb="FFF6B26B"/>
        </patternFill>
      </fill>
      <border/>
    </dxf>
    <dxf>
      <font>
        <b/>
        <color rgb="FF000000"/>
      </font>
      <fill>
        <patternFill patternType="solid">
          <fgColor rgb="FFE06666"/>
          <bgColor rgb="FFE06666"/>
        </patternFill>
      </fill>
      <border/>
    </dxf>
    <dxf>
      <font>
        <color rgb="FF000000"/>
      </font>
      <fill>
        <patternFill patternType="solid">
          <fgColor rgb="FF93C47D"/>
          <bgColor rgb="FF93C47D"/>
        </patternFill>
      </fill>
      <border/>
    </dxf>
    <dxf>
      <font>
        <b/>
        <color rgb="FF000000"/>
      </font>
      <fill>
        <patternFill patternType="solid">
          <fgColor rgb="FF93C47D"/>
          <bgColor rgb="FF93C47D"/>
        </patternFill>
      </fill>
      <border/>
    </dxf>
    <dxf>
      <font/>
      <fill>
        <patternFill patternType="solid">
          <fgColor rgb="FFE06666"/>
          <bgColor rgb="FFE06666"/>
        </patternFill>
      </fill>
      <border/>
    </dxf>
    <dxf>
      <font>
        <b/>
        <color rgb="FF000000"/>
      </font>
      <fill>
        <patternFill patternType="solid">
          <fgColor rgb="FFF6B26B"/>
          <bgColor rgb="FFF6B26B"/>
        </patternFill>
      </fill>
      <border/>
    </dxf>
    <dxf>
      <font/>
      <fill>
        <patternFill patternType="solid">
          <fgColor rgb="FFFCE8B2"/>
          <bgColor rgb="FFFCE8B2"/>
        </patternFill>
      </fill>
      <border/>
    </dxf>
    <dxf>
      <font>
        <color rgb="FFF3F3F3"/>
      </font>
      <fill>
        <patternFill patternType="solid">
          <fgColor rgb="FFF3F3F3"/>
          <bgColor rgb="FFF3F3F3"/>
        </patternFill>
      </fill>
      <border/>
    </dxf>
    <dxf>
      <font/>
      <fill>
        <patternFill patternType="solid">
          <fgColor rgb="FFF4C7C3"/>
          <bgColor rgb="FFF4C7C3"/>
        </patternFill>
      </fill>
      <border/>
    </dxf>
    <dxf>
      <font>
        <color rgb="FF666666"/>
      </font>
      <fill>
        <patternFill patternType="solid">
          <fgColor rgb="FF666666"/>
          <bgColor rgb="FF666666"/>
        </patternFill>
      </fill>
      <border/>
    </dxf>
    <dxf>
      <font>
        <color rgb="FFC53929"/>
      </font>
      <fill>
        <patternFill patternType="none"/>
      </fill>
      <border/>
    </dxf>
    <dxf>
      <font>
        <b/>
      </font>
      <fill>
        <patternFill patternType="solid">
          <fgColor rgb="FFFCE8B2"/>
          <bgColor rgb="FFFCE8B2"/>
        </patternFill>
      </fill>
      <border/>
    </dxf>
    <dxf>
      <font>
        <b/>
        <color rgb="FFC53929"/>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FFFF"/>
          <bgColor rgb="FFFFFFFF"/>
        </patternFill>
      </fill>
      <border/>
    </dxf>
    <dxf>
      <font>
        <b/>
      </font>
      <fill>
        <patternFill patternType="solid">
          <fgColor rgb="FFD9EAD3"/>
          <bgColor rgb="FFD9EAD3"/>
        </patternFill>
      </fill>
      <border/>
    </dxf>
  </dxfs>
  <tableStyles count="1">
    <tableStyle count="3" pivot="0" name="Verkiezingen Geschiedenis-style">
      <tableStyleElement dxfId="47" type="headerRow"/>
      <tableStyleElement dxfId="48" type="firstRowStripe"/>
      <tableStyleElement dxfId="4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31" Type="http://schemas.openxmlformats.org/officeDocument/2006/relationships/worksheet" Target="worksheets/sheet29.xml"/><Relationship Id="rId30" Type="http://schemas.openxmlformats.org/officeDocument/2006/relationships/worksheet" Target="worksheets/sheet28.xml"/><Relationship Id="rId33" Type="http://schemas.openxmlformats.org/officeDocument/2006/relationships/worksheet" Target="worksheets/sheet31.xml"/><Relationship Id="rId32" Type="http://schemas.openxmlformats.org/officeDocument/2006/relationships/worksheet" Target="worksheets/sheet30.xml"/><Relationship Id="rId35" Type="http://schemas.openxmlformats.org/officeDocument/2006/relationships/worksheet" Target="worksheets/sheet33.xml"/><Relationship Id="rId34" Type="http://schemas.openxmlformats.org/officeDocument/2006/relationships/worksheet" Target="worksheets/sheet32.xml"/><Relationship Id="rId37" Type="http://schemas.openxmlformats.org/officeDocument/2006/relationships/chartsheet" Target="chartsheets/sheet1.xml"/><Relationship Id="rId36" Type="http://schemas.openxmlformats.org/officeDocument/2006/relationships/worksheet" Target="worksheets/sheet34.xml"/><Relationship Id="rId38" Type="http://schemas.openxmlformats.org/officeDocument/2006/relationships/worksheet" Target="worksheets/sheet35.xml"/><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26" Type="http://schemas.openxmlformats.org/officeDocument/2006/relationships/worksheet" Target="worksheets/sheet24.xml"/><Relationship Id="rId25" Type="http://schemas.openxmlformats.org/officeDocument/2006/relationships/worksheet" Target="worksheets/sheet23.xml"/><Relationship Id="rId28" Type="http://schemas.openxmlformats.org/officeDocument/2006/relationships/worksheet" Target="worksheets/sheet26.xml"/><Relationship Id="rId27" Type="http://schemas.openxmlformats.org/officeDocument/2006/relationships/worksheet" Target="worksheets/sheet25.xml"/><Relationship Id="rId29" Type="http://schemas.openxmlformats.org/officeDocument/2006/relationships/worksheet" Target="worksheets/sheet27.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t>Opkomst TK</a:t>
            </a:r>
          </a:p>
        </c:rich>
      </c:tx>
      <c:overlay val="0"/>
    </c:title>
    <c:plotArea>
      <c:layout>
        <c:manualLayout>
          <c:xMode val="edge"/>
          <c:yMode val="edge"/>
          <c:x val="0.04763447828904731"/>
          <c:y val="0.06377551020408163"/>
          <c:w val="0.9436163318211277"/>
          <c:h val="0.8801020408163265"/>
        </c:manualLayout>
      </c:layout>
      <c:lineChart>
        <c:varyColors val="0"/>
        <c:ser>
          <c:idx val="0"/>
          <c:order val="0"/>
          <c:marker>
            <c:symbol val="none"/>
          </c:marker>
          <c:val>
            <c:numRef>
              <c:f>'TK-graansmoothie-I'!$D$62:$Z$62</c:f>
            </c:numRef>
          </c:val>
          <c:smooth val="0"/>
        </c:ser>
        <c:axId val="362609629"/>
        <c:axId val="262697708"/>
      </c:lineChart>
      <c:catAx>
        <c:axId val="362609629"/>
        <c:scaling>
          <c:orientation val="minMax"/>
        </c:scaling>
        <c:delete val="0"/>
        <c:axPos val="b"/>
        <c:title>
          <c:tx>
            <c:rich>
              <a:bodyPr/>
              <a:lstStyle/>
              <a:p>
                <a:pPr lvl="0">
                  <a:defRPr b="0">
                    <a:solidFill>
                      <a:srgbClr val="000000"/>
                    </a:solidFill>
                    <a:latin typeface="Roboto"/>
                  </a:defRPr>
                </a:pPr>
                <a:r>
                  <a:t/>
                </a:r>
              </a:p>
            </c:rich>
          </c:tx>
          <c:overlay val="0"/>
        </c:title>
        <c:majorTickMark val="none"/>
        <c:minorTickMark val="none"/>
        <c:spPr/>
        <c:txPr>
          <a:bodyPr/>
          <a:lstStyle/>
          <a:p>
            <a:pPr lvl="0">
              <a:defRPr b="0">
                <a:solidFill>
                  <a:srgbClr val="000000"/>
                </a:solidFill>
                <a:latin typeface="Roboto"/>
              </a:defRPr>
            </a:pPr>
          </a:p>
        </c:txPr>
        <c:crossAx val="262697708"/>
      </c:catAx>
      <c:valAx>
        <c:axId val="262697708"/>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362609629"/>
      </c:valAx>
    </c:plotArea>
    <c:legend>
      <c:legendPos val="r"/>
      <c:overlay val="0"/>
      <c:txPr>
        <a:bodyPr/>
        <a:lstStyle/>
        <a:p>
          <a:pPr lvl="0">
            <a:defRPr b="0">
              <a:solidFill>
                <a:srgbClr val="000000"/>
              </a:solidFill>
              <a:latin typeface="Roboto"/>
            </a:defRPr>
          </a:pPr>
        </a:p>
      </c:txPr>
    </c:legend>
    <c:plotVisOnly val="1"/>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35.xml"/></Relationships>
</file>

<file path=xl/chartsheets/sheet1.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06666"/>
  </sheetPr>
  <sheetViews>
    <sheetView workbookViewId="0"/>
  </sheetViews>
  <drawing r:id="rId1"/>
</chartsheet>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4.png"/><Relationship Id="rId4" Type="http://schemas.openxmlformats.org/officeDocument/2006/relationships/image" Target="../media/image3.png"/><Relationship Id="rId5" Type="http://schemas.openxmlformats.org/officeDocument/2006/relationships/image" Target="../media/image6.png"/><Relationship Id="rId6" Type="http://schemas.openxmlformats.org/officeDocument/2006/relationships/image" Target="../media/image5.png"/><Relationship Id="rId7" Type="http://schemas.openxmlformats.org/officeDocument/2006/relationships/image" Target="../media/image8.png"/><Relationship Id="rId8" Type="http://schemas.openxmlformats.org/officeDocument/2006/relationships/image" Target="../media/image7.png"/></Relationships>
</file>

<file path=xl/drawings/_rels/drawing35.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247650</xdr:colOff>
      <xdr:row>1</xdr:row>
      <xdr:rowOff>76200</xdr:rowOff>
    </xdr:from>
    <xdr:ext cx="1152525" cy="1152525"/>
    <xdr:pic>
      <xdr:nvPicPr>
        <xdr:cNvPr id="0" name="image1.png" title="Afbeelding"/>
        <xdr:cNvPicPr preferRelativeResize="0"/>
      </xdr:nvPicPr>
      <xdr:blipFill>
        <a:blip cstate="print" r:embed="rId1"/>
        <a:stretch>
          <a:fillRect/>
        </a:stretch>
      </xdr:blipFill>
      <xdr:spPr>
        <a:prstGeom prst="rect">
          <a:avLst/>
        </a:prstGeom>
        <a:noFill/>
      </xdr:spPr>
    </xdr:pic>
    <xdr:clientData fLocksWithSheet="0"/>
  </xdr:oneCellAnchor>
  <xdr:oneCellAnchor>
    <xdr:from>
      <xdr:col>19</xdr:col>
      <xdr:colOff>466725</xdr:colOff>
      <xdr:row>1</xdr:row>
      <xdr:rowOff>76200</xdr:rowOff>
    </xdr:from>
    <xdr:ext cx="1152525" cy="1152525"/>
    <xdr:pic>
      <xdr:nvPicPr>
        <xdr:cNvPr id="0" name="image1.png" title="Afbeeldi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276225</xdr:colOff>
      <xdr:row>15</xdr:row>
      <xdr:rowOff>9525</xdr:rowOff>
    </xdr:from>
    <xdr:ext cx="190500" cy="238125"/>
    <xdr:pic>
      <xdr:nvPicPr>
        <xdr:cNvPr id="0" name="image2.png" title="Afbeelding"/>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0</xdr:colOff>
      <xdr:row>7</xdr:row>
      <xdr:rowOff>0</xdr:rowOff>
    </xdr:from>
    <xdr:ext cx="600075" cy="285750"/>
    <xdr:pic>
      <xdr:nvPicPr>
        <xdr:cNvPr id="0" name="image4.png"/>
        <xdr:cNvPicPr preferRelativeResize="0"/>
      </xdr:nvPicPr>
      <xdr:blipFill>
        <a:blip cstate="print" r:embed="rId3"/>
        <a:stretch>
          <a:fillRect/>
        </a:stretch>
      </xdr:blipFill>
      <xdr:spPr>
        <a:prstGeom prst="rect">
          <a:avLst/>
        </a:prstGeom>
        <a:noFill/>
      </xdr:spPr>
    </xdr:pic>
    <xdr:clientData fLocksWithSheet="0"/>
  </xdr:oneCellAnchor>
  <xdr:oneCellAnchor>
    <xdr:from>
      <xdr:col>5</xdr:col>
      <xdr:colOff>0</xdr:colOff>
      <xdr:row>9</xdr:row>
      <xdr:rowOff>0</xdr:rowOff>
    </xdr:from>
    <xdr:ext cx="285750" cy="285750"/>
    <xdr:pic>
      <xdr:nvPicPr>
        <xdr:cNvPr id="0" name="image3.png"/>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0</xdr:colOff>
      <xdr:row>11</xdr:row>
      <xdr:rowOff>0</xdr:rowOff>
    </xdr:from>
    <xdr:ext cx="304800" cy="285750"/>
    <xdr:pic>
      <xdr:nvPicPr>
        <xdr:cNvPr id="0" name="image6.png"/>
        <xdr:cNvPicPr preferRelativeResize="0"/>
      </xdr:nvPicPr>
      <xdr:blipFill>
        <a:blip cstate="print" r:embed="rId5"/>
        <a:stretch>
          <a:fillRect/>
        </a:stretch>
      </xdr:blipFill>
      <xdr:spPr>
        <a:prstGeom prst="rect">
          <a:avLst/>
        </a:prstGeom>
        <a:noFill/>
      </xdr:spPr>
    </xdr:pic>
    <xdr:clientData fLocksWithSheet="0"/>
  </xdr:oneCellAnchor>
  <xdr:oneCellAnchor>
    <xdr:from>
      <xdr:col>5</xdr:col>
      <xdr:colOff>0</xdr:colOff>
      <xdr:row>13</xdr:row>
      <xdr:rowOff>0</xdr:rowOff>
    </xdr:from>
    <xdr:ext cx="171450" cy="285750"/>
    <xdr:pic>
      <xdr:nvPicPr>
        <xdr:cNvPr id="0" name="image5.png"/>
        <xdr:cNvPicPr preferRelativeResize="0"/>
      </xdr:nvPicPr>
      <xdr:blipFill>
        <a:blip cstate="print" r:embed="rId6"/>
        <a:stretch>
          <a:fillRect/>
        </a:stretch>
      </xdr:blipFill>
      <xdr:spPr>
        <a:prstGeom prst="rect">
          <a:avLst/>
        </a:prstGeom>
        <a:noFill/>
      </xdr:spPr>
    </xdr:pic>
    <xdr:clientData fLocksWithSheet="0"/>
  </xdr:oneCellAnchor>
  <xdr:oneCellAnchor>
    <xdr:from>
      <xdr:col>5</xdr:col>
      <xdr:colOff>0</xdr:colOff>
      <xdr:row>17</xdr:row>
      <xdr:rowOff>0</xdr:rowOff>
    </xdr:from>
    <xdr:ext cx="285750" cy="285750"/>
    <xdr:pic>
      <xdr:nvPicPr>
        <xdr:cNvPr id="0" name="image8.png"/>
        <xdr:cNvPicPr preferRelativeResize="0"/>
      </xdr:nvPicPr>
      <xdr:blipFill>
        <a:blip cstate="print" r:embed="rId7"/>
        <a:stretch>
          <a:fillRect/>
        </a:stretch>
      </xdr:blipFill>
      <xdr:spPr>
        <a:prstGeom prst="rect">
          <a:avLst/>
        </a:prstGeom>
        <a:noFill/>
      </xdr:spPr>
    </xdr:pic>
    <xdr:clientData fLocksWithSheet="0"/>
  </xdr:oneCellAnchor>
  <xdr:oneCellAnchor>
    <xdr:from>
      <xdr:col>5</xdr:col>
      <xdr:colOff>0</xdr:colOff>
      <xdr:row>19</xdr:row>
      <xdr:rowOff>0</xdr:rowOff>
    </xdr:from>
    <xdr:ext cx="257175" cy="266700"/>
    <xdr:pic>
      <xdr:nvPicPr>
        <xdr:cNvPr id="0" name="image7.png"/>
        <xdr:cNvPicPr preferRelativeResize="0"/>
      </xdr:nvPicPr>
      <xdr:blipFill>
        <a:blip cstate="print" r:embed="rId8"/>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absoluteAnchor>
    <xdr:pos x="0" y="0"/>
    <xdr:ext cx="8610600" cy="6276975"/>
    <xdr:graphicFrame>
      <xdr:nvGraphicFramePr>
        <xdr:cNvPr id="1" name="Chart 1" title="Diagram"/>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238125</xdr:colOff>
      <xdr:row>0</xdr:row>
      <xdr:rowOff>238125</xdr:rowOff>
    </xdr:from>
    <xdr:ext cx="1323975" cy="1323975"/>
    <xdr:pic>
      <xdr:nvPicPr>
        <xdr:cNvPr id="0" name="image9.png" title="Afbeelding"/>
        <xdr:cNvPicPr preferRelativeResize="0"/>
      </xdr:nvPicPr>
      <xdr:blipFill>
        <a:blip cstate="print" r:embed="rId1"/>
        <a:stretch>
          <a:fillRect/>
        </a:stretch>
      </xdr:blipFill>
      <xdr:spPr>
        <a:prstGeom prst="rect">
          <a:avLst/>
        </a:prstGeom>
        <a:noFill/>
      </xdr:spPr>
    </xdr:pic>
    <xdr:clientData fLocksWithSheet="0"/>
  </xdr:oneCellAnchor>
  <xdr:oneCellAnchor>
    <xdr:from>
      <xdr:col>12</xdr:col>
      <xdr:colOff>304800</xdr:colOff>
      <xdr:row>0</xdr:row>
      <xdr:rowOff>238125</xdr:rowOff>
    </xdr:from>
    <xdr:ext cx="1323975" cy="1323975"/>
    <xdr:pic>
      <xdr:nvPicPr>
        <xdr:cNvPr id="0" name="image9.png" title="Afbeeldi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C4:C9" displayName="Table_1" id="1">
  <tableColumns count="1">
    <tableColumn name="Link" id="1"/>
  </tableColumns>
  <tableStyleInfo name="Verkiezingen Geschiedenis-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0" Type="http://schemas.openxmlformats.org/officeDocument/2006/relationships/hyperlink" Target="https://www.reddit.com/r/RMTK/comments/gncyo3/w0096_wet_meerdere_mogelijkheden_voorzitterschap/" TargetMode="External"/><Relationship Id="rId22" Type="http://schemas.openxmlformats.org/officeDocument/2006/relationships/hyperlink" Target="https://www.reddit.com/r/RMTK/comments/gp6ehs/w0098_wet_bescherming_culturele_evenementen/" TargetMode="External"/><Relationship Id="rId21" Type="http://schemas.openxmlformats.org/officeDocument/2006/relationships/hyperlink" Target="https://www.reddit.com/r/RMTK/comments/gnyh8p/w0097_wet_tot_invoering_dagboetes/" TargetMode="External"/><Relationship Id="rId24" Type="http://schemas.openxmlformats.org/officeDocument/2006/relationships/hyperlink" Target="https://www.reddit.com/r/RMTK/comments/gum7nb/w0100s_spoedwet_ter_wijziging_van_de/" TargetMode="External"/><Relationship Id="rId23" Type="http://schemas.openxmlformats.org/officeDocument/2006/relationships/hyperlink" Target="https://www.reddit.com/r/RMTK/comments/grhml2/w0099_wetswijziging_mediawet/" TargetMode="External"/><Relationship Id="rId1" Type="http://schemas.openxmlformats.org/officeDocument/2006/relationships/comments" Target="../comments5.xml"/><Relationship Id="rId2" Type="http://schemas.openxmlformats.org/officeDocument/2006/relationships/hyperlink" Target="https://www.reddit.com/r/RMTK/comments/frul6g/w0075_vaststelling_van_de_begrotingsstaat_van_het/" TargetMode="External"/><Relationship Id="rId3" Type="http://schemas.openxmlformats.org/officeDocument/2006/relationships/hyperlink" Target="https://www.reddit.com/r/RMTK/comments/fsgnao/w0076_vaststelling_van_de_begrotingsstaat_van_het/" TargetMode="External"/><Relationship Id="rId4" Type="http://schemas.openxmlformats.org/officeDocument/2006/relationships/hyperlink" Target="https://www.reddit.com/r/RMTK/comments/ft3no2/w0077_wet_tot_moratorium_gezichtsherkennende/" TargetMode="External"/><Relationship Id="rId9" Type="http://schemas.openxmlformats.org/officeDocument/2006/relationships/hyperlink" Target="https://www.reddit.com/r/RMTK/comments/g1mxke/w0083_wetswijziging_ter_afschaffing_automatisch/" TargetMode="External"/><Relationship Id="rId26" Type="http://schemas.openxmlformats.org/officeDocument/2006/relationships/hyperlink" Target="https://www.reddit.com/r/RMTK/comments/gv8xjk/w0102_wet_openbreken_van_de_telecommunicatiemarkt/" TargetMode="External"/><Relationship Id="rId25" Type="http://schemas.openxmlformats.org/officeDocument/2006/relationships/hyperlink" Target="https://www.reddit.com/r/RMTK/comments/gu0n1s/w0101_wetsvoorstel_tot_oprichting_mata_hari_fonds/" TargetMode="External"/><Relationship Id="rId28" Type="http://schemas.openxmlformats.org/officeDocument/2006/relationships/hyperlink" Target="https://www.reddit.com/r/RMTK/comments/gum7nf/w0103a_amendement_tot_wijziging_van_w0103/" TargetMode="External"/><Relationship Id="rId27" Type="http://schemas.openxmlformats.org/officeDocument/2006/relationships/hyperlink" Target="https://www.reddit.com/r/RMTK/comments/gptqc5/w0103_goedkeuringswet_europees_verdrag_omtrent/" TargetMode="External"/><Relationship Id="rId5" Type="http://schemas.openxmlformats.org/officeDocument/2006/relationships/hyperlink" Target="https://www.reddit.com/r/RMTK/comments/fur4rn/w0078_intrekkingswet_wet_op_de_identificatieplicht/" TargetMode="External"/><Relationship Id="rId6" Type="http://schemas.openxmlformats.org/officeDocument/2006/relationships/hyperlink" Target="https://www.reddit.com/r/RMTK/comments/fwhw8q/w0079_wet_om_de_accijns_op_tabak_houdende/" TargetMode="External"/><Relationship Id="rId29" Type="http://schemas.openxmlformats.org/officeDocument/2006/relationships/drawing" Target="../drawings/drawing10.xml"/><Relationship Id="rId7" Type="http://schemas.openxmlformats.org/officeDocument/2006/relationships/hyperlink" Target="https://www.reddit.com/r/RMTK/comments/fx3ttg/w0080_wetswijziging_ter_afschaffing_erfbelasting/" TargetMode="External"/><Relationship Id="rId8" Type="http://schemas.openxmlformats.org/officeDocument/2006/relationships/hyperlink" Target="https://www.reddit.com/r/RMTK/comments/g0dwea/w0081_wet_op_wijziging_middelbaar_onderwijs_tot/" TargetMode="External"/><Relationship Id="rId30" Type="http://schemas.openxmlformats.org/officeDocument/2006/relationships/vmlDrawing" Target="../drawings/vmlDrawing5.vml"/><Relationship Id="rId11" Type="http://schemas.openxmlformats.org/officeDocument/2006/relationships/hyperlink" Target="https://www.reddit.com/r/RMTK/comments/g5aglx/w0086_wet_ter_verlenging_van_de_levensduur_van/" TargetMode="External"/><Relationship Id="rId10" Type="http://schemas.openxmlformats.org/officeDocument/2006/relationships/hyperlink" Target="https://www.reddit.com/r/RMTK/comments/g2bf4w/w0084_vlootwet_2020/" TargetMode="External"/><Relationship Id="rId13" Type="http://schemas.openxmlformats.org/officeDocument/2006/relationships/hyperlink" Target="https://www.reddit.com/r/RMTK/comments/g9mrib/w0089_wetswijziging_tot_correctie_van_de/" TargetMode="External"/><Relationship Id="rId12" Type="http://schemas.openxmlformats.org/officeDocument/2006/relationships/hyperlink" Target="https://www.reddit.com/r/RMTK/comments/g6i299/w0088_wetswijziging_tot_inkorting_aanpassing/" TargetMode="External"/><Relationship Id="rId15" Type="http://schemas.openxmlformats.org/officeDocument/2006/relationships/hyperlink" Target="https://www.reddit.com/r/RMTK/comments/gfssqx/w0091_wet_tot_afschaffing_legitieme_portie_in_het/" TargetMode="External"/><Relationship Id="rId14" Type="http://schemas.openxmlformats.org/officeDocument/2006/relationships/hyperlink" Target="https://www.reddit.com/r/RMTK/comments/gehwkg/w0090_wet_op_aanvullende_eisen_ictprojecten/" TargetMode="External"/><Relationship Id="rId17" Type="http://schemas.openxmlformats.org/officeDocument/2006/relationships/hyperlink" Target="https://www.reddit.com/r/RMTK/comments/ghp690/w0093_intrekkingswet_wet_op_de_vaste_boekenprijs/" TargetMode="External"/><Relationship Id="rId16" Type="http://schemas.openxmlformats.org/officeDocument/2006/relationships/hyperlink" Target="https://www.reddit.com/r/RMTK/comments/ggf1z2/w0092_wetswijziging_van_het_wetboek_van/" TargetMode="External"/><Relationship Id="rId19" Type="http://schemas.openxmlformats.org/officeDocument/2006/relationships/hyperlink" Target="https://www.reddit.com/r/RMTK/comments/gjnyww/w0095_wet_tot_invoering_planbatenbelasting/" TargetMode="External"/><Relationship Id="rId18" Type="http://schemas.openxmlformats.org/officeDocument/2006/relationships/hyperlink" Target="https://www.reddit.com/r/RMTK/comments/gicu96/w0094_wet_voor_afschaffing_dwangsomregeling_ter/"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ww.reddit.com/r/RMTK/comments/g2wxl7/kb0025_koninklijk_besluit_ter_verlening/" TargetMode="External"/><Relationship Id="rId2" Type="http://schemas.openxmlformats.org/officeDocument/2006/relationships/hyperlink" Target="https://www.reddit.com/r/RMTK/comments/g4scry/ks0053_kamerbrief_naar_aanleiding_van_motie_0053/" TargetMode="External"/><Relationship Id="rId3" Type="http://schemas.openxmlformats.org/officeDocument/2006/relationships/hyperlink" Target="https://www.reddit.com/r/RMTK/comments/g77yyl/ks0054_kamerbrief_aangaande_uitvoering_van/" TargetMode="External"/><Relationship Id="rId4" Type="http://schemas.openxmlformats.org/officeDocument/2006/relationships/hyperlink" Target="https://www.reddit.com/r/RMTK/comments/g8ynvj/kb0026_verlengingsbesluit_tijdelijk_bureau/" TargetMode="External"/><Relationship Id="rId9" Type="http://schemas.openxmlformats.org/officeDocument/2006/relationships/hyperlink" Target="https://www.reddit.com/r/RMTK/comments/gwj60j/ks0030_kamerbrief_aangaande_peilingen_onder/" TargetMode="External"/><Relationship Id="rId5" Type="http://schemas.openxmlformats.org/officeDocument/2006/relationships/hyperlink" Target="https://www.reddit.com/r/RMTK/comments/gmmcw9/ks0055_kamerbrief_aangaande_de_gesloten/" TargetMode="External"/><Relationship Id="rId6" Type="http://schemas.openxmlformats.org/officeDocument/2006/relationships/hyperlink" Target="https://www.reddit.com/r/RMTK/comments/gp8eua/kv0002_kamervragen_over_aanpak_van/" TargetMode="External"/><Relationship Id="rId7" Type="http://schemas.openxmlformats.org/officeDocument/2006/relationships/hyperlink" Target="https://www.reddit.com/r/RMTK/comments/gr6n12/ks0028_kamerbrief_aangaande_aangenomen_motie/" TargetMode="External"/><Relationship Id="rId8" Type="http://schemas.openxmlformats.org/officeDocument/2006/relationships/hyperlink" Target="https://www.reddit.com/r/RMTK/comments/gsum5z/ks0029_kamerbrief_aangaande_het/" TargetMode="External"/><Relationship Id="rId11" Type="http://schemas.openxmlformats.org/officeDocument/2006/relationships/drawing" Target="../drawings/drawing11.xml"/><Relationship Id="rId10" Type="http://schemas.openxmlformats.org/officeDocument/2006/relationships/hyperlink" Target="https://www.reddit.com/r/RMTK/comments/e7m5ms/ks0045_nota_aangaande_verantwoordingsdag/" TargetMode="External"/></Relationships>
</file>

<file path=xl/worksheets/_rels/sheet12.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12.xml"/><Relationship Id="rId3" Type="http://schemas.openxmlformats.org/officeDocument/2006/relationships/vmlDrawing" Target="../drawings/vmlDrawing6.vml"/></Relationships>
</file>

<file path=xl/worksheets/_rels/sheet13.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13.xml"/><Relationship Id="rId3" Type="http://schemas.openxmlformats.org/officeDocument/2006/relationships/vmlDrawing" Target="../drawings/vmlDrawing7.v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15.xml"/><Relationship Id="rId3" Type="http://schemas.openxmlformats.org/officeDocument/2006/relationships/vmlDrawing" Target="../drawings/vmlDrawing8.vml"/></Relationships>
</file>

<file path=xl/worksheets/_rels/sheet16.xml.rels><?xml version="1.0" encoding="UTF-8" standalone="yes"?><Relationships xmlns="http://schemas.openxmlformats.org/package/2006/relationships"><Relationship Id="rId40" Type="http://schemas.openxmlformats.org/officeDocument/2006/relationships/hyperlink" Target="https://www.reddit.com/r/RMTK/comments/ddkmr8/rmtk_verkiezingen_x/" TargetMode="External"/><Relationship Id="rId42" Type="http://schemas.openxmlformats.org/officeDocument/2006/relationships/hyperlink" Target="https://web.archive.org/web/20200606181908/https://www.reddit.com/r/RMTK/comments/3afmwa/verkiezingsuitslag_reddit_model_tweede/" TargetMode="External"/><Relationship Id="rId41" Type="http://schemas.openxmlformats.org/officeDocument/2006/relationships/hyperlink" Target="https://www.reddit.com/r/RMTK/comments/fk105b/rmtk_verkiezingen_xi/" TargetMode="External"/><Relationship Id="rId44" Type="http://schemas.openxmlformats.org/officeDocument/2006/relationships/hyperlink" Target="https://www.reddit.com/r/RMTKMedia/comments/5z14g1/kiesraad_bekendmaking_uitslagen_tweede/" TargetMode="External"/><Relationship Id="rId43" Type="http://schemas.openxmlformats.org/officeDocument/2006/relationships/hyperlink" Target="https://www.reddit.com/r/RMTK/comments/55jv9n/rmtk_verkiezingen_iv_uitslagen/" TargetMode="External"/><Relationship Id="rId46" Type="http://schemas.openxmlformats.org/officeDocument/2006/relationships/hyperlink" Target="https://www.reddit.com/r/RMTK/comments/9qg9dl/bekendmaking_uitslagen_verkiezingen_viii/" TargetMode="External"/><Relationship Id="rId45" Type="http://schemas.openxmlformats.org/officeDocument/2006/relationships/hyperlink" Target="https://www.reddit.com/r/RMTK/comments/8cfqun/publicatie_resultaten_tk_verkiezingen_april_2018/" TargetMode="External"/><Relationship Id="rId1" Type="http://schemas.openxmlformats.org/officeDocument/2006/relationships/comments" Target="../comments9.xml"/><Relationship Id="rId2" Type="http://schemas.openxmlformats.org/officeDocument/2006/relationships/hyperlink" Target="https://web.archive.org/web/20200606181058/https://www.reddit.com/r/RMTK/comments/37ptfx/vooraankondiging_verkiezingen_tweede_kamer_der/" TargetMode="External"/><Relationship Id="rId3" Type="http://schemas.openxmlformats.org/officeDocument/2006/relationships/hyperlink" Target="https://www.reddit.com/r/RMTK/comments/3q3pq2/vooraankondiging_tweede_verkiezingen_van_de/" TargetMode="External"/><Relationship Id="rId4" Type="http://schemas.openxmlformats.org/officeDocument/2006/relationships/hyperlink" Target="https://www.reddit.com/r/RMTK/comments/51kz4b/vooraankondiging_vierde_verkiezingen_van_de/" TargetMode="External"/><Relationship Id="rId9" Type="http://schemas.openxmlformats.org/officeDocument/2006/relationships/hyperlink" Target="https://www.reddit.com/r/RMTK/comments/axxnre/vooraankondiging_ixe_verkiezingen_reddit_model/" TargetMode="External"/><Relationship Id="rId48" Type="http://schemas.openxmlformats.org/officeDocument/2006/relationships/hyperlink" Target="https://www.reddit.com/r/RMTK/comments/df59p1/bekendmaking_uitslagen_verkiezingen_x/" TargetMode="External"/><Relationship Id="rId47" Type="http://schemas.openxmlformats.org/officeDocument/2006/relationships/hyperlink" Target="https://www.reddit.com/r/RMTK/comments/b4o3ss/bekendmaking_uitslagen_verkiezingen_ix/" TargetMode="External"/><Relationship Id="rId49" Type="http://schemas.openxmlformats.org/officeDocument/2006/relationships/hyperlink" Target="https://www.reddit.com/r/RMTKMeta/comments/fmlanl/rmtk_verkiezingen_xi_simulatiespreadsheet/" TargetMode="External"/><Relationship Id="rId5" Type="http://schemas.openxmlformats.org/officeDocument/2006/relationships/hyperlink" Target="https://www.reddit.com/r/RMTK/comments/5v7d0y/vooraankondigingen_vijfde_verkiezingen_van_de/" TargetMode="External"/><Relationship Id="rId6" Type="http://schemas.openxmlformats.org/officeDocument/2006/relationships/hyperlink" Target="https://www.reddit.com/r/RMTK/comments/6q2rye/vooraankondiging_vie_verkiezingen_reddit_model/" TargetMode="External"/><Relationship Id="rId7" Type="http://schemas.openxmlformats.org/officeDocument/2006/relationships/hyperlink" Target="https://www.reddit.com/r/RMTKMeta/comments/8710jj/vooraankondiging_rmtk_verkieizingen_vii/" TargetMode="External"/><Relationship Id="rId8" Type="http://schemas.openxmlformats.org/officeDocument/2006/relationships/hyperlink" Target="https://www.reddit.com/r/RMTK/comments/9mpe0l/vooraankondiging_viiie_verkiezingen_van_reddit/" TargetMode="External"/><Relationship Id="rId31" Type="http://schemas.openxmlformats.org/officeDocument/2006/relationships/hyperlink" Target="https://www.reddit.com/r/RMTK/comments/b347kn/rmtk_verkiezingen_ix/" TargetMode="External"/><Relationship Id="rId30" Type="http://schemas.openxmlformats.org/officeDocument/2006/relationships/hyperlink" Target="https://www.reddit.com/r/RMTK/comments/9p7uuf/rmtk_verkiezingen_viii/" TargetMode="External"/><Relationship Id="rId33" Type="http://schemas.openxmlformats.org/officeDocument/2006/relationships/hyperlink" Target="https://www.reddit.com/r/RMTK/comments/fk105b/rmtk_verkiezingen_xi/" TargetMode="External"/><Relationship Id="rId32" Type="http://schemas.openxmlformats.org/officeDocument/2006/relationships/hyperlink" Target="https://www.reddit.com/r/RMTK/comments/ddkmr8/rmtk_verkiezingen_x/" TargetMode="External"/><Relationship Id="rId35" Type="http://schemas.openxmlformats.org/officeDocument/2006/relationships/hyperlink" Target="https://www.reddit.com/r/RMTK/comments/3sjwct/verifieer_hier_je_stem/" TargetMode="External"/><Relationship Id="rId34" Type="http://schemas.openxmlformats.org/officeDocument/2006/relationships/hyperlink" Target="https://web.archive.org/web/20200606181811/https://www.reddit.com/r/RMTK/comments/3a20q8/rmtk_verkiezingen_bevestig_je_stem_hier/" TargetMode="External"/><Relationship Id="rId37" Type="http://schemas.openxmlformats.org/officeDocument/2006/relationships/hyperlink" Target="https://www.reddit.com/r/RMTK/comments/54t3ib/4de_rmtk_verkiezingen_verificatie/" TargetMode="External"/><Relationship Id="rId36" Type="http://schemas.openxmlformats.org/officeDocument/2006/relationships/hyperlink" Target="https://www.reddit.com/r/RMTK/comments/4c7f0o/3rde_rmtk_verkiezingen_verificatie/" TargetMode="External"/><Relationship Id="rId39" Type="http://schemas.openxmlformats.org/officeDocument/2006/relationships/hyperlink" Target="https://www.reddit.com/r/RMTK/comments/b347kn/rmtk_verkiezingen_ix/" TargetMode="External"/><Relationship Id="rId38" Type="http://schemas.openxmlformats.org/officeDocument/2006/relationships/hyperlink" Target="https://www.reddit.com/r/RMTK/comments/8aouj7/viie_verkiezingen_van_reddit_model_tweede_kamer/" TargetMode="External"/><Relationship Id="rId20" Type="http://schemas.openxmlformats.org/officeDocument/2006/relationships/hyperlink" Target="https://www.reddit.com/r/RMTK/comments/azyenl/propaganda_competitie_verkiezingen_ix/" TargetMode="External"/><Relationship Id="rId22" Type="http://schemas.openxmlformats.org/officeDocument/2006/relationships/hyperlink" Target="https://www.reddit.com/r/RMTK/comments/fesoq0/propagandacompetitie_verkiezingen_xi/" TargetMode="External"/><Relationship Id="rId21" Type="http://schemas.openxmlformats.org/officeDocument/2006/relationships/hyperlink" Target="https://www.reddit.com/r/RMTK/comments/dbf0hb/propaganda_competitie_verkiezingen_x/" TargetMode="External"/><Relationship Id="rId24" Type="http://schemas.openxmlformats.org/officeDocument/2006/relationships/hyperlink" Target="https://www.reddit.com/r/RMTK/comments/3sjy1k/rmtk_verkiezingen_ii/" TargetMode="External"/><Relationship Id="rId23" Type="http://schemas.openxmlformats.org/officeDocument/2006/relationships/hyperlink" Target="https://web.archive.org/web/20200606181642/https://www.reddit.com/r/RMTK/comments/39qad3/tweede_kamer_verkiezingen_juni_2015/" TargetMode="External"/><Relationship Id="rId60" Type="http://schemas.openxmlformats.org/officeDocument/2006/relationships/table" Target="../tables/table1.xml"/><Relationship Id="rId26" Type="http://schemas.openxmlformats.org/officeDocument/2006/relationships/hyperlink" Target="https://www.reddit.com/r/RMTK/comments/54t3nv/rmtk_verkiezingen_iv/" TargetMode="External"/><Relationship Id="rId25" Type="http://schemas.openxmlformats.org/officeDocument/2006/relationships/hyperlink" Target="https://www.reddit.com/r/RMTK/comments/4c7fgb/rmtk_verkiezingen_iii/" TargetMode="External"/><Relationship Id="rId28" Type="http://schemas.openxmlformats.org/officeDocument/2006/relationships/hyperlink" Target="https://www.reddit.com/r/RMTK/comments/6zsvja/vie_verkiezingen_reddit_model_tweede_kamer/" TargetMode="External"/><Relationship Id="rId27" Type="http://schemas.openxmlformats.org/officeDocument/2006/relationships/hyperlink" Target="https://www.reddit.com/r/RMTK/comments/5y73mg/rmtk_verkiezingen_v/" TargetMode="External"/><Relationship Id="rId29" Type="http://schemas.openxmlformats.org/officeDocument/2006/relationships/hyperlink" Target="https://www.reddit.com/r/RMTK/comments/8aouj7/viie_verkiezingen_van_reddit_model_tweede_kamer/" TargetMode="External"/><Relationship Id="rId51" Type="http://schemas.openxmlformats.org/officeDocument/2006/relationships/hyperlink" Target="https://www.reddit.com/r/RMTK/comments/3sjr6i/rmtk_verkiezingen_ii_lijsttrekkers_debat/" TargetMode="External"/><Relationship Id="rId50" Type="http://schemas.openxmlformats.org/officeDocument/2006/relationships/hyperlink" Target="https://web.archive.org/save/https://www.reddit.com/live/v3q7z7heor1h/" TargetMode="External"/><Relationship Id="rId53" Type="http://schemas.openxmlformats.org/officeDocument/2006/relationships/hyperlink" Target="https://www.reddit.com/r/RMTK/comments/53gg3m/rmtk_verkiezingen_pledge_cards/" TargetMode="External"/><Relationship Id="rId52" Type="http://schemas.openxmlformats.org/officeDocument/2006/relationships/hyperlink" Target="https://www.reddit.com/r/RMTK/comments/4c6jat/rmtk_lijsttrekkersdebat_tk/" TargetMode="External"/><Relationship Id="rId11" Type="http://schemas.openxmlformats.org/officeDocument/2006/relationships/hyperlink" Target="https://www.reddit.com/r/RMTK/comments/fadt3v/vooraankondiging_xie_verkiezingen_reddit_model/" TargetMode="External"/><Relationship Id="rId55" Type="http://schemas.openxmlformats.org/officeDocument/2006/relationships/hyperlink" Target="https://www.reddit.com/r/RMTK/comments/9nk1ze/lijsttrekkersdebat_1_huizenkoorts_bereikt_nieuw/" TargetMode="External"/><Relationship Id="rId10" Type="http://schemas.openxmlformats.org/officeDocument/2006/relationships/hyperlink" Target="https://www.reddit.com/r/RMTK/comments/d6yw8a/vooraankondiging_xe_verkiezingen_reddit_model/" TargetMode="External"/><Relationship Id="rId54" Type="http://schemas.openxmlformats.org/officeDocument/2006/relationships/hyperlink" Target="https://www.youtube.com/watch?v=wQiFDSdt0AU&amp;feature=youtu.be" TargetMode="External"/><Relationship Id="rId13" Type="http://schemas.openxmlformats.org/officeDocument/2006/relationships/hyperlink" Target="https://www.reddit.com/r/RMTK/comments/3rnvau/propagandaposter_wedstrijd/" TargetMode="External"/><Relationship Id="rId57" Type="http://schemas.openxmlformats.org/officeDocument/2006/relationships/drawing" Target="../drawings/drawing16.xml"/><Relationship Id="rId12" Type="http://schemas.openxmlformats.org/officeDocument/2006/relationships/hyperlink" Target="https://web.archive.org/web/20200606181323/https://www.reddit.com/r/RMTK/comments/387m1b/propaganda_poster_competitie/" TargetMode="External"/><Relationship Id="rId56" Type="http://schemas.openxmlformats.org/officeDocument/2006/relationships/hyperlink" Target="https://www.reddit.com/r/RMTK/comments/b0pdzp/verkiezingsdebat_1_veiligheid_en_terrorisme/" TargetMode="External"/><Relationship Id="rId15" Type="http://schemas.openxmlformats.org/officeDocument/2006/relationships/hyperlink" Target="https://www.reddit.com/r/RMTK/comments/53tcxn/propagandacompetitie_maak_je_propagandaposter_of/" TargetMode="External"/><Relationship Id="rId14" Type="http://schemas.openxmlformats.org/officeDocument/2006/relationships/hyperlink" Target="https://www.reddit.com/r/RMTK/comments/4bep9f/propagandacompetitie_maak_je_propagandaposter_of/" TargetMode="External"/><Relationship Id="rId58" Type="http://schemas.openxmlformats.org/officeDocument/2006/relationships/vmlDrawing" Target="../drawings/vmlDrawing9.vml"/><Relationship Id="rId17" Type="http://schemas.openxmlformats.org/officeDocument/2006/relationships/hyperlink" Target="https://www.reddit.com/r/RMTK/comments/6z1n6a/propagandacompetitie/" TargetMode="External"/><Relationship Id="rId16" Type="http://schemas.openxmlformats.org/officeDocument/2006/relationships/hyperlink" Target="https://www.reddit.com/r/RMTK/comments/5vc9ij/propagandacompetitie/" TargetMode="External"/><Relationship Id="rId19" Type="http://schemas.openxmlformats.org/officeDocument/2006/relationships/hyperlink" Target="https://www.reddit.com/r/RMTK/comments/9naodx/propaganda_competitie_verkiezingen_viii/" TargetMode="External"/><Relationship Id="rId18" Type="http://schemas.openxmlformats.org/officeDocument/2006/relationships/hyperlink" Target="https://www.reddit.com/r/RMTK/comments/88j77n/propaganda_competitie_verkiezingen_vii/"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s://www.reddit.com/r/RMTK/comments/e5znmk/w0054_grondwetswijziging_ter/" TargetMode="External"/><Relationship Id="rId2"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20" Type="http://schemas.openxmlformats.org/officeDocument/2006/relationships/hyperlink" Target="https://reddit.com/r/RMTK/comments/gm7q2f" TargetMode="External"/><Relationship Id="rId22" Type="http://schemas.openxmlformats.org/officeDocument/2006/relationships/hyperlink" Target="https://reddit.com/r/RMTK/comments/gfssqx" TargetMode="External"/><Relationship Id="rId21" Type="http://schemas.openxmlformats.org/officeDocument/2006/relationships/hyperlink" Target="https://reddit.com/r/RMTK/comments/gn9d57" TargetMode="External"/><Relationship Id="rId24" Type="http://schemas.openxmlformats.org/officeDocument/2006/relationships/hyperlink" Target="https://reddit.com/r/RMTK/comments/ghp690" TargetMode="External"/><Relationship Id="rId23" Type="http://schemas.openxmlformats.org/officeDocument/2006/relationships/hyperlink" Target="https://reddit.com/r/RMTK/comments/ggf1z2" TargetMode="External"/><Relationship Id="rId1" Type="http://schemas.openxmlformats.org/officeDocument/2006/relationships/comments" Target="../comments1.xml"/><Relationship Id="rId2" Type="http://schemas.openxmlformats.org/officeDocument/2006/relationships/hyperlink" Target="https://www.reddit.com/r/RMTK/comments/gkao3p/m0183_motie_tot_kwaliteit_bij_staatsrechtelijke/" TargetMode="External"/><Relationship Id="rId3" Type="http://schemas.openxmlformats.org/officeDocument/2006/relationships/hyperlink" Target="https://reddit.com/r/RMTK/comments/gi92kk" TargetMode="External"/><Relationship Id="rId4" Type="http://schemas.openxmlformats.org/officeDocument/2006/relationships/hyperlink" Target="https://reddit.com/r/RMTK/comments/gm7q2f" TargetMode="External"/><Relationship Id="rId9" Type="http://schemas.openxmlformats.org/officeDocument/2006/relationships/hyperlink" Target="https://www.reddit.com/r/RMTK/comments/g7t5gv/m0167_motie_tot_verbieden_participatieverklaring/" TargetMode="External"/><Relationship Id="rId26" Type="http://schemas.openxmlformats.org/officeDocument/2006/relationships/vmlDrawing" Target="../drawings/vmlDrawing1.vml"/><Relationship Id="rId25" Type="http://schemas.openxmlformats.org/officeDocument/2006/relationships/drawing" Target="../drawings/drawing2.xml"/><Relationship Id="rId5" Type="http://schemas.openxmlformats.org/officeDocument/2006/relationships/hyperlink" Target="https://reddit.com/r/RMTK/comments/gn9d57" TargetMode="External"/><Relationship Id="rId6" Type="http://schemas.openxmlformats.org/officeDocument/2006/relationships/hyperlink" Target="https://reddit.com/r/RMTK/comments/gfssqx" TargetMode="External"/><Relationship Id="rId7" Type="http://schemas.openxmlformats.org/officeDocument/2006/relationships/hyperlink" Target="https://reddit.com/r/RMTK/comments/ggf1z2" TargetMode="External"/><Relationship Id="rId8" Type="http://schemas.openxmlformats.org/officeDocument/2006/relationships/hyperlink" Target="https://reddit.com/r/RMTK/comments/ghp690" TargetMode="External"/><Relationship Id="rId11" Type="http://schemas.openxmlformats.org/officeDocument/2006/relationships/hyperlink" Target="https://www.reddit.com/r/RMTK/comments/ga90n1/m0168_zoeken_van_draagvlak_voor_de_participatie/" TargetMode="External"/><Relationship Id="rId10" Type="http://schemas.openxmlformats.org/officeDocument/2006/relationships/hyperlink" Target="https://www.reddit.com/r/RMTK/comments/g9mrib" TargetMode="External"/><Relationship Id="rId13" Type="http://schemas.openxmlformats.org/officeDocument/2006/relationships/hyperlink" Target="https://www.reddit.com/r/RMTK/comments/gdvpgj/m0170_motie_tot_het_verhogen_van_salarissen_voor/" TargetMode="External"/><Relationship Id="rId12" Type="http://schemas.openxmlformats.org/officeDocument/2006/relationships/hyperlink" Target="https://www.reddit.com/r/RMTK/comments/gav8k0/m0169_motie_tot_aanschaf_betere_wapens_voor_het/" TargetMode="External"/><Relationship Id="rId15" Type="http://schemas.openxmlformats.org/officeDocument/2006/relationships/hyperlink" Target="https://www.reddit.com/r/RMTK/comments/gdxb1s/m0179_motie_tot_bevestiging_steun_voor_moties/" TargetMode="External"/><Relationship Id="rId14" Type="http://schemas.openxmlformats.org/officeDocument/2006/relationships/hyperlink" Target="https://www.reddit.com/r/RMTK/comments/g6i299/w0088_wetswijziging_tot_inkorting_aanpassing/" TargetMode="External"/><Relationship Id="rId17" Type="http://schemas.openxmlformats.org/officeDocument/2006/relationships/hyperlink" Target="https://www.reddit.com/r/RMTK/comments/ghu0dd/m0182_motie_van_wantrouwen_jegens_de_minister_van/" TargetMode="External"/><Relationship Id="rId16" Type="http://schemas.openxmlformats.org/officeDocument/2006/relationships/hyperlink" Target="https://www.reddit.com/r/RMTK/comments/gf4gid/m0171_motie_tot_vak_belastingaangifte/" TargetMode="External"/><Relationship Id="rId19" Type="http://schemas.openxmlformats.org/officeDocument/2006/relationships/hyperlink" Target="https://reddit.com/r/RMTK/comments/gi92kk" TargetMode="External"/><Relationship Id="rId18" Type="http://schemas.openxmlformats.org/officeDocument/2006/relationships/hyperlink" Target="https://www.reddit.com/r/RMTK/comments/gkao3p/m0183_motie_tot_kwaliteit_bij_staatsrechtelijke/" TargetMode="Externa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hyperlink" Target="https://www.reddit.com/r/RMTK/comments/drl0sa/m0120_motie_tot_de_aanpak_van_intensieve/" TargetMode="External"/><Relationship Id="rId2" Type="http://schemas.openxmlformats.org/officeDocument/2006/relationships/hyperlink" Target="https://www.reddit.com/r/RMTK/comments/dt2s9z/m0121_motie_aangaande_het_opschorten_van_het/" TargetMode="External"/><Relationship Id="rId3" Type="http://schemas.openxmlformats.org/officeDocument/2006/relationships/hyperlink" Target="https://www.reddit.com/r/RMTK/comments/ds2nrf/w0046_rijksbegroting_2020_buitenlandse_zaken/" TargetMode="External"/><Relationship Id="rId4" Type="http://schemas.openxmlformats.org/officeDocument/2006/relationships/hyperlink" Target="https://www.reddit.com/r/RMTK/comments/ds2nu7/w0047_rijksbegroting_2020_defensie_en/" TargetMode="External"/><Relationship Id="rId9" Type="http://schemas.openxmlformats.org/officeDocument/2006/relationships/hyperlink" Target="https://www.reddit.com/r/RMTK/comments/dvxgay/w0050_intrekkingswetsvoorstel_wetswijzing/" TargetMode="External"/><Relationship Id="rId5" Type="http://schemas.openxmlformats.org/officeDocument/2006/relationships/hyperlink" Target="https://www.reddit.com/r/RMTK/comments/dtj67r/w0048i_amendement_sanctiewet_republiek_turkije/" TargetMode="External"/><Relationship Id="rId6" Type="http://schemas.openxmlformats.org/officeDocument/2006/relationships/hyperlink" Target="https://www.reddit.com/r/RMTK/comments/dtjaf2/amendement_sanctiewet_republiek_turkije_turkse/" TargetMode="External"/><Relationship Id="rId7" Type="http://schemas.openxmlformats.org/officeDocument/2006/relationships/hyperlink" Target="https://www.reddit.com/r/RMTK/comments/duvmyy/m0122_motie_tot_een_totaalverbod_op/" TargetMode="External"/><Relationship Id="rId8" Type="http://schemas.openxmlformats.org/officeDocument/2006/relationships/hyperlink" Target="https://www.reddit.com/r/RMTK/comments/dvhfjp/w0049_wetswijziging_tot_toestaan_polyamorisch/" TargetMode="External"/><Relationship Id="rId11" Type="http://schemas.openxmlformats.org/officeDocument/2006/relationships/drawing" Target="../drawings/drawing22.xml"/><Relationship Id="rId10" Type="http://schemas.openxmlformats.org/officeDocument/2006/relationships/hyperlink" Target="https://www.reddit.com/r/RMTK/comments/dwce3f/w0051_wijziging_van_de_grondwet_vanwege_het/" TargetMode="Externa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reddit.com/r/RMTK/comments/g0porv/resultaten_stemming_eerste_kamer_over_w0072/" TargetMode="External"/><Relationship Id="rId3" Type="http://schemas.openxmlformats.org/officeDocument/2006/relationships/hyperlink" Target="https://www.reddit.com/r/RMTK/comments/g4ycpa/resultaten_stemming_eerste_kamer_over_w0075_w0077/" TargetMode="External"/><Relationship Id="rId4" Type="http://schemas.openxmlformats.org/officeDocument/2006/relationships/hyperlink" Target="https://www.reddit.com/r/RMTK/comments/gb4svd/resultaten_stemming_eerste_kamer_over_w0079/" TargetMode="External"/><Relationship Id="rId9" Type="http://schemas.openxmlformats.org/officeDocument/2006/relationships/drawing" Target="../drawings/drawing3.xml"/><Relationship Id="rId5" Type="http://schemas.openxmlformats.org/officeDocument/2006/relationships/hyperlink" Target="https://www.reddit.com/r/RMTK/comments/gdixjo/resultaten_stemming_eerste_kamer_over_w0076/" TargetMode="External"/><Relationship Id="rId6" Type="http://schemas.openxmlformats.org/officeDocument/2006/relationships/hyperlink" Target="https://www.reddit.com/r/RMTK/comments/gndgbf/resultaten_stemming_eerste_kamer_over_w0081_w0083/" TargetMode="External"/><Relationship Id="rId7" Type="http://schemas.openxmlformats.org/officeDocument/2006/relationships/hyperlink" Target="https://www.reddit.com/r/RMTK/comments/gsaccg/resultaten_stemming_eerste_kamer_over_w0089_w0088/" TargetMode="External"/><Relationship Id="rId8" Type="http://schemas.openxmlformats.org/officeDocument/2006/relationships/hyperlink" Target="https://www.reddit.com/r/RMTK/comments/fsgnao/" TargetMode="External"/><Relationship Id="rId10" Type="http://schemas.openxmlformats.org/officeDocument/2006/relationships/vmlDrawing" Target="../drawings/vmlDrawing2.v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drawing" Target="../drawings/drawing33.xml"/><Relationship Id="rId3" Type="http://schemas.openxmlformats.org/officeDocument/2006/relationships/vmlDrawing" Target="../drawings/vmlDrawing10.v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8.xml"/><Relationship Id="rId3"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40" Type="http://schemas.openxmlformats.org/officeDocument/2006/relationships/hyperlink" Target="https://www.reddit.com/r/RMTK/comments/gtcje1/m0195_motie_tot_een_verbod_op_homogenezing/" TargetMode="External"/><Relationship Id="rId20" Type="http://schemas.openxmlformats.org/officeDocument/2006/relationships/hyperlink" Target="https://www.reddit.com/r/RMTK/comments/ga90n1/m0168_zoeken_van_draagvlak_voor_de_participatie/" TargetMode="External"/><Relationship Id="rId42" Type="http://schemas.openxmlformats.org/officeDocument/2006/relationships/hyperlink" Target="https://www.reddit.com/r/RMTK/comments/gq93eq/m0197_motie_tot_raadgevend_referendum_aangaande/" TargetMode="External"/><Relationship Id="rId41" Type="http://schemas.openxmlformats.org/officeDocument/2006/relationships/hyperlink" Target="https://www.reddit.com/r/RMTK/comments/gtx72s/m0196_motie_voor_het_beperken_van_klimaatschade/" TargetMode="External"/><Relationship Id="rId22" Type="http://schemas.openxmlformats.org/officeDocument/2006/relationships/hyperlink" Target="https://www.reddit.com/r/RMTK/comments/gku9kz/m0177_motie_tot_afschaffen_van_de/" TargetMode="External"/><Relationship Id="rId44" Type="http://schemas.openxmlformats.org/officeDocument/2006/relationships/hyperlink" Target="https://www.reddit.com/r/RMTK/comments/gx2jk2/m0203_motie_tot_weghalen_van_de_discretionaire/" TargetMode="External"/><Relationship Id="rId21" Type="http://schemas.openxmlformats.org/officeDocument/2006/relationships/hyperlink" Target="https://www.reddit.com/r/RMTK/comments/gav8k0/m0169_motie_tot_aanschaf_betere_wapens_voor_het/" TargetMode="External"/><Relationship Id="rId43" Type="http://schemas.openxmlformats.org/officeDocument/2006/relationships/hyperlink" Target="https://www.reddit.com/r/RMTK/comments/gvvl68/m0198_motie_tot_cre%C3%ABren_zelfbewoningsplicht/" TargetMode="External"/><Relationship Id="rId24" Type="http://schemas.openxmlformats.org/officeDocument/2006/relationships/hyperlink" Target="https://www.reddit.com/r/RMTK/comments/gdxb1s/m0179_motie_tot_bevestiging_steun_voor_moties/" TargetMode="External"/><Relationship Id="rId46" Type="http://schemas.openxmlformats.org/officeDocument/2006/relationships/vmlDrawing" Target="../drawings/vmlDrawing4.vml"/><Relationship Id="rId23" Type="http://schemas.openxmlformats.org/officeDocument/2006/relationships/hyperlink" Target="https://www.reddit.com/r/RMTK/comments/gdb6s1/m0178_motie_tot_herbouwen_van_de_voetbalkantine/" TargetMode="External"/><Relationship Id="rId45" Type="http://schemas.openxmlformats.org/officeDocument/2006/relationships/drawing" Target="../drawings/drawing9.xml"/><Relationship Id="rId1" Type="http://schemas.openxmlformats.org/officeDocument/2006/relationships/comments" Target="../comments4.xml"/><Relationship Id="rId2" Type="http://schemas.openxmlformats.org/officeDocument/2006/relationships/hyperlink" Target="https://www.reddit.com/r/RMTK/comments/fu5pcf/m0150_motie_tot_geven_van_nederlanderschap_aan/" TargetMode="External"/><Relationship Id="rId3" Type="http://schemas.openxmlformats.org/officeDocument/2006/relationships/hyperlink" Target="https://www.reddit.com/r/RMTK/comments/fvob7w/m0151_motie_tot_oplossen_liquiditeitsprobleem_ten/" TargetMode="External"/><Relationship Id="rId4" Type="http://schemas.openxmlformats.org/officeDocument/2006/relationships/hyperlink" Target="https://www.reddit.com/r/RMTK/comments/fvw34y/m0152_motie_tot_regeling_overheidszaken_via/" TargetMode="External"/><Relationship Id="rId9" Type="http://schemas.openxmlformats.org/officeDocument/2006/relationships/hyperlink" Target="https://www.reddit.com/r/RMTK/comments/fz3pfj/m0157_motie_tot_spelende_kinderen_blij_maken/" TargetMode="External"/><Relationship Id="rId26" Type="http://schemas.openxmlformats.org/officeDocument/2006/relationships/hyperlink" Target="https://www.reddit.com/r/RMTK/comments/gokzbw/m0181_motie_tot_erkenning_van_de_genocide_op/" TargetMode="External"/><Relationship Id="rId25" Type="http://schemas.openxmlformats.org/officeDocument/2006/relationships/hyperlink" Target="https://www.reddit.com/r/RMTK/comments/gm7q2f/m0180_motie_tot_het_gratis_maken_van/" TargetMode="External"/><Relationship Id="rId28" Type="http://schemas.openxmlformats.org/officeDocument/2006/relationships/hyperlink" Target="https://www.reddit.com/r/RMTK/comments/gkao3p/m0183_motie_tot_kwaliteit_bij_staatsrechtelijke/" TargetMode="External"/><Relationship Id="rId27" Type="http://schemas.openxmlformats.org/officeDocument/2006/relationships/hyperlink" Target="https://www.reddit.com/r/RMTK/comments/ghu0dd/m0182_motie_van_wantrouwen_jegens_de_minister_van/" TargetMode="External"/><Relationship Id="rId5" Type="http://schemas.openxmlformats.org/officeDocument/2006/relationships/hyperlink" Target="https://www.reddit.com/r/RMTK/comments/fx3ttl/m0153_motie_tot_regeling_overheidszaken_via_papier/" TargetMode="External"/><Relationship Id="rId6" Type="http://schemas.openxmlformats.org/officeDocument/2006/relationships/hyperlink" Target="https://www.reddit.com/r/RMTK/comments/fwa1h8/m0154_motie_tot_regeling_overheidszaken_via_email/" TargetMode="External"/><Relationship Id="rId29" Type="http://schemas.openxmlformats.org/officeDocument/2006/relationships/hyperlink" Target="https://www.reddit.com/r/RMTK/comments/gqx5v0/m0184_motie_tot_behoud_luchtalarm/" TargetMode="External"/><Relationship Id="rId7" Type="http://schemas.openxmlformats.org/officeDocument/2006/relationships/hyperlink" Target="https://www.reddit.com/r/RMTK/comments/fxpsug/m0155_motie_tot_hernoeming_flevoland_of_lelystad/" TargetMode="External"/><Relationship Id="rId8" Type="http://schemas.openxmlformats.org/officeDocument/2006/relationships/hyperlink" Target="https://www.reddit.com/r/RMTK/comments/fxhwmu/m0156_motie_tot_jaarlijkse_cursus/" TargetMode="External"/><Relationship Id="rId31" Type="http://schemas.openxmlformats.org/officeDocument/2006/relationships/hyperlink" Target="https://www.reddit.com/r/RMTK/comments/gs45z9/m0186_motie_om_de_hongerwinter_als_genocide_te/" TargetMode="External"/><Relationship Id="rId30" Type="http://schemas.openxmlformats.org/officeDocument/2006/relationships/hyperlink" Target="https://www.reddit.com/r/RMTK/comments/gn9d57/m0185_motie_tot_onderzoek_naar_de_banden_tussen/" TargetMode="External"/><Relationship Id="rId11" Type="http://schemas.openxmlformats.org/officeDocument/2006/relationships/hyperlink" Target="https://www.reddit.com/r/RMTK/comments/g188en/m0159_motie_tot_uitleg_politieke_stromingen_in/" TargetMode="External"/><Relationship Id="rId33" Type="http://schemas.openxmlformats.org/officeDocument/2006/relationships/hyperlink" Target="https://www.reddit.com/r/RMTK/comments/gsum5i/m0188_motie_tot_opkopen_emissierechten/" TargetMode="External"/><Relationship Id="rId10" Type="http://schemas.openxmlformats.org/officeDocument/2006/relationships/hyperlink" Target="https://www.reddit.com/r/RMTK/comments/g0km1j/m0158_motie_tot_versoepelen_rijwetgeving/" TargetMode="External"/><Relationship Id="rId32" Type="http://schemas.openxmlformats.org/officeDocument/2006/relationships/hyperlink" Target="https://www.reddit.com/r/RMTK/comments/gs45zz/m0187_motie_tot_onderzoek_naar_drugshandel_op/" TargetMode="External"/><Relationship Id="rId13" Type="http://schemas.openxmlformats.org/officeDocument/2006/relationships/hyperlink" Target="https://www.reddit.com/r/RMTK/comments/g2gjt7/m0161_motie_tot_verhoging_salaris_militairen/" TargetMode="External"/><Relationship Id="rId35" Type="http://schemas.openxmlformats.org/officeDocument/2006/relationships/hyperlink" Target="https://www.reddit.com/r/RMTK/comments/guimoh/m0190_motie_tot_decriminaliseren_drugs/" TargetMode="External"/><Relationship Id="rId12" Type="http://schemas.openxmlformats.org/officeDocument/2006/relationships/hyperlink" Target="https://www.reddit.com/r/RMTK/comments/g188dx/m0160_motie_tot_erkenning_van_taiwan_als/" TargetMode="External"/><Relationship Id="rId34" Type="http://schemas.openxmlformats.org/officeDocument/2006/relationships/hyperlink" Target="https://www.reddit.com/r/RMTK/comments/gtcjds/m0189_motie_tot_limiteren_topsalarissen/" TargetMode="External"/><Relationship Id="rId15" Type="http://schemas.openxmlformats.org/officeDocument/2006/relationships/hyperlink" Target="https://www.reddit.com/r/RMTK/comments/fwm0ns/m0163_motie_van_afkeuring_jegens_de_voorzitter/" TargetMode="External"/><Relationship Id="rId37" Type="http://schemas.openxmlformats.org/officeDocument/2006/relationships/hyperlink" Target="https://www.reddit.com/r/RMTK/comments/gvrxmv/m0192_motie_tot_aanpassing_van_het_vuurwerkbesluit/" TargetMode="External"/><Relationship Id="rId14" Type="http://schemas.openxmlformats.org/officeDocument/2006/relationships/hyperlink" Target="https://www.reddit.com/r/RMTK/comments/g3pugv/m0162_motie_tot_actief_uitzetbeleid_illegalen/" TargetMode="External"/><Relationship Id="rId36" Type="http://schemas.openxmlformats.org/officeDocument/2006/relationships/hyperlink" Target="https://www.reddit.com/r/RMTK/comments/gv5b4h/m0191_motie_tot_erkenning_bengaalse_genocide/" TargetMode="External"/><Relationship Id="rId17" Type="http://schemas.openxmlformats.org/officeDocument/2006/relationships/hyperlink" Target="https://www.reddit.com/r/RMTK/comments/g5wgvo/m0165_motie_tot_het_goedkoper_maken_van/" TargetMode="External"/><Relationship Id="rId39" Type="http://schemas.openxmlformats.org/officeDocument/2006/relationships/hyperlink" Target="https://www.reddit.com/r/RMTK/comments/gpdn75/m0194_motie_tot_uitgebreide_bestrijding/" TargetMode="External"/><Relationship Id="rId16" Type="http://schemas.openxmlformats.org/officeDocument/2006/relationships/hyperlink" Target="https://www.reddit.com/r/RMTK/comments/g5eso7/m0164_motie_tot_meer_aandacht_voor_de_nederlandse/" TargetMode="External"/><Relationship Id="rId38" Type="http://schemas.openxmlformats.org/officeDocument/2006/relationships/hyperlink" Target="https://www.reddit.com/r/RMTK/comments/gwfbv8/m0193_motie_tot_verplichten_van_datacenters_te/" TargetMode="External"/><Relationship Id="rId19" Type="http://schemas.openxmlformats.org/officeDocument/2006/relationships/hyperlink" Target="https://www.reddit.com/r/RMTK/comments/g7t5gv/m0167_motie_tot_verbieden_participatieverklaring/" TargetMode="External"/><Relationship Id="rId18" Type="http://schemas.openxmlformats.org/officeDocument/2006/relationships/hyperlink" Target="https://www.reddit.com/r/RMTK/comments/g6m9by/m0166_motie_tot_verhoging_defensie_budget/"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34343"/>
    <outlinePr summaryBelow="0" summaryRight="0"/>
  </sheetPr>
  <sheetViews>
    <sheetView workbookViewId="0"/>
  </sheetViews>
  <sheetFormatPr customHeight="1" defaultColWidth="14.43" defaultRowHeight="15.75"/>
  <cols>
    <col customWidth="1" min="1" max="1" width="3.71"/>
    <col customWidth="1" min="2" max="2" width="22.86"/>
    <col customWidth="1" min="3" max="3" width="0.86"/>
    <col customWidth="1" min="4" max="4" width="13.29"/>
    <col customWidth="1" min="5" max="5" width="2.29"/>
    <col customWidth="1" min="6" max="6" width="11.57"/>
    <col customWidth="1" min="7" max="7" width="54.86"/>
    <col customWidth="1" min="8" max="8" width="11.71"/>
    <col customWidth="1" min="9" max="9" width="8.57"/>
    <col customWidth="1" min="10" max="10" width="0.86"/>
    <col customWidth="1" min="11" max="11" width="13.71"/>
    <col customWidth="1" min="12" max="12" width="2.29"/>
    <col customWidth="1" min="13" max="13" width="23.14"/>
    <col customWidth="1" min="14" max="14" width="2.29"/>
    <col customWidth="1" min="15" max="15" width="17.43"/>
    <col customWidth="1" min="16" max="16" width="9.57"/>
    <col customWidth="1" min="17" max="17" width="0.86"/>
    <col customWidth="1" min="18" max="18" width="29.57"/>
    <col customWidth="1" min="19" max="19" width="0.86"/>
    <col customWidth="1" min="20" max="20" width="24.86"/>
    <col customWidth="1" min="21" max="21" width="3.71"/>
  </cols>
  <sheetData>
    <row r="1" ht="6.0" customHeight="1">
      <c r="A1" s="1"/>
      <c r="B1" s="1"/>
      <c r="C1" s="1"/>
      <c r="D1" s="1"/>
      <c r="E1" s="1"/>
      <c r="F1" s="1"/>
      <c r="G1" s="1"/>
      <c r="H1" s="1"/>
      <c r="I1" s="1"/>
      <c r="J1" s="1"/>
      <c r="K1" s="1"/>
      <c r="L1" s="1"/>
      <c r="M1" s="1"/>
      <c r="N1" s="1"/>
      <c r="O1" s="1"/>
      <c r="P1" s="1"/>
      <c r="Q1" s="1"/>
      <c r="R1" s="1"/>
      <c r="S1" s="1"/>
      <c r="T1" s="1"/>
      <c r="U1" s="1"/>
    </row>
    <row r="2" ht="42.75" customHeight="1">
      <c r="A2" s="1"/>
      <c r="B2" s="2" t="s">
        <v>0</v>
      </c>
      <c r="C2" s="3"/>
      <c r="D2" s="3"/>
      <c r="E2" s="3"/>
      <c r="F2" s="3"/>
      <c r="G2" s="3"/>
      <c r="H2" s="3"/>
      <c r="I2" s="3"/>
      <c r="J2" s="3"/>
      <c r="K2" s="3"/>
      <c r="L2" s="3"/>
      <c r="M2" s="3"/>
      <c r="N2" s="3"/>
      <c r="O2" s="3"/>
      <c r="P2" s="3"/>
      <c r="Q2" s="3"/>
      <c r="R2" s="3"/>
      <c r="S2" s="3"/>
      <c r="T2" s="4"/>
      <c r="U2" s="5"/>
    </row>
    <row r="3" ht="65.25" customHeight="1">
      <c r="A3" s="1"/>
      <c r="B3" s="6" t="s">
        <v>1</v>
      </c>
      <c r="C3" s="7"/>
      <c r="D3" s="7"/>
      <c r="E3" s="7"/>
      <c r="F3" s="7"/>
      <c r="G3" s="7"/>
      <c r="H3" s="7"/>
      <c r="I3" s="7"/>
      <c r="J3" s="7"/>
      <c r="K3" s="7"/>
      <c r="L3" s="7"/>
      <c r="M3" s="7"/>
      <c r="N3" s="7"/>
      <c r="O3" s="7"/>
      <c r="P3" s="7"/>
      <c r="Q3" s="7"/>
      <c r="R3" s="7"/>
      <c r="S3" s="7"/>
      <c r="T3" s="8"/>
      <c r="U3" s="5"/>
    </row>
    <row r="4" ht="11.25" customHeight="1">
      <c r="A4" s="1"/>
      <c r="B4" s="9"/>
      <c r="C4" s="1"/>
      <c r="D4" s="9"/>
      <c r="E4" s="9"/>
      <c r="F4" s="9"/>
      <c r="G4" s="9"/>
      <c r="H4" s="9"/>
      <c r="I4" s="9"/>
      <c r="J4" s="10"/>
      <c r="K4" s="9"/>
      <c r="L4" s="11"/>
      <c r="M4" s="9"/>
      <c r="N4" s="1"/>
      <c r="O4" s="9"/>
      <c r="P4" s="9"/>
      <c r="Q4" s="10"/>
      <c r="R4" s="9"/>
      <c r="S4" s="10"/>
      <c r="T4" s="9"/>
      <c r="U4" s="1"/>
    </row>
    <row r="5" ht="28.5" customHeight="1">
      <c r="A5" s="12"/>
      <c r="B5" s="13" t="s">
        <v>2</v>
      </c>
      <c r="C5" s="14"/>
      <c r="D5" s="13" t="s">
        <v>3</v>
      </c>
      <c r="E5" s="11"/>
      <c r="F5" s="15" t="s">
        <v>4</v>
      </c>
      <c r="G5" s="16"/>
      <c r="H5" s="16"/>
      <c r="I5" s="17"/>
      <c r="J5" s="14"/>
      <c r="K5" s="18" t="s">
        <v>5</v>
      </c>
      <c r="L5" s="11"/>
      <c r="M5" s="13" t="s">
        <v>6</v>
      </c>
      <c r="N5" s="14"/>
      <c r="O5" s="19" t="s">
        <v>7</v>
      </c>
      <c r="P5" s="20"/>
      <c r="Q5" s="14"/>
      <c r="R5" s="13" t="s">
        <v>8</v>
      </c>
      <c r="S5" s="14"/>
      <c r="T5" s="18" t="s">
        <v>9</v>
      </c>
      <c r="U5" s="5"/>
    </row>
    <row r="6" ht="22.5" customHeight="1">
      <c r="A6" s="12"/>
      <c r="B6" s="21"/>
      <c r="C6" s="5"/>
      <c r="D6" s="21"/>
      <c r="E6" s="22"/>
      <c r="F6" s="23" t="s">
        <v>10</v>
      </c>
      <c r="G6" s="24" t="s">
        <v>11</v>
      </c>
      <c r="H6" s="24" t="s">
        <v>12</v>
      </c>
      <c r="I6" s="25" t="s">
        <v>13</v>
      </c>
      <c r="J6" s="14"/>
      <c r="K6" s="21"/>
      <c r="L6" s="11"/>
      <c r="M6" s="21"/>
      <c r="N6" s="14"/>
      <c r="O6" s="26"/>
      <c r="P6" s="27"/>
      <c r="Q6" s="14"/>
      <c r="R6" s="21"/>
      <c r="S6" s="14"/>
      <c r="T6" s="21"/>
      <c r="U6" s="5"/>
    </row>
    <row r="7" ht="6.0" customHeight="1">
      <c r="A7" s="1"/>
      <c r="B7" s="9"/>
      <c r="C7" s="1"/>
      <c r="D7" s="11"/>
      <c r="E7" s="11"/>
      <c r="F7" s="11"/>
      <c r="G7" s="11"/>
      <c r="H7" s="11"/>
      <c r="I7" s="11"/>
      <c r="J7" s="1"/>
      <c r="K7" s="11"/>
      <c r="L7" s="11"/>
      <c r="M7" s="11"/>
      <c r="N7" s="1"/>
      <c r="O7" s="9"/>
      <c r="P7" s="9"/>
      <c r="Q7" s="11"/>
      <c r="R7" s="9"/>
      <c r="S7" s="1"/>
      <c r="T7" s="9"/>
      <c r="U7" s="1"/>
    </row>
    <row r="8" ht="22.5" customHeight="1">
      <c r="A8" s="1"/>
      <c r="B8" s="28" t="str">
        <f>HYPERLINK("https://drive.google.com/file/d/12_G4lGKVoJi4J-biVe53e2NbFkUIwXwP/view","Programma GPA")</f>
        <v>Programma GPA</v>
      </c>
      <c r="C8" s="1"/>
      <c r="D8" s="29" t="str">
        <f>HYPERLINK("https://www.reddit.com/r/RMTK/wiki/grondwet#wiki_artikel_4_-_clausule_geen_partijstatuut","Statuut")</f>
        <v>Statuut</v>
      </c>
      <c r="E8" s="11"/>
      <c r="F8" s="30"/>
      <c r="G8" s="31" t="s">
        <v>14</v>
      </c>
      <c r="H8" s="32" t="s">
        <v>15</v>
      </c>
      <c r="I8" s="33">
        <v>7.0</v>
      </c>
      <c r="J8" s="14"/>
      <c r="K8" s="34" t="s">
        <v>16</v>
      </c>
      <c r="L8" s="22"/>
      <c r="M8" s="35" t="s">
        <v>17</v>
      </c>
      <c r="N8" s="5"/>
      <c r="O8" s="36" t="s">
        <v>18</v>
      </c>
      <c r="P8" s="20"/>
      <c r="Q8" s="14"/>
      <c r="R8" s="37" t="s">
        <v>19</v>
      </c>
      <c r="S8" s="14"/>
      <c r="T8" s="38" t="s">
        <v>20</v>
      </c>
      <c r="U8" s="5"/>
    </row>
    <row r="9" ht="6.0" customHeight="1">
      <c r="A9" s="1"/>
      <c r="B9" s="39"/>
      <c r="C9" s="1"/>
      <c r="D9" s="11"/>
      <c r="E9" s="11"/>
      <c r="F9" s="9"/>
      <c r="G9" s="40"/>
      <c r="H9" s="41"/>
      <c r="I9" s="41"/>
      <c r="J9" s="12"/>
      <c r="K9" s="42"/>
      <c r="L9" s="22"/>
      <c r="M9" s="42"/>
      <c r="N9" s="5"/>
      <c r="O9" s="43"/>
      <c r="P9" s="44"/>
      <c r="Q9" s="14"/>
      <c r="R9" s="45" t="s">
        <v>21</v>
      </c>
      <c r="S9" s="14"/>
      <c r="T9" s="46" t="s">
        <v>22</v>
      </c>
      <c r="U9" s="5"/>
    </row>
    <row r="10" ht="22.5" customHeight="1">
      <c r="A10" s="1"/>
      <c r="B10" s="28" t="str">
        <f>HYPERLINK("https://drive.google.com/file/d/1V7tQkrtaFy3OsTJx7TSij6I0I7_igFgV/view","Programma ACAB")</f>
        <v>Programma ACAB</v>
      </c>
      <c r="C10" s="1"/>
      <c r="D10" s="29" t="str">
        <f>HYPERLINK("https://www.reddit.com/r/RMTK/wiki/grondwet#wiki_artikel_4_-_clausule_geen_partijstatuut","Statuut")</f>
        <v>Statuut</v>
      </c>
      <c r="E10" s="11"/>
      <c r="F10" s="47"/>
      <c r="G10" s="48" t="s">
        <v>23</v>
      </c>
      <c r="H10" s="49" t="s">
        <v>24</v>
      </c>
      <c r="I10" s="50">
        <v>6.0</v>
      </c>
      <c r="J10" s="14"/>
      <c r="K10" s="51" t="s">
        <v>25</v>
      </c>
      <c r="L10" s="11"/>
      <c r="M10" s="52" t="s">
        <v>26</v>
      </c>
      <c r="N10" s="5"/>
      <c r="O10" s="53" t="s">
        <v>27</v>
      </c>
      <c r="P10" s="27"/>
      <c r="Q10" s="14"/>
      <c r="R10" s="54"/>
      <c r="S10" s="14"/>
      <c r="T10" s="54"/>
      <c r="U10" s="5"/>
    </row>
    <row r="11" ht="6.0" customHeight="1">
      <c r="A11" s="1"/>
      <c r="B11" s="55"/>
      <c r="C11" s="1"/>
      <c r="D11" s="11"/>
      <c r="E11" s="11"/>
      <c r="F11" s="9"/>
      <c r="G11" s="40"/>
      <c r="H11" s="41"/>
      <c r="I11" s="41"/>
      <c r="J11" s="12"/>
      <c r="K11" s="42"/>
      <c r="L11" s="22"/>
      <c r="M11" s="56" t="s">
        <v>28</v>
      </c>
      <c r="N11" s="5"/>
      <c r="O11" s="10"/>
      <c r="P11" s="10"/>
      <c r="Q11" s="14"/>
      <c r="R11" s="45" t="s">
        <v>29</v>
      </c>
      <c r="S11" s="12"/>
      <c r="T11" s="45" t="str">
        <f>HYPERLINK("https://docs.google.com/spreadsheets/d/1oACHtCK9LUfY8qoKgW6FdyzXnfTn2guThBVex-Mdzns/edit?usp=sharing","RMTK Financiën")</f>
        <v>RMTK Financiën</v>
      </c>
      <c r="U11" s="5"/>
    </row>
    <row r="12" ht="22.5" customHeight="1">
      <c r="A12" s="1"/>
      <c r="B12" s="29" t="str">
        <f>HYPERLINK("https://drive.google.com/file/d/18eWCqumjIkzXbb87MmX-F1k-nFZuDEoa/view","Programma SP")</f>
        <v>Programma SP</v>
      </c>
      <c r="C12" s="1"/>
      <c r="D12" s="29" t="str">
        <f>HYPERLINK("https://drive.google.com/file/d/1a2tQgD6sOqpSf5-tBeRId39EHnEfsktp/view","Statuut")</f>
        <v>Statuut</v>
      </c>
      <c r="E12" s="11"/>
      <c r="F12" s="57"/>
      <c r="G12" s="58" t="s">
        <v>30</v>
      </c>
      <c r="H12" s="59" t="s">
        <v>31</v>
      </c>
      <c r="I12" s="60">
        <v>5.0</v>
      </c>
      <c r="J12" s="14"/>
      <c r="K12" s="61" t="s">
        <v>32</v>
      </c>
      <c r="L12" s="22"/>
      <c r="M12" s="21"/>
      <c r="N12" s="5"/>
      <c r="O12" s="36" t="s">
        <v>33</v>
      </c>
      <c r="P12" s="20"/>
      <c r="Q12" s="14"/>
      <c r="R12" s="21"/>
      <c r="S12" s="14"/>
      <c r="T12" s="21"/>
      <c r="U12" s="5"/>
    </row>
    <row r="13" ht="6.0" customHeight="1">
      <c r="A13" s="1"/>
      <c r="B13" s="55"/>
      <c r="C13" s="1"/>
      <c r="D13" s="11"/>
      <c r="E13" s="11"/>
      <c r="F13" s="9"/>
      <c r="G13" s="40"/>
      <c r="H13" s="41"/>
      <c r="I13" s="41"/>
      <c r="J13" s="1"/>
      <c r="K13" s="42"/>
      <c r="L13" s="22"/>
      <c r="M13" s="62" t="s">
        <v>34</v>
      </c>
      <c r="N13" s="5"/>
      <c r="O13" s="43"/>
      <c r="P13" s="44"/>
      <c r="Q13" s="5"/>
      <c r="R13" s="9"/>
      <c r="S13" s="12"/>
      <c r="T13" s="9"/>
      <c r="U13" s="5"/>
    </row>
    <row r="14" ht="22.5" customHeight="1">
      <c r="A14" s="1"/>
      <c r="B14" s="28" t="str">
        <f>HYPERLINK("https://drive.google.com/file/d/1UikCkvEpfoW9KpC63e9q38roO0PaVDsY/view","Programma 1NL")</f>
        <v>Programma 1NL</v>
      </c>
      <c r="C14" s="11"/>
      <c r="D14" s="29" t="str">
        <f>HYPERLINK("https://www.reddit.com/r/RMTK/wiki/grondwet#wiki_artikel_4_-_clausule_geen_partijstatuut","Statuut")</f>
        <v>Statuut</v>
      </c>
      <c r="E14" s="11"/>
      <c r="F14" s="63"/>
      <c r="G14" s="64" t="s">
        <v>35</v>
      </c>
      <c r="H14" s="65" t="s">
        <v>36</v>
      </c>
      <c r="I14" s="66">
        <v>5.0</v>
      </c>
      <c r="J14" s="67"/>
      <c r="K14" s="68" t="s">
        <v>37</v>
      </c>
      <c r="L14" s="22"/>
      <c r="M14" s="21"/>
      <c r="N14" s="5"/>
      <c r="O14" s="53" t="s">
        <v>38</v>
      </c>
      <c r="P14" s="27"/>
      <c r="Q14" s="14"/>
      <c r="R14" s="69" t="s">
        <v>39</v>
      </c>
      <c r="S14" s="14"/>
      <c r="T14" s="70" t="s">
        <v>40</v>
      </c>
      <c r="U14" s="5"/>
    </row>
    <row r="15" ht="6.0" customHeight="1">
      <c r="A15" s="1"/>
      <c r="B15" s="1"/>
      <c r="C15" s="1"/>
      <c r="D15" s="11"/>
      <c r="E15" s="11"/>
      <c r="F15" s="1"/>
      <c r="G15" s="1"/>
      <c r="H15" s="1"/>
      <c r="I15" s="1"/>
      <c r="J15" s="1"/>
      <c r="K15" s="1"/>
      <c r="L15" s="22"/>
      <c r="M15" s="9"/>
      <c r="N15" s="5"/>
      <c r="O15" s="1"/>
      <c r="P15" s="1"/>
      <c r="Q15" s="12"/>
      <c r="R15" s="71" t="s">
        <v>41</v>
      </c>
      <c r="S15" s="14"/>
      <c r="T15" s="72" t="str">
        <f>HYPERLINK("https://www.reddit.com/r/RMTK/comments/dpe1fn/word_lid_van_rmtk/","Word lid van een partij!")</f>
        <v>Word lid van een partij!</v>
      </c>
      <c r="U15" s="5"/>
    </row>
    <row r="16" ht="22.5" customHeight="1">
      <c r="A16" s="1"/>
      <c r="B16" s="28" t="str">
        <f>HYPERLINK("x","Programma NRV")</f>
        <v>Programma NRV</v>
      </c>
      <c r="C16" s="1"/>
      <c r="D16" s="29" t="str">
        <f>HYPERLINK("https://www.reddit.com/r/RMTK/wiki/grondwet#wiki_artikel_4_-_clausule_geen_partijstatuut","Statuut")</f>
        <v>Statuut</v>
      </c>
      <c r="E16" s="11"/>
      <c r="F16" s="73"/>
      <c r="G16" s="74" t="s">
        <v>42</v>
      </c>
      <c r="H16" s="75" t="s">
        <v>43</v>
      </c>
      <c r="I16" s="76">
        <v>1.0</v>
      </c>
      <c r="J16" s="11"/>
      <c r="K16" s="77" t="s">
        <v>44</v>
      </c>
      <c r="L16" s="22"/>
      <c r="M16" s="52" t="s">
        <v>45</v>
      </c>
      <c r="N16" s="5"/>
      <c r="O16" s="36" t="s">
        <v>46</v>
      </c>
      <c r="P16" s="20"/>
      <c r="Q16" s="12"/>
      <c r="R16" s="54"/>
      <c r="S16" s="14"/>
      <c r="T16" s="54"/>
      <c r="U16" s="5"/>
    </row>
    <row r="17" ht="6.0" customHeight="1">
      <c r="A17" s="1"/>
      <c r="B17" s="1"/>
      <c r="C17" s="1"/>
      <c r="D17" s="1"/>
      <c r="E17" s="11"/>
      <c r="F17" s="1"/>
      <c r="G17" s="11"/>
      <c r="H17" s="11"/>
      <c r="I17" s="11"/>
      <c r="J17" s="1"/>
      <c r="K17" s="11"/>
      <c r="L17" s="22"/>
      <c r="M17" s="78" t="str">
        <f>HYPERLINK("https://docs.google.com/document/d/1Nco4jlTJupbZhpSFRhZ6V2OsVg5mDs8M0mbqg24DeJ0/edit","Samen voor de toekomst")</f>
        <v>Samen voor de toekomst</v>
      </c>
      <c r="N17" s="5"/>
      <c r="O17" s="43"/>
      <c r="P17" s="44"/>
      <c r="Q17" s="12"/>
      <c r="R17" s="71" t="s">
        <v>47</v>
      </c>
      <c r="S17" s="14"/>
      <c r="T17" s="72" t="str">
        <f>HYPERLINK("https://www.reddit.com/r/RMTK/wiki/gids","Nieuwe ledengids")</f>
        <v>Nieuwe ledengids</v>
      </c>
      <c r="U17" s="5"/>
    </row>
    <row r="18" ht="22.5" customHeight="1">
      <c r="A18" s="1"/>
      <c r="B18" s="28" t="str">
        <f>HYPERLINK("https://docs.google.com/document/d/19WWVRzEimvYsZm2UIobKCmmcLnzoIqJKQmd-i_KERaA/edit","Programma LTD")</f>
        <v>Programma LTD</v>
      </c>
      <c r="C18" s="1"/>
      <c r="D18" s="29" t="str">
        <f>HYPERLINK("https://www.reddit.com/r/RMTK/wiki/grondwet#wiki_artikel_4_-_clausule_geen_partijstatuut","Statuut")</f>
        <v>Statuut</v>
      </c>
      <c r="E18" s="11"/>
      <c r="F18" s="79"/>
      <c r="G18" s="80" t="s">
        <v>48</v>
      </c>
      <c r="H18" s="81" t="s">
        <v>49</v>
      </c>
      <c r="I18" s="82">
        <v>1.0</v>
      </c>
      <c r="J18" s="14"/>
      <c r="K18" s="83" t="s">
        <v>50</v>
      </c>
      <c r="L18" s="22"/>
      <c r="M18" s="21"/>
      <c r="N18" s="14"/>
      <c r="O18" s="84" t="s">
        <v>51</v>
      </c>
      <c r="P18" s="44"/>
      <c r="Q18" s="14"/>
      <c r="R18" s="54"/>
      <c r="S18" s="14"/>
      <c r="T18" s="54"/>
      <c r="U18" s="5"/>
    </row>
    <row r="19" ht="6.0" customHeight="1">
      <c r="A19" s="1"/>
      <c r="B19" s="1"/>
      <c r="C19" s="1"/>
      <c r="D19" s="1"/>
      <c r="E19" s="11"/>
      <c r="F19" s="1"/>
      <c r="G19" s="11"/>
      <c r="H19" s="11"/>
      <c r="I19" s="11"/>
      <c r="J19" s="1"/>
      <c r="K19" s="11"/>
      <c r="L19" s="11"/>
      <c r="M19" s="9"/>
      <c r="N19" s="14"/>
      <c r="O19" s="84" t="s">
        <v>52</v>
      </c>
      <c r="P19" s="44"/>
      <c r="Q19" s="14"/>
      <c r="R19" s="71" t="s">
        <v>53</v>
      </c>
      <c r="S19" s="14"/>
      <c r="T19" s="72" t="str">
        <f>HYPERLINK("https://www.reddit.com/r/RMTK/wiki/grondwet","RMTK Grondwet")</f>
        <v>RMTK Grondwet</v>
      </c>
      <c r="U19" s="5"/>
    </row>
    <row r="20" ht="21.0" customHeight="1">
      <c r="A20" s="1"/>
      <c r="B20" s="11"/>
      <c r="C20" s="11"/>
      <c r="D20" s="11"/>
      <c r="E20" s="11"/>
      <c r="F20" s="85"/>
      <c r="G20" s="86" t="s">
        <v>54</v>
      </c>
      <c r="H20" s="87" t="s">
        <v>55</v>
      </c>
      <c r="I20" s="88" t="s">
        <v>56</v>
      </c>
      <c r="J20" s="14"/>
      <c r="K20" s="89" t="s">
        <v>57</v>
      </c>
      <c r="L20" s="11"/>
      <c r="M20" s="11"/>
      <c r="N20" s="14"/>
      <c r="O20" s="26"/>
      <c r="P20" s="27"/>
      <c r="Q20" s="14"/>
      <c r="R20" s="54"/>
      <c r="S20" s="14"/>
      <c r="T20" s="54"/>
      <c r="U20" s="5"/>
    </row>
    <row r="21" ht="6.0" customHeight="1">
      <c r="A21" s="1"/>
      <c r="B21" s="1"/>
      <c r="C21" s="1"/>
      <c r="D21" s="1"/>
      <c r="E21" s="11"/>
      <c r="F21" s="1"/>
      <c r="G21" s="11"/>
      <c r="H21" s="11"/>
      <c r="I21" s="11"/>
      <c r="J21" s="1"/>
      <c r="K21" s="11"/>
      <c r="L21" s="11"/>
      <c r="M21" s="11"/>
      <c r="N21" s="12"/>
      <c r="O21" s="9"/>
      <c r="P21" s="9"/>
      <c r="Q21" s="14"/>
      <c r="R21" s="71" t="s">
        <v>58</v>
      </c>
      <c r="S21" s="5"/>
      <c r="T21" s="72" t="str">
        <f>HYPERLINK("https://www.reddit.com/r/RMTK/wiki/richtlijnen","RMTK Richtlijnen")</f>
        <v>RMTK Richtlijnen</v>
      </c>
      <c r="U21" s="1"/>
    </row>
    <row r="22" ht="21.0" customHeight="1">
      <c r="A22" s="1"/>
      <c r="B22" s="11"/>
      <c r="C22" s="11"/>
      <c r="D22" s="11"/>
      <c r="E22" s="11"/>
      <c r="F22" s="11"/>
      <c r="G22" s="11"/>
      <c r="H22" s="11"/>
      <c r="I22" s="11"/>
      <c r="J22" s="11"/>
      <c r="K22" s="11"/>
      <c r="L22" s="11"/>
      <c r="M22" s="11"/>
      <c r="N22" s="12"/>
      <c r="O22" s="36" t="s">
        <v>59</v>
      </c>
      <c r="P22" s="20"/>
      <c r="Q22" s="90"/>
      <c r="R22" s="21"/>
      <c r="S22" s="5"/>
      <c r="T22" s="21"/>
      <c r="U22" s="5"/>
    </row>
    <row r="23" ht="6.0" customHeight="1">
      <c r="A23" s="1"/>
      <c r="B23" s="11"/>
      <c r="C23" s="11"/>
      <c r="D23" s="11"/>
      <c r="E23" s="11"/>
      <c r="F23" s="11"/>
      <c r="G23" s="11"/>
      <c r="H23" s="11"/>
      <c r="I23" s="11"/>
      <c r="J23" s="11"/>
      <c r="K23" s="11"/>
      <c r="L23" s="11"/>
      <c r="M23" s="1"/>
      <c r="N23" s="12"/>
      <c r="O23" s="43"/>
      <c r="P23" s="44"/>
      <c r="Q23" s="5"/>
      <c r="R23" s="9"/>
      <c r="S23" s="5"/>
      <c r="T23" s="5"/>
      <c r="U23" s="5"/>
    </row>
    <row r="24" ht="21.0" customHeight="1">
      <c r="A24" s="1"/>
      <c r="B24" s="91" t="s">
        <v>60</v>
      </c>
      <c r="C24" s="16"/>
      <c r="D24" s="16"/>
      <c r="E24" s="16"/>
      <c r="F24" s="16"/>
      <c r="G24" s="16"/>
      <c r="H24" s="16"/>
      <c r="I24" s="16"/>
      <c r="J24" s="16"/>
      <c r="K24" s="16"/>
      <c r="L24" s="16"/>
      <c r="M24" s="17"/>
      <c r="N24" s="12"/>
      <c r="O24" s="84" t="s">
        <v>27</v>
      </c>
      <c r="P24" s="44"/>
      <c r="Q24" s="14"/>
      <c r="R24" s="92" t="s">
        <v>61</v>
      </c>
      <c r="S24" s="14"/>
      <c r="T24" s="70" t="s">
        <v>62</v>
      </c>
      <c r="U24" s="5"/>
    </row>
    <row r="25" ht="6.0" customHeight="1">
      <c r="A25" s="1"/>
      <c r="B25" s="9"/>
      <c r="C25" s="9"/>
      <c r="D25" s="9"/>
      <c r="E25" s="9"/>
      <c r="F25" s="9"/>
      <c r="G25" s="9"/>
      <c r="H25" s="9"/>
      <c r="I25" s="9"/>
      <c r="J25" s="9"/>
      <c r="K25" s="9"/>
      <c r="L25" s="9"/>
      <c r="M25" s="9"/>
      <c r="N25" s="12"/>
      <c r="O25" s="84" t="s">
        <v>63</v>
      </c>
      <c r="P25" s="44"/>
      <c r="Q25" s="14"/>
      <c r="R25" s="46" t="s">
        <v>64</v>
      </c>
      <c r="S25" s="14"/>
      <c r="T25" s="93" t="str">
        <f>HYPERLINK("https://www.reddit.com/r/RMTK/","r/RMTK")</f>
        <v>r/RMTK</v>
      </c>
      <c r="U25" s="5"/>
    </row>
    <row r="26" ht="21.0" customHeight="1">
      <c r="A26" s="94"/>
      <c r="B26" s="95" t="str">
        <f>HYPERLINK("https://docs.google.com/spreadsheets/d/1QqfHXFp2eF_sX1Vf8ggoeIvxp-W66m3i-4bI3OeFHg8/edit#gid=19430298","Geschiedenis")</f>
        <v>Geschiedenis</v>
      </c>
      <c r="C26" s="16"/>
      <c r="D26" s="16"/>
      <c r="E26" s="16"/>
      <c r="F26" s="16"/>
      <c r="G26" s="16"/>
      <c r="H26" s="16"/>
      <c r="I26" s="16"/>
      <c r="J26" s="16"/>
      <c r="K26" s="16"/>
      <c r="L26" s="16"/>
      <c r="M26" s="17"/>
      <c r="N26" s="14"/>
      <c r="O26" s="43"/>
      <c r="P26" s="44"/>
      <c r="Q26" s="14"/>
      <c r="R26" s="54"/>
      <c r="S26" s="14"/>
      <c r="T26" s="54"/>
      <c r="U26" s="5"/>
    </row>
    <row r="27" ht="6.0" customHeight="1">
      <c r="A27" s="1"/>
      <c r="B27" s="96"/>
      <c r="C27" s="96"/>
      <c r="D27" s="96"/>
      <c r="E27" s="96"/>
      <c r="F27" s="96"/>
      <c r="G27" s="96"/>
      <c r="H27" s="96"/>
      <c r="I27" s="96"/>
      <c r="J27" s="96"/>
      <c r="K27" s="96"/>
      <c r="L27" s="96"/>
      <c r="M27" s="96"/>
      <c r="N27" s="12"/>
      <c r="O27" s="84" t="s">
        <v>65</v>
      </c>
      <c r="P27" s="44"/>
      <c r="Q27" s="14"/>
      <c r="R27" s="46" t="s">
        <v>66</v>
      </c>
      <c r="S27" s="14"/>
      <c r="T27" s="97" t="str">
        <f>HYPERLINK("https://www.reddit.com/r/RMTKMedia/","r/RMTKMedia")</f>
        <v>r/RMTKMedia</v>
      </c>
      <c r="U27" s="5"/>
    </row>
    <row r="28" ht="21.0" customHeight="1">
      <c r="A28" s="12"/>
      <c r="B28" s="95" t="str">
        <f>HYPERLINK("https://docs.google.com/spreadsheets/d/1eD5XmIXxBoOfQW2WEzHST1i5Lj7OThDQwM-IMhG8HnU/edit#gid=1998938486","Politiek")</f>
        <v>Politiek</v>
      </c>
      <c r="C28" s="16"/>
      <c r="D28" s="16"/>
      <c r="E28" s="16"/>
      <c r="F28" s="16"/>
      <c r="G28" s="16"/>
      <c r="H28" s="16"/>
      <c r="I28" s="16"/>
      <c r="J28" s="16"/>
      <c r="K28" s="16"/>
      <c r="L28" s="16"/>
      <c r="M28" s="17"/>
      <c r="N28" s="14"/>
      <c r="O28" s="26"/>
      <c r="P28" s="27"/>
      <c r="Q28" s="14"/>
      <c r="R28" s="54"/>
      <c r="S28" s="14"/>
      <c r="T28" s="54"/>
      <c r="U28" s="5"/>
    </row>
    <row r="29" ht="6.0" customHeight="1">
      <c r="A29" s="1"/>
      <c r="B29" s="96"/>
      <c r="C29" s="96"/>
      <c r="D29" s="96"/>
      <c r="E29" s="96"/>
      <c r="F29" s="96"/>
      <c r="G29" s="96"/>
      <c r="H29" s="96"/>
      <c r="I29" s="96"/>
      <c r="J29" s="96"/>
      <c r="K29" s="96"/>
      <c r="L29" s="96"/>
      <c r="M29" s="96"/>
      <c r="N29" s="12"/>
      <c r="O29" s="1"/>
      <c r="P29" s="1"/>
      <c r="Q29" s="14"/>
      <c r="R29" s="46" t="s">
        <v>67</v>
      </c>
      <c r="S29" s="14"/>
      <c r="T29" s="98" t="str">
        <f>HYPERLINK("https://www.reddit.com/r/RMTKMeta/","r/RMTKMeta")</f>
        <v>r/RMTKMeta</v>
      </c>
      <c r="U29" s="5"/>
    </row>
    <row r="30" ht="21.0" customHeight="1">
      <c r="A30" s="12"/>
      <c r="B30" s="1"/>
      <c r="C30" s="1"/>
      <c r="D30" s="1"/>
      <c r="E30" s="1"/>
      <c r="F30" s="1"/>
      <c r="G30" s="1"/>
      <c r="H30" s="1"/>
      <c r="I30" s="1"/>
      <c r="J30" s="1"/>
      <c r="K30" s="1"/>
      <c r="L30" s="1"/>
      <c r="M30" s="1"/>
      <c r="N30" s="14"/>
      <c r="O30" s="99" t="s">
        <v>68</v>
      </c>
      <c r="P30" s="100"/>
      <c r="Q30" s="14"/>
      <c r="R30" s="21"/>
      <c r="S30" s="14"/>
      <c r="T30" s="21"/>
      <c r="U30" s="5"/>
    </row>
    <row r="31" ht="6.0" customHeight="1">
      <c r="A31" s="1"/>
      <c r="B31" s="10"/>
      <c r="C31" s="10"/>
      <c r="D31" s="10"/>
      <c r="E31" s="10"/>
      <c r="F31" s="10"/>
      <c r="G31" s="10"/>
      <c r="H31" s="10"/>
      <c r="I31" s="10"/>
      <c r="J31" s="10"/>
      <c r="K31" s="10"/>
      <c r="L31" s="10"/>
      <c r="M31" s="10"/>
      <c r="N31" s="12"/>
      <c r="O31" s="101" t="str">
        <f>HYPERLINK("https://docs.google.com/spreadsheets/d/1ld92uaKfVgENCafId8HjWIWJ6HXc_Dl1lgz960pu-iI/edit#gid=1028998465&amp;range=A1:E2","Agenda")</f>
        <v>Agenda</v>
      </c>
      <c r="P31" s="44"/>
      <c r="Q31" s="5"/>
      <c r="R31" s="1"/>
      <c r="S31" s="5"/>
      <c r="T31" s="102" t="str">
        <f>HYPERLINK("https://discordapp.com/invite/59a6CBC","Discord")</f>
        <v>Discord</v>
      </c>
      <c r="U31" s="5"/>
    </row>
    <row r="32" ht="21.0" customHeight="1">
      <c r="A32" s="1"/>
      <c r="B32" s="1"/>
      <c r="C32" s="1"/>
      <c r="D32" s="1"/>
      <c r="E32" s="1"/>
      <c r="F32" s="1"/>
      <c r="G32" s="1"/>
      <c r="H32" s="1"/>
      <c r="I32" s="1"/>
      <c r="J32" s="1"/>
      <c r="K32" s="1"/>
      <c r="L32" s="1"/>
      <c r="M32" s="1"/>
      <c r="N32" s="14"/>
      <c r="O32" s="26"/>
      <c r="P32" s="27"/>
      <c r="Q32" s="5"/>
      <c r="R32" s="1"/>
      <c r="S32" s="5"/>
      <c r="T32" s="21"/>
      <c r="U32" s="5"/>
    </row>
    <row r="33" ht="6.0" customHeight="1">
      <c r="A33" s="1"/>
      <c r="B33" s="1"/>
      <c r="C33" s="1"/>
      <c r="D33" s="1"/>
      <c r="E33" s="1"/>
      <c r="F33" s="1"/>
      <c r="G33" s="1"/>
      <c r="H33" s="1"/>
      <c r="I33" s="1"/>
      <c r="J33" s="1"/>
      <c r="K33" s="1"/>
      <c r="L33" s="1"/>
      <c r="M33" s="1"/>
      <c r="N33" s="12"/>
      <c r="O33" s="1"/>
      <c r="P33" s="1"/>
      <c r="Q33" s="5"/>
      <c r="R33" s="1"/>
      <c r="S33" s="1"/>
      <c r="T33" s="1"/>
      <c r="U33" s="5"/>
    </row>
    <row r="34" ht="21.0" customHeight="1">
      <c r="A34" s="1"/>
      <c r="B34" s="1"/>
      <c r="C34" s="1"/>
      <c r="D34" s="1"/>
      <c r="E34" s="1"/>
      <c r="F34" s="1"/>
      <c r="G34" s="1"/>
      <c r="H34" s="1"/>
      <c r="I34" s="1"/>
      <c r="J34" s="1"/>
      <c r="K34" s="1"/>
      <c r="L34" s="1"/>
      <c r="M34" s="1"/>
      <c r="N34" s="14"/>
      <c r="O34" s="1"/>
      <c r="P34" s="1"/>
      <c r="Q34" s="5"/>
      <c r="R34" s="1"/>
      <c r="S34" s="1"/>
      <c r="T34" s="1"/>
      <c r="U34" s="5"/>
    </row>
    <row r="35" ht="6.0" customHeight="1">
      <c r="A35" s="1"/>
      <c r="B35" s="1"/>
      <c r="C35" s="1"/>
      <c r="D35" s="1"/>
      <c r="E35" s="1"/>
      <c r="F35" s="1"/>
      <c r="G35" s="1"/>
      <c r="H35" s="1"/>
      <c r="I35" s="1"/>
      <c r="J35" s="1"/>
      <c r="K35" s="1"/>
      <c r="L35" s="1"/>
      <c r="M35" s="1"/>
      <c r="N35" s="1"/>
      <c r="O35" s="1"/>
      <c r="P35" s="1"/>
      <c r="Q35" s="1"/>
      <c r="R35" s="1"/>
      <c r="S35" s="1"/>
      <c r="T35" s="10"/>
      <c r="U35" s="1"/>
    </row>
    <row r="36" ht="21.0" customHeight="1">
      <c r="A36" s="1"/>
      <c r="B36" s="1"/>
      <c r="C36" s="1"/>
      <c r="D36" s="1"/>
      <c r="E36" s="1"/>
      <c r="F36" s="1"/>
      <c r="G36" s="1"/>
      <c r="H36" s="1"/>
      <c r="I36" s="1"/>
      <c r="J36" s="1"/>
      <c r="K36" s="1"/>
      <c r="L36" s="1"/>
      <c r="M36" s="1"/>
      <c r="N36" s="1"/>
      <c r="O36" s="1"/>
      <c r="P36" s="1"/>
      <c r="Q36" s="1"/>
      <c r="R36" s="1"/>
      <c r="S36" s="1"/>
      <c r="T36" s="1"/>
      <c r="U36" s="1"/>
    </row>
    <row r="37" ht="6.0" customHeight="1">
      <c r="A37" s="1"/>
      <c r="B37" s="1"/>
      <c r="C37" s="1"/>
      <c r="D37" s="1"/>
      <c r="E37" s="1"/>
      <c r="F37" s="1"/>
      <c r="G37" s="1"/>
      <c r="H37" s="1"/>
      <c r="I37" s="1"/>
      <c r="J37" s="1"/>
      <c r="K37" s="1"/>
      <c r="L37" s="1"/>
      <c r="M37" s="1"/>
      <c r="N37" s="1"/>
      <c r="O37" s="1"/>
      <c r="P37" s="1"/>
      <c r="Q37" s="1"/>
      <c r="R37" s="1"/>
      <c r="S37" s="1"/>
      <c r="T37" s="1"/>
      <c r="U37" s="1"/>
    </row>
    <row r="38" ht="21.0" customHeight="1">
      <c r="A38" s="1"/>
      <c r="B38" s="1"/>
      <c r="C38" s="1"/>
      <c r="D38" s="1"/>
      <c r="E38" s="1"/>
      <c r="F38" s="1"/>
      <c r="G38" s="1"/>
      <c r="H38" s="1"/>
      <c r="I38" s="1"/>
      <c r="J38" s="1"/>
      <c r="K38" s="1"/>
      <c r="L38" s="1"/>
      <c r="M38" s="1"/>
      <c r="N38" s="1"/>
      <c r="O38" s="1"/>
      <c r="P38" s="1"/>
      <c r="Q38" s="1"/>
      <c r="R38" s="1"/>
      <c r="S38" s="1"/>
      <c r="T38" s="103" t="s">
        <v>69</v>
      </c>
      <c r="U38" s="1"/>
    </row>
  </sheetData>
  <mergeCells count="48">
    <mergeCell ref="B2:T2"/>
    <mergeCell ref="B3:T3"/>
    <mergeCell ref="B5:B6"/>
    <mergeCell ref="D5:D6"/>
    <mergeCell ref="F5:I5"/>
    <mergeCell ref="K5:K6"/>
    <mergeCell ref="M5:M6"/>
    <mergeCell ref="T5:T6"/>
    <mergeCell ref="M11:M12"/>
    <mergeCell ref="M13:M14"/>
    <mergeCell ref="M17:M18"/>
    <mergeCell ref="R11:R12"/>
    <mergeCell ref="R15:R16"/>
    <mergeCell ref="R17:R18"/>
    <mergeCell ref="R19:R20"/>
    <mergeCell ref="R21:R22"/>
    <mergeCell ref="R25:R26"/>
    <mergeCell ref="R27:R28"/>
    <mergeCell ref="R29:R30"/>
    <mergeCell ref="O5:P6"/>
    <mergeCell ref="R5:R6"/>
    <mergeCell ref="O8:P9"/>
    <mergeCell ref="R9:R10"/>
    <mergeCell ref="O10:P10"/>
    <mergeCell ref="O12:P13"/>
    <mergeCell ref="O14:P14"/>
    <mergeCell ref="O25:P26"/>
    <mergeCell ref="O27:P28"/>
    <mergeCell ref="O30:P30"/>
    <mergeCell ref="O31:P32"/>
    <mergeCell ref="O16:P17"/>
    <mergeCell ref="O18:P18"/>
    <mergeCell ref="O19:P20"/>
    <mergeCell ref="O22:P23"/>
    <mergeCell ref="B24:M24"/>
    <mergeCell ref="O24:P24"/>
    <mergeCell ref="B26:M26"/>
    <mergeCell ref="B28:M28"/>
    <mergeCell ref="T27:T28"/>
    <mergeCell ref="T29:T30"/>
    <mergeCell ref="T31:T32"/>
    <mergeCell ref="T9:T10"/>
    <mergeCell ref="T11:T12"/>
    <mergeCell ref="T15:T16"/>
    <mergeCell ref="T17:T18"/>
    <mergeCell ref="T19:T20"/>
    <mergeCell ref="T21:T22"/>
    <mergeCell ref="T25:T26"/>
  </mergeCells>
  <hyperlinks>
    <hyperlink display="Tweede Kamer" location="TK-HiddeVdV96 I!A1" ref="R9"/>
    <hyperlink display="Hall of Fame" location="Hall of Fame!A1" ref="T9"/>
    <hyperlink display="Eerste Kamer" location="EK-HiddeVdV96 I!A1" ref="R11"/>
    <hyperlink display="RMTK Geschiedenis" location="RMTK Geschiedenis!A1" ref="R15"/>
    <hyperlink display="Moties" location="Moties!A1" ref="R25"/>
    <hyperlink display="Wetten &amp; Amendementen" location="Wetten &amp; Amendementen!A1" ref="R27"/>
    <hyperlink display="Overige Kamerstukken" location="Overige Kamerstukken!A1" ref="R29"/>
  </hyperlink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5818E"/>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28.57"/>
    <col customWidth="1" min="2" max="2" width="10.29"/>
    <col customWidth="1" min="3" max="3" width="8.86"/>
    <col customWidth="1" min="4" max="4" width="24.29"/>
    <col customWidth="1" min="5" max="5" width="89.86"/>
    <col customWidth="1" min="6" max="6" width="0.43"/>
    <col customWidth="1" min="7" max="8" width="8.14"/>
    <col customWidth="1" min="9" max="9" width="0.86"/>
    <col customWidth="1" min="10" max="11" width="13.0"/>
    <col customWidth="1" min="12" max="12" width="0.86"/>
    <col customWidth="1" min="13" max="13" width="15.29"/>
    <col customWidth="1" min="14" max="14" width="0.86"/>
    <col customWidth="1" min="15" max="15" width="56.43"/>
  </cols>
  <sheetData>
    <row r="1" ht="30.75" customHeight="1">
      <c r="A1" s="667" t="s">
        <v>776</v>
      </c>
      <c r="B1" s="504"/>
      <c r="C1" s="504"/>
      <c r="D1" s="504"/>
      <c r="E1" s="27"/>
      <c r="F1" s="780"/>
      <c r="G1" s="669" t="s">
        <v>777</v>
      </c>
      <c r="H1" s="17"/>
      <c r="I1" s="780"/>
      <c r="J1" s="669" t="s">
        <v>540</v>
      </c>
      <c r="K1" s="16"/>
      <c r="L1" s="781"/>
      <c r="M1" s="782" t="s">
        <v>778</v>
      </c>
      <c r="N1" s="781"/>
      <c r="O1" s="673" t="s">
        <v>542</v>
      </c>
    </row>
    <row r="2">
      <c r="A2" s="674" t="s">
        <v>497</v>
      </c>
      <c r="B2" s="675" t="s">
        <v>543</v>
      </c>
      <c r="C2" s="675" t="s">
        <v>544</v>
      </c>
      <c r="D2" s="676" t="s">
        <v>545</v>
      </c>
      <c r="E2" s="783" t="s">
        <v>546</v>
      </c>
      <c r="F2" s="784"/>
      <c r="G2" s="785" t="s">
        <v>779</v>
      </c>
      <c r="H2" s="786" t="s">
        <v>780</v>
      </c>
      <c r="I2" s="784"/>
      <c r="J2" s="785" t="s">
        <v>547</v>
      </c>
      <c r="K2" s="787" t="s">
        <v>781</v>
      </c>
      <c r="L2" s="784"/>
      <c r="M2" s="785" t="s">
        <v>548</v>
      </c>
      <c r="N2" s="788"/>
      <c r="O2" s="27"/>
    </row>
    <row r="3" ht="17.25" customHeight="1">
      <c r="A3" s="683" t="s">
        <v>498</v>
      </c>
      <c r="B3" s="684" t="s">
        <v>782</v>
      </c>
      <c r="C3" s="685" t="s">
        <v>520</v>
      </c>
      <c r="D3" s="685" t="s">
        <v>116</v>
      </c>
      <c r="E3" s="789" t="str">
        <f>HYPERLINK("https://www.reddit.com/r/RMTK/comments/9uriq3/w0001_wet_sluiting_kolencentrales/","Wet sluiting kolencentrales")</f>
        <v>Wet sluiting kolencentrales</v>
      </c>
      <c r="F3" s="687"/>
      <c r="G3" s="688" t="s">
        <v>119</v>
      </c>
      <c r="H3" s="747" t="s">
        <v>119</v>
      </c>
      <c r="I3" s="687"/>
      <c r="J3" s="790" t="s">
        <v>554</v>
      </c>
      <c r="K3" s="791" t="s">
        <v>554</v>
      </c>
      <c r="L3" s="687"/>
      <c r="M3" s="684" t="s">
        <v>582</v>
      </c>
      <c r="N3" s="689"/>
      <c r="O3" s="690" t="s">
        <v>56</v>
      </c>
    </row>
    <row r="4" ht="17.25" customHeight="1">
      <c r="B4" s="684" t="s">
        <v>783</v>
      </c>
      <c r="C4" s="792" t="s">
        <v>784</v>
      </c>
      <c r="D4" s="792" t="s">
        <v>785</v>
      </c>
      <c r="E4" s="789" t="str">
        <f>HYPERLINK("https://www.reddit.com/r/RMTK/comments/9xpkk8/w0002_wet_btwverlaging_op_ecologischverantwoorde/","Wet btw-verlaging op ecologisch-verantwoorde goederen ")</f>
        <v>Wet btw-verlaging op ecologisch-verantwoorde goederen </v>
      </c>
      <c r="F4" s="687"/>
      <c r="G4" s="688" t="s">
        <v>119</v>
      </c>
      <c r="H4" s="747" t="s">
        <v>119</v>
      </c>
      <c r="I4" s="793"/>
      <c r="J4" s="794" t="s">
        <v>554</v>
      </c>
      <c r="K4" s="791" t="s">
        <v>554</v>
      </c>
      <c r="L4" s="687"/>
      <c r="M4" s="684" t="s">
        <v>582</v>
      </c>
      <c r="N4" s="689"/>
      <c r="O4" s="690" t="s">
        <v>56</v>
      </c>
    </row>
    <row r="5" ht="17.25" customHeight="1">
      <c r="B5" s="684" t="s">
        <v>786</v>
      </c>
      <c r="C5" s="792" t="s">
        <v>784</v>
      </c>
      <c r="D5" s="792" t="s">
        <v>785</v>
      </c>
      <c r="E5" s="789" t="str">
        <f>HYPERLINK("https://www.reddit.com/r/RMTK/comments/a64md6/w0003_wet_co2uitstoot_reductie/","Wet CO2-uitstoot reductie ")</f>
        <v>Wet CO2-uitstoot reductie </v>
      </c>
      <c r="F5" s="687"/>
      <c r="G5" s="795" t="str">
        <f>HYPERLINK("https://www.reddit.com/r/RMTK/comments/a1lug6/w0003i_amendement_op_de_wet_co2uitstoot_reductie/","A-1")</f>
        <v>A-1</v>
      </c>
      <c r="H5" s="791" t="s">
        <v>787</v>
      </c>
      <c r="I5" s="687"/>
      <c r="J5" s="794" t="s">
        <v>554</v>
      </c>
      <c r="K5" s="791" t="s">
        <v>554</v>
      </c>
      <c r="L5" s="687"/>
      <c r="M5" s="684" t="s">
        <v>582</v>
      </c>
      <c r="N5" s="689"/>
      <c r="O5" s="690" t="s">
        <v>56</v>
      </c>
    </row>
    <row r="6" ht="17.25" customHeight="1">
      <c r="B6" s="684" t="s">
        <v>788</v>
      </c>
      <c r="C6" s="685" t="s">
        <v>520</v>
      </c>
      <c r="D6" s="685" t="s">
        <v>120</v>
      </c>
      <c r="E6" s="796" t="str">
        <f>HYPERLINK("https://www.reddit.com/r/RMTK/comments/a7lfim/w0004_wetsvoorstel_decriminalisatie_softdrugs/","Wetsvoorstel decriminalisatie softdrugs")</f>
        <v>Wetsvoorstel decriminalisatie softdrugs</v>
      </c>
      <c r="F6" s="793"/>
      <c r="G6" s="688" t="s">
        <v>119</v>
      </c>
      <c r="H6" s="747" t="s">
        <v>119</v>
      </c>
      <c r="I6" s="689"/>
      <c r="J6" s="794" t="s">
        <v>554</v>
      </c>
      <c r="K6" s="717" t="s">
        <v>557</v>
      </c>
      <c r="L6" s="689"/>
      <c r="M6" s="684" t="s">
        <v>582</v>
      </c>
      <c r="N6" s="689"/>
      <c r="O6" s="690" t="s">
        <v>56</v>
      </c>
    </row>
    <row r="7" ht="17.25" customHeight="1">
      <c r="B7" s="684" t="s">
        <v>789</v>
      </c>
      <c r="C7" s="792" t="s">
        <v>784</v>
      </c>
      <c r="D7" s="792" t="s">
        <v>785</v>
      </c>
      <c r="E7" s="789" t="str">
        <f>HYPERLINK("https://www.reddit.com/r/RMTK/comments/a9np8r/w0004_wet_invoering_vliegtaks/","Wet invoering vliegtaks ")</f>
        <v>Wet invoering vliegtaks </v>
      </c>
      <c r="F7" s="793"/>
      <c r="G7" s="797" t="str">
        <f>HYPERLINK("https://www.reddit.com/r/RMTK/comments/acl9yo/w0005i_amendement_ter_wijziging_van_het/","A-1")</f>
        <v>A-1</v>
      </c>
      <c r="H7" s="696" t="s">
        <v>790</v>
      </c>
      <c r="I7" s="703"/>
      <c r="J7" s="794" t="s">
        <v>554</v>
      </c>
      <c r="K7" s="791" t="s">
        <v>554</v>
      </c>
      <c r="L7" s="687"/>
      <c r="M7" s="684" t="s">
        <v>582</v>
      </c>
      <c r="N7" s="689"/>
      <c r="O7" s="690" t="s">
        <v>791</v>
      </c>
    </row>
    <row r="8" ht="17.25" customHeight="1">
      <c r="E8" s="115"/>
      <c r="F8" s="689"/>
      <c r="G8" s="795" t="str">
        <f>HYPERLINK("https://www.reddit.com/r/RMTK/comments/acy21s/w0005ii_amendement_op_wet_invoering_vliegtaks/","A-2")</f>
        <v>A-2</v>
      </c>
      <c r="H8" s="791" t="s">
        <v>787</v>
      </c>
      <c r="I8" s="793"/>
      <c r="J8" s="147"/>
      <c r="K8" s="115"/>
      <c r="L8" s="687"/>
      <c r="N8" s="689"/>
    </row>
    <row r="9" ht="17.25" customHeight="1">
      <c r="B9" s="684" t="s">
        <v>792</v>
      </c>
      <c r="C9" s="697" t="s">
        <v>522</v>
      </c>
      <c r="D9" s="697" t="s">
        <v>397</v>
      </c>
      <c r="E9" s="789" t="str">
        <f>HYPERLINK("https://www.reddit.com/r/RMTK/comments/abwerm/w0006_wet_tot_het_verlagen_van_de_werkdruk_voor/","Wet tot het verlagen van de werkdruk voor leerkrachten op de basisschool")</f>
        <v>Wet tot het verlagen van de werkdruk voor leerkrachten op de basisschool</v>
      </c>
      <c r="F9" s="687"/>
      <c r="G9" s="688" t="s">
        <v>119</v>
      </c>
      <c r="H9" s="747" t="s">
        <v>119</v>
      </c>
      <c r="I9" s="793"/>
      <c r="J9" s="794" t="s">
        <v>554</v>
      </c>
      <c r="K9" s="791" t="s">
        <v>554</v>
      </c>
      <c r="L9" s="687"/>
      <c r="M9" s="684" t="s">
        <v>552</v>
      </c>
      <c r="N9" s="689"/>
      <c r="O9" s="690" t="s">
        <v>56</v>
      </c>
    </row>
    <row r="10" ht="17.25" customHeight="1">
      <c r="B10" s="684" t="s">
        <v>793</v>
      </c>
      <c r="C10" s="792" t="s">
        <v>784</v>
      </c>
      <c r="D10" s="792" t="s">
        <v>118</v>
      </c>
      <c r="E10" s="789" t="str">
        <f>HYPERLINK("https://reddit.com/r/RMTK/comments/adxbtn/w0007_wet_tot_beperken_van_digitale_apparatuur/","Wet tot beperken van digitale apparatuur voor diplomaten en ambassadeurs")</f>
        <v>Wet tot beperken van digitale apparatuur voor diplomaten en ambassadeurs</v>
      </c>
      <c r="F10" s="687"/>
      <c r="G10" s="797" t="str">
        <f>HYPERLINK("https://www.reddit.com/r/RMTK/comments/agckzr/w0007i_amendement_ter_wijziging_van_het/","A-1")</f>
        <v>A-1</v>
      </c>
      <c r="H10" s="791" t="s">
        <v>787</v>
      </c>
      <c r="I10" s="793"/>
      <c r="J10" s="794" t="s">
        <v>554</v>
      </c>
      <c r="K10" s="791" t="s">
        <v>554</v>
      </c>
      <c r="L10" s="687"/>
      <c r="M10" s="684" t="s">
        <v>566</v>
      </c>
      <c r="N10" s="689"/>
      <c r="O10" s="690" t="s">
        <v>56</v>
      </c>
    </row>
    <row r="11" ht="17.25" customHeight="1">
      <c r="B11" s="684" t="s">
        <v>794</v>
      </c>
      <c r="C11" s="685" t="s">
        <v>520</v>
      </c>
      <c r="D11" s="685" t="s">
        <v>122</v>
      </c>
      <c r="E11" s="789" t="str">
        <f>HYPERLINK("https://reddit.com/r/RMTK/comments/aehqrq/w0008_wijziging_van_de_wet_afbreking_zwangerschap/","Wetswijziging tot het vergroten mogelijkheden voor zwangerschapsafbrekingzorg")</f>
        <v>Wetswijziging tot het vergroten mogelijkheden voor zwangerschapsafbrekingzorg</v>
      </c>
      <c r="F11" s="687"/>
      <c r="G11" s="688" t="s">
        <v>119</v>
      </c>
      <c r="H11" s="747" t="s">
        <v>119</v>
      </c>
      <c r="I11" s="793"/>
      <c r="J11" s="794" t="s">
        <v>554</v>
      </c>
      <c r="K11" s="791" t="s">
        <v>554</v>
      </c>
      <c r="L11" s="687"/>
      <c r="M11" s="705" t="s">
        <v>795</v>
      </c>
      <c r="N11" s="689"/>
      <c r="O11" s="690" t="s">
        <v>56</v>
      </c>
    </row>
    <row r="12" ht="17.25" customHeight="1">
      <c r="B12" s="684" t="s">
        <v>796</v>
      </c>
      <c r="C12" s="792" t="s">
        <v>784</v>
      </c>
      <c r="D12" s="792" t="s">
        <v>175</v>
      </c>
      <c r="E12" s="789" t="str">
        <f>HYPERLINK("https://www.reddit.com/r/RMTK/comments/agz1n5/w0009_wetswijziging_spoorwegenwet_tot/","Wetswijziging Spoorwegenwet tot deprivatisering van de spoorwegen") </f>
        <v>Wetswijziging Spoorwegenwet tot deprivatisering van de spoorwegen</v>
      </c>
      <c r="F12" s="687"/>
      <c r="G12" s="688" t="s">
        <v>119</v>
      </c>
      <c r="H12" s="747" t="s">
        <v>119</v>
      </c>
      <c r="I12" s="687"/>
      <c r="J12" s="794" t="s">
        <v>554</v>
      </c>
      <c r="K12" s="791" t="s">
        <v>554</v>
      </c>
      <c r="L12" s="687"/>
      <c r="M12" s="684" t="s">
        <v>571</v>
      </c>
      <c r="N12" s="689"/>
      <c r="O12" s="690" t="s">
        <v>56</v>
      </c>
    </row>
    <row r="13" ht="7.5" customHeight="1">
      <c r="A13" s="706"/>
      <c r="B13" s="710"/>
      <c r="C13" s="707"/>
      <c r="D13" s="707"/>
      <c r="E13" s="798"/>
      <c r="F13" s="709"/>
      <c r="G13" s="710"/>
      <c r="H13" s="799"/>
      <c r="I13" s="709"/>
      <c r="J13" s="706"/>
      <c r="K13" s="709"/>
      <c r="L13" s="709"/>
      <c r="M13" s="710"/>
      <c r="N13" s="711"/>
      <c r="O13" s="706"/>
    </row>
    <row r="14">
      <c r="A14" s="683" t="s">
        <v>586</v>
      </c>
      <c r="B14" s="684" t="s">
        <v>797</v>
      </c>
      <c r="C14" s="792" t="s">
        <v>784</v>
      </c>
      <c r="D14" s="792" t="s">
        <v>122</v>
      </c>
      <c r="E14" s="800" t="str">
        <f>hyperlink("https://old.reddit.com/r/RMTK/comments/apwpjm/w0010_wijziging_van_de_wet_studiefinanciering/","Wijziging van de Wet studiefinanciering 2000 in verband met de herinvoering van de basisbeurs en uitbreiding reisrecht")</f>
        <v>Wijziging van de Wet studiefinanciering 2000 in verband met de herinvoering van de basisbeurs en uitbreiding reisrecht</v>
      </c>
      <c r="F14" s="687"/>
      <c r="G14" s="688" t="s">
        <v>119</v>
      </c>
      <c r="H14" s="747" t="s">
        <v>119</v>
      </c>
      <c r="I14" s="793"/>
      <c r="J14" s="794" t="s">
        <v>554</v>
      </c>
      <c r="K14" s="791" t="s">
        <v>554</v>
      </c>
      <c r="L14" s="687"/>
      <c r="M14" s="684" t="s">
        <v>593</v>
      </c>
      <c r="N14" s="689"/>
      <c r="O14" s="690" t="s">
        <v>56</v>
      </c>
    </row>
    <row r="15">
      <c r="B15" s="684" t="s">
        <v>798</v>
      </c>
      <c r="C15" s="792" t="s">
        <v>784</v>
      </c>
      <c r="D15" s="792" t="s">
        <v>122</v>
      </c>
      <c r="E15" s="789" t="str">
        <f>HYPERLINK("https://www.reddit.com/r/RMTK/comments/avu0ir/w0011_wet_meldcode_radicalisering/","Wet meldcode radicalisering")</f>
        <v>Wet meldcode radicalisering</v>
      </c>
      <c r="F15" s="687"/>
      <c r="G15" s="688" t="s">
        <v>119</v>
      </c>
      <c r="H15" s="747" t="s">
        <v>119</v>
      </c>
      <c r="I15" s="793"/>
      <c r="J15" s="794" t="s">
        <v>554</v>
      </c>
      <c r="K15" s="791" t="s">
        <v>554</v>
      </c>
      <c r="L15" s="687"/>
      <c r="M15" s="684" t="s">
        <v>593</v>
      </c>
      <c r="N15" s="689"/>
      <c r="O15" s="690" t="s">
        <v>56</v>
      </c>
    </row>
    <row r="16">
      <c r="B16" s="684" t="s">
        <v>799</v>
      </c>
      <c r="C16" s="716" t="s">
        <v>597</v>
      </c>
      <c r="D16" s="716" t="s">
        <v>118</v>
      </c>
      <c r="E16" s="800" t="str">
        <f>hyperlink("https://old.reddit.com/r/RMTK/comments/axb6a2/w0012_wet_bescherming_crowdfundacties/?","Wet bescherming crowdfundacties")</f>
        <v>Wet bescherming crowdfundacties</v>
      </c>
      <c r="F16" s="687"/>
      <c r="G16" s="688" t="s">
        <v>119</v>
      </c>
      <c r="H16" s="747" t="s">
        <v>119</v>
      </c>
      <c r="I16" s="687"/>
      <c r="J16" s="794" t="s">
        <v>554</v>
      </c>
      <c r="K16" s="791" t="s">
        <v>554</v>
      </c>
      <c r="L16" s="687"/>
      <c r="M16" s="684" t="s">
        <v>598</v>
      </c>
      <c r="N16" s="689"/>
      <c r="O16" s="690" t="s">
        <v>800</v>
      </c>
    </row>
    <row r="17">
      <c r="B17" s="684" t="s">
        <v>801</v>
      </c>
      <c r="C17" s="792" t="s">
        <v>784</v>
      </c>
      <c r="D17" s="792" t="s">
        <v>617</v>
      </c>
      <c r="E17" s="800" t="str">
        <f>hyperlink("https://old.reddit.com/r/RMTK/comments/axyq3e/w0013_wet_aanduiding_vervaardiging/?","Wet aanduiding vervaardiging verpakkingsmateriaal")</f>
        <v>Wet aanduiding vervaardiging verpakkingsmateriaal</v>
      </c>
      <c r="F17" s="687"/>
      <c r="G17" s="688" t="s">
        <v>119</v>
      </c>
      <c r="H17" s="747" t="s">
        <v>119</v>
      </c>
      <c r="I17" s="687"/>
      <c r="J17" s="794" t="s">
        <v>554</v>
      </c>
      <c r="K17" s="791" t="s">
        <v>554</v>
      </c>
      <c r="L17" s="687"/>
      <c r="M17" s="684" t="s">
        <v>611</v>
      </c>
      <c r="N17" s="689"/>
      <c r="O17" s="690" t="s">
        <v>56</v>
      </c>
    </row>
    <row r="18">
      <c r="B18" s="684" t="s">
        <v>802</v>
      </c>
      <c r="C18" s="792" t="s">
        <v>784</v>
      </c>
      <c r="D18" s="792" t="s">
        <v>617</v>
      </c>
      <c r="E18" s="800" t="str">
        <f>hyperlink("https://old.reddit.com/r/RMTK/comments/ayfy8u/w0014_wet_co2heffing_op_elektriciteit/?","Wet CO2-heffing op elektriciteit")</f>
        <v>Wet CO2-heffing op elektriciteit</v>
      </c>
      <c r="F18" s="687"/>
      <c r="G18" s="688" t="s">
        <v>119</v>
      </c>
      <c r="H18" s="747" t="s">
        <v>119</v>
      </c>
      <c r="I18" s="793"/>
      <c r="J18" s="801" t="s">
        <v>557</v>
      </c>
      <c r="K18" s="747" t="s">
        <v>119</v>
      </c>
      <c r="L18" s="687"/>
      <c r="M18" s="684" t="s">
        <v>611</v>
      </c>
      <c r="N18" s="689"/>
      <c r="O18" s="690" t="s">
        <v>56</v>
      </c>
    </row>
    <row r="19">
      <c r="B19" s="684" t="s">
        <v>803</v>
      </c>
      <c r="C19" s="792" t="s">
        <v>784</v>
      </c>
      <c r="D19" s="792" t="s">
        <v>122</v>
      </c>
      <c r="E19" s="800" t="str">
        <f>hyperlink("https://old.reddit.com/r/RMTK/comments/aygvku/w0015_wijziging_van_de_wet_op_het_voortgezet/?","Wijziging van de Wet op het voortgezet onderwijs")</f>
        <v>Wijziging van de Wet op het voortgezet onderwijs</v>
      </c>
      <c r="F19" s="687"/>
      <c r="G19" s="688" t="s">
        <v>119</v>
      </c>
      <c r="H19" s="747" t="s">
        <v>119</v>
      </c>
      <c r="I19" s="687"/>
      <c r="J19" s="794" t="s">
        <v>554</v>
      </c>
      <c r="K19" s="791" t="s">
        <v>554</v>
      </c>
      <c r="L19" s="687"/>
      <c r="M19" s="684" t="s">
        <v>593</v>
      </c>
      <c r="N19" s="689"/>
      <c r="O19" s="690" t="s">
        <v>56</v>
      </c>
    </row>
    <row r="20" ht="7.5" customHeight="1">
      <c r="A20" s="706"/>
      <c r="B20" s="710"/>
      <c r="C20" s="707"/>
      <c r="D20" s="707"/>
      <c r="E20" s="798"/>
      <c r="F20" s="709"/>
      <c r="G20" s="710"/>
      <c r="H20" s="799"/>
      <c r="I20" s="709"/>
      <c r="J20" s="706"/>
      <c r="K20" s="709"/>
      <c r="L20" s="709"/>
      <c r="M20" s="710"/>
      <c r="N20" s="711"/>
      <c r="O20" s="706"/>
    </row>
    <row r="21">
      <c r="A21" s="683" t="s">
        <v>469</v>
      </c>
      <c r="B21" s="684" t="s">
        <v>804</v>
      </c>
      <c r="C21" s="802" t="s">
        <v>446</v>
      </c>
      <c r="D21" s="802" t="s">
        <v>629</v>
      </c>
      <c r="E21" s="789" t="str">
        <f>HYPERLINK("https://www.reddit.com/r/RMTK/comments/bbclrd/w0016_wetswijziging_afschaffing_wettelijk/","Wetswijziging afschaffing wettelijk Collegegeld PABO")</f>
        <v>Wetswijziging afschaffing wettelijk Collegegeld PABO</v>
      </c>
      <c r="F21" s="687"/>
      <c r="G21" s="688" t="s">
        <v>119</v>
      </c>
      <c r="H21" s="747" t="s">
        <v>119</v>
      </c>
      <c r="I21" s="687"/>
      <c r="J21" s="801" t="s">
        <v>557</v>
      </c>
      <c r="K21" s="747" t="s">
        <v>119</v>
      </c>
      <c r="L21" s="687"/>
      <c r="M21" s="684" t="s">
        <v>593</v>
      </c>
      <c r="N21" s="689"/>
      <c r="O21" s="690" t="s">
        <v>56</v>
      </c>
    </row>
    <row r="22">
      <c r="B22" s="684" t="s">
        <v>805</v>
      </c>
      <c r="C22" s="792" t="s">
        <v>784</v>
      </c>
      <c r="D22" s="792" t="s">
        <v>122</v>
      </c>
      <c r="E22" s="800" t="str">
        <f>hyperlink("https://old.reddit.com/r/RMTK/comments/bdxiws/wet_aanpak_uitval_en_probleemjongeren/?","Wet aanpak uitval en probleemjongeren beroepsonderwijs")</f>
        <v>Wet aanpak uitval en probleemjongeren beroepsonderwijs</v>
      </c>
      <c r="F22" s="687"/>
      <c r="G22" s="688" t="s">
        <v>119</v>
      </c>
      <c r="H22" s="747" t="s">
        <v>119</v>
      </c>
      <c r="I22" s="687"/>
      <c r="J22" s="794" t="s">
        <v>554</v>
      </c>
      <c r="K22" s="791" t="s">
        <v>554</v>
      </c>
      <c r="L22" s="687"/>
      <c r="M22" s="684" t="s">
        <v>593</v>
      </c>
      <c r="N22" s="689"/>
      <c r="O22" s="690" t="s">
        <v>806</v>
      </c>
    </row>
    <row r="23">
      <c r="B23" s="684" t="s">
        <v>807</v>
      </c>
      <c r="C23" s="792" t="s">
        <v>784</v>
      </c>
      <c r="D23" s="792" t="s">
        <v>175</v>
      </c>
      <c r="E23" s="789" t="str">
        <f>HYPERLINK("https://www.reddit.com/r/RMTK/comments/bj9hku/w0018_wet_energieschijven_heffingssysteem/","Wet Energie-Schijven heffingssysteem")</f>
        <v>Wet Energie-Schijven heffingssysteem</v>
      </c>
      <c r="F23" s="687"/>
      <c r="G23" s="797" t="str">
        <f>HYPERLINK("https://www.reddit.com/r/RMTK/comments/bjym6d/w0018i_amendement_ter_wijziging_van_het/","A-1")</f>
        <v>A-1</v>
      </c>
      <c r="H23" s="791" t="s">
        <v>787</v>
      </c>
      <c r="I23" s="793"/>
      <c r="J23" s="794" t="s">
        <v>554</v>
      </c>
      <c r="K23" s="791" t="s">
        <v>554</v>
      </c>
      <c r="L23" s="687"/>
      <c r="M23" s="684" t="s">
        <v>622</v>
      </c>
      <c r="N23" s="689"/>
      <c r="O23" s="690" t="s">
        <v>56</v>
      </c>
    </row>
    <row r="24">
      <c r="B24" s="684" t="s">
        <v>808</v>
      </c>
      <c r="C24" s="725" t="s">
        <v>449</v>
      </c>
      <c r="D24" s="725" t="s">
        <v>154</v>
      </c>
      <c r="E24" s="789" t="str">
        <f>HYPERLINK("https://www.reddit.com/r/RMTK/comments/bjlxhu/w0019_wet_ter_bevordering_privacy_slachtoffers/","Wet ter bevordering privacy slachtoffers van ongevallen")</f>
        <v>Wet ter bevordering privacy slachtoffers van ongevallen</v>
      </c>
      <c r="F24" s="687"/>
      <c r="G24" s="797" t="str">
        <f>HYPERLINK("https://www.reddit.com/r/RMTK/comments/bluekl/w0019i_amendement_op_wet_ter_bevordering_privacy/","A-1")</f>
        <v>A-1</v>
      </c>
      <c r="H24" s="791" t="s">
        <v>787</v>
      </c>
      <c r="I24" s="687"/>
      <c r="J24" s="794" t="s">
        <v>554</v>
      </c>
      <c r="K24" s="791" t="s">
        <v>554</v>
      </c>
      <c r="L24" s="687"/>
      <c r="M24" s="684" t="s">
        <v>809</v>
      </c>
      <c r="N24" s="689"/>
      <c r="O24" s="690" t="s">
        <v>56</v>
      </c>
    </row>
    <row r="25" ht="7.5" customHeight="1">
      <c r="A25" s="706"/>
      <c r="B25" s="710"/>
      <c r="C25" s="707"/>
      <c r="D25" s="707"/>
      <c r="E25" s="798"/>
      <c r="F25" s="709"/>
      <c r="G25" s="710"/>
      <c r="H25" s="799"/>
      <c r="I25" s="709"/>
      <c r="J25" s="706"/>
      <c r="K25" s="709"/>
      <c r="L25" s="709"/>
      <c r="M25" s="710"/>
      <c r="N25" s="711"/>
      <c r="O25" s="706"/>
    </row>
    <row r="26">
      <c r="A26" s="683" t="s">
        <v>632</v>
      </c>
      <c r="B26" s="684" t="s">
        <v>810</v>
      </c>
      <c r="C26" s="792" t="s">
        <v>784</v>
      </c>
      <c r="D26" s="792" t="s">
        <v>157</v>
      </c>
      <c r="E26" s="800" t="str">
        <f>hyperlink("https://old.reddit.com/r/RMTK/comments/bu3zq8/w0020_tijdelijke_sanctiewet_saudiarabi%C3%AB/?","Tijdelijke Sanctiewet Saudi-Arabië")</f>
        <v>Tijdelijke Sanctiewet Saudi-Arabië</v>
      </c>
      <c r="F26" s="687"/>
      <c r="G26" s="688" t="s">
        <v>119</v>
      </c>
      <c r="H26" s="747" t="s">
        <v>119</v>
      </c>
      <c r="I26" s="793"/>
      <c r="J26" s="794" t="s">
        <v>554</v>
      </c>
      <c r="K26" s="791" t="s">
        <v>554</v>
      </c>
      <c r="L26" s="687"/>
      <c r="M26" s="684" t="s">
        <v>566</v>
      </c>
      <c r="N26" s="689"/>
      <c r="O26" s="690" t="s">
        <v>56</v>
      </c>
    </row>
    <row r="27">
      <c r="B27" s="684" t="s">
        <v>811</v>
      </c>
      <c r="C27" s="792" t="s">
        <v>784</v>
      </c>
      <c r="D27" s="792" t="s">
        <v>122</v>
      </c>
      <c r="E27" s="803" t="str">
        <f>HYPERLINK("https://www.reddit.com/r/RMTK/comments/bwf39d/w0021_wijziging_van_de_grondwet_vanwege_een/","Wijziging van de Grondwet vanwege een uitbreiding van artikel 1")</f>
        <v>Wijziging van de Grondwet vanwege een uitbreiding van artikel 1</v>
      </c>
      <c r="F27" s="687"/>
      <c r="G27" s="804" t="s">
        <v>119</v>
      </c>
      <c r="H27" s="805" t="s">
        <v>119</v>
      </c>
      <c r="I27" s="687"/>
      <c r="J27" s="794" t="s">
        <v>554</v>
      </c>
      <c r="K27" s="791" t="s">
        <v>554</v>
      </c>
      <c r="L27" s="687"/>
      <c r="M27" s="684" t="s">
        <v>559</v>
      </c>
      <c r="N27" s="689"/>
      <c r="O27" s="690" t="s">
        <v>56</v>
      </c>
    </row>
    <row r="28">
      <c r="B28" s="684" t="s">
        <v>812</v>
      </c>
      <c r="C28" s="792" t="s">
        <v>784</v>
      </c>
      <c r="D28" s="792" t="s">
        <v>157</v>
      </c>
      <c r="E28" s="806" t="str">
        <f>HYPERLINK("https://www.reddit.com/r/RMTK/comments/bwr7df/w0022_wijziging_van_de_grondwet_met_betrekking/","Wijziging van de Grondwet met betrekking tot de Europese Unie")</f>
        <v>Wijziging van de Grondwet met betrekking tot de Europese Unie</v>
      </c>
      <c r="F28" s="687"/>
      <c r="G28" s="804" t="s">
        <v>119</v>
      </c>
      <c r="H28" s="805" t="s">
        <v>119</v>
      </c>
      <c r="I28" s="687"/>
      <c r="J28" s="801" t="s">
        <v>557</v>
      </c>
      <c r="K28" s="747" t="s">
        <v>119</v>
      </c>
      <c r="L28" s="687"/>
      <c r="M28" s="684" t="s">
        <v>566</v>
      </c>
      <c r="N28" s="689"/>
      <c r="O28" s="690" t="s">
        <v>56</v>
      </c>
    </row>
    <row r="29">
      <c r="B29" s="684" t="s">
        <v>813</v>
      </c>
      <c r="C29" s="792" t="s">
        <v>784</v>
      </c>
      <c r="D29" s="792" t="s">
        <v>153</v>
      </c>
      <c r="E29" s="789" t="str">
        <f>HYPERLINK("https://www.reddit.com/r/RMTK/comments/bxktln/w0023_wetswijziging_tot_verandering_erfbelasting/","Wetswijziging tot verandering erfbelasting")</f>
        <v>Wetswijziging tot verandering erfbelasting</v>
      </c>
      <c r="F29" s="687"/>
      <c r="G29" s="807" t="str">
        <f>hyperlink("https://old.reddit.com/r/RMTK/comments/bzfz9f/w0023i_amendement_op_de_wetswijziging_tot/","A-1")</f>
        <v>A-1</v>
      </c>
      <c r="H29" s="696" t="s">
        <v>790</v>
      </c>
      <c r="I29" s="687"/>
      <c r="J29" s="808" t="s">
        <v>554</v>
      </c>
      <c r="K29" s="791" t="s">
        <v>554</v>
      </c>
      <c r="L29" s="687"/>
      <c r="M29" s="684" t="s">
        <v>595</v>
      </c>
      <c r="N29" s="689"/>
      <c r="O29" s="690" t="s">
        <v>56</v>
      </c>
    </row>
    <row r="30">
      <c r="B30" s="684" t="s">
        <v>814</v>
      </c>
      <c r="C30" s="802" t="s">
        <v>446</v>
      </c>
      <c r="D30" s="802" t="s">
        <v>662</v>
      </c>
      <c r="E30" s="800" t="str">
        <f>hyperlink("https://old.reddit.com/r/RMTK/comments/c09536/w0024_wet_nationaal_woonplan/?","Wet nationaal woonplan")</f>
        <v>Wet nationaal woonplan</v>
      </c>
      <c r="F30" s="687"/>
      <c r="G30" s="804" t="s">
        <v>119</v>
      </c>
      <c r="H30" s="805" t="s">
        <v>119</v>
      </c>
      <c r="I30" s="687"/>
      <c r="J30" s="794" t="s">
        <v>554</v>
      </c>
      <c r="K30" s="791" t="s">
        <v>554</v>
      </c>
      <c r="L30" s="687"/>
      <c r="M30" s="684" t="s">
        <v>619</v>
      </c>
      <c r="N30" s="689"/>
      <c r="O30" s="690" t="s">
        <v>56</v>
      </c>
    </row>
    <row r="31">
      <c r="B31" s="684" t="s">
        <v>815</v>
      </c>
      <c r="C31" s="725" t="s">
        <v>449</v>
      </c>
      <c r="D31" s="725" t="s">
        <v>154</v>
      </c>
      <c r="E31" s="800" t="str">
        <f>hyperlink("https://old.reddit.com/r/RMTK/comments/c26kl0/w0025_koepelwet_kerncentrales/?","Koepelwet Kerncentrales")</f>
        <v>Koepelwet Kerncentrales</v>
      </c>
      <c r="F31" s="687"/>
      <c r="G31" s="807" t="str">
        <f>hyperlink("https://old.reddit.com/r/RMTK/comments/c2ykuk/w0025i_amendement_op_koepelwet_kerncentrales/?","A-1")</f>
        <v>A-1</v>
      </c>
      <c r="H31" s="809" t="s">
        <v>787</v>
      </c>
      <c r="I31" s="793"/>
      <c r="J31" s="808" t="s">
        <v>554</v>
      </c>
      <c r="K31" s="735" t="s">
        <v>557</v>
      </c>
      <c r="L31" s="687"/>
      <c r="M31" s="684" t="s">
        <v>611</v>
      </c>
      <c r="N31" s="689"/>
      <c r="O31" s="690" t="s">
        <v>56</v>
      </c>
    </row>
    <row r="32">
      <c r="B32" s="684" t="s">
        <v>816</v>
      </c>
      <c r="C32" s="700" t="s">
        <v>31</v>
      </c>
      <c r="D32" s="700" t="s">
        <v>16</v>
      </c>
      <c r="E32" s="800" t="str">
        <f>hyperlink("https://old.reddit.com/r/RMTK/comments/c2juo6/w0026_wet_reclame_alcoholhoudende_dranken/?","Wet Reclame Alcoholhoudende Dranken")</f>
        <v>Wet Reclame Alcoholhoudende Dranken</v>
      </c>
      <c r="F32" s="687"/>
      <c r="G32" s="804" t="s">
        <v>119</v>
      </c>
      <c r="H32" s="805" t="s">
        <v>119</v>
      </c>
      <c r="I32" s="687"/>
      <c r="J32" s="808" t="s">
        <v>557</v>
      </c>
      <c r="K32" s="747" t="s">
        <v>119</v>
      </c>
      <c r="L32" s="687"/>
      <c r="M32" s="684" t="s">
        <v>624</v>
      </c>
      <c r="N32" s="689"/>
      <c r="O32" s="690" t="s">
        <v>56</v>
      </c>
    </row>
    <row r="33">
      <c r="B33" s="684" t="s">
        <v>817</v>
      </c>
      <c r="C33" s="726" t="s">
        <v>456</v>
      </c>
      <c r="D33" s="726" t="s">
        <v>118</v>
      </c>
      <c r="E33" s="800" t="str">
        <f>hyperlink("https://old.reddit.com/r/RMTK/comments/c4pqxl/w0027_wetswijziging_tot_verbieden_discriminatie/?","Wetswijziging tot verbieden discriminatie op basis van genderidentiteit")</f>
        <v>Wetswijziging tot verbieden discriminatie op basis van genderidentiteit</v>
      </c>
      <c r="F33" s="687"/>
      <c r="G33" s="804" t="s">
        <v>119</v>
      </c>
      <c r="H33" s="805" t="s">
        <v>119</v>
      </c>
      <c r="I33" s="793"/>
      <c r="J33" s="808" t="s">
        <v>554</v>
      </c>
      <c r="K33" s="735" t="s">
        <v>554</v>
      </c>
      <c r="L33" s="687"/>
      <c r="M33" s="684" t="s">
        <v>644</v>
      </c>
      <c r="N33" s="689"/>
      <c r="O33" s="690" t="s">
        <v>56</v>
      </c>
    </row>
    <row r="34" ht="17.25" customHeight="1">
      <c r="B34" s="684" t="s">
        <v>818</v>
      </c>
      <c r="C34" s="700" t="s">
        <v>31</v>
      </c>
      <c r="D34" s="700" t="s">
        <v>662</v>
      </c>
      <c r="E34" s="800" t="str">
        <f>HYPERLINK("https://www.reddit.com/r/RMTK/comments/c8rc1h/w0028_wetswijziging_tot_aanvulling_op_de_wet/","Wetswijziging tot aanvulling op de wet nationaal woonplan")</f>
        <v>Wetswijziging tot aanvulling op de wet nationaal woonplan</v>
      </c>
      <c r="F34" s="687"/>
      <c r="G34" s="804" t="s">
        <v>119</v>
      </c>
      <c r="H34" s="805" t="s">
        <v>119</v>
      </c>
      <c r="I34" s="687"/>
      <c r="J34" s="808" t="s">
        <v>554</v>
      </c>
      <c r="K34" s="747" t="s">
        <v>554</v>
      </c>
      <c r="L34" s="687"/>
      <c r="M34" s="684" t="s">
        <v>619</v>
      </c>
      <c r="N34" s="689"/>
      <c r="O34" s="690" t="s">
        <v>56</v>
      </c>
    </row>
    <row r="35" ht="7.5" customHeight="1">
      <c r="A35" s="706"/>
      <c r="B35" s="710"/>
      <c r="C35" s="707"/>
      <c r="D35" s="707"/>
      <c r="E35" s="798"/>
      <c r="F35" s="709"/>
      <c r="G35" s="710"/>
      <c r="H35" s="799"/>
      <c r="I35" s="709"/>
      <c r="J35" s="706"/>
      <c r="K35" s="709"/>
      <c r="L35" s="709"/>
      <c r="M35" s="710"/>
      <c r="N35" s="711"/>
      <c r="O35" s="706"/>
    </row>
    <row r="36" ht="17.25" customHeight="1">
      <c r="A36" s="683" t="s">
        <v>441</v>
      </c>
      <c r="B36" s="684" t="s">
        <v>819</v>
      </c>
      <c r="C36" s="802" t="s">
        <v>446</v>
      </c>
      <c r="D36" s="802" t="s">
        <v>153</v>
      </c>
      <c r="E36" s="800" t="str">
        <f>HYPERLINK("https://www.reddit.com/r/RMTK/comments/cbidty/w0029_wijziging_van_het_burgerlijk_wetboek_boek_1/","Wijziging van het Burgerlijk Wetboek, Boek 1, artikel 5")</f>
        <v>Wijziging van het Burgerlijk Wetboek, Boek 1, artikel 5</v>
      </c>
      <c r="F36" s="687"/>
      <c r="G36" s="804" t="s">
        <v>119</v>
      </c>
      <c r="H36" s="805" t="s">
        <v>119</v>
      </c>
      <c r="I36" s="687"/>
      <c r="J36" s="808" t="s">
        <v>554</v>
      </c>
      <c r="K36" s="735" t="s">
        <v>557</v>
      </c>
      <c r="L36" s="687"/>
      <c r="M36" s="684" t="s">
        <v>579</v>
      </c>
      <c r="N36" s="689"/>
      <c r="O36" s="690" t="s">
        <v>56</v>
      </c>
    </row>
    <row r="37">
      <c r="B37" s="684" t="s">
        <v>820</v>
      </c>
      <c r="C37" s="802" t="s">
        <v>446</v>
      </c>
      <c r="D37" s="802" t="s">
        <v>153</v>
      </c>
      <c r="E37" s="800" t="str">
        <f>HYPERLINK("https://www.reddit.com/r/RMTK/comments/cedsei/w0030_wijziging_van_het_burgerlijk_wetboek_boek_1/","Wijziging van het Burgerlijk Wetboek, Boek 1, artikel 28")</f>
        <v>Wijziging van het Burgerlijk Wetboek, Boek 1, artikel 28</v>
      </c>
      <c r="F37" s="687"/>
      <c r="G37" s="804" t="s">
        <v>119</v>
      </c>
      <c r="H37" s="805" t="s">
        <v>119</v>
      </c>
      <c r="I37" s="687"/>
      <c r="J37" s="808" t="s">
        <v>554</v>
      </c>
      <c r="K37" s="747" t="s">
        <v>554</v>
      </c>
      <c r="L37" s="687"/>
      <c r="M37" s="684" t="s">
        <v>579</v>
      </c>
      <c r="N37" s="689"/>
      <c r="O37" s="690" t="s">
        <v>56</v>
      </c>
    </row>
    <row r="38">
      <c r="B38" s="684" t="s">
        <v>821</v>
      </c>
      <c r="C38" s="700" t="s">
        <v>31</v>
      </c>
      <c r="D38" s="700" t="s">
        <v>662</v>
      </c>
      <c r="E38" s="800" t="str">
        <f>HYPERLINK("https://www.reddit.com/r/RMTK/comments/cev17r/w0031_hernieuwde_klimaatwet_2019/","Hernieuwde Klimaatwet 2019")</f>
        <v>Hernieuwde Klimaatwet 2019</v>
      </c>
      <c r="F38" s="687"/>
      <c r="G38" s="804" t="s">
        <v>119</v>
      </c>
      <c r="H38" s="805" t="s">
        <v>119</v>
      </c>
      <c r="I38" s="687"/>
      <c r="J38" s="808" t="s">
        <v>554</v>
      </c>
      <c r="K38" s="747" t="s">
        <v>554</v>
      </c>
      <c r="L38" s="687"/>
      <c r="M38" s="684" t="s">
        <v>611</v>
      </c>
      <c r="N38" s="689"/>
      <c r="O38" s="690" t="s">
        <v>56</v>
      </c>
    </row>
    <row r="39" ht="17.25" customHeight="1">
      <c r="B39" s="684" t="s">
        <v>822</v>
      </c>
      <c r="C39" s="792" t="s">
        <v>784</v>
      </c>
      <c r="D39" s="792" t="s">
        <v>118</v>
      </c>
      <c r="E39" s="800" t="str">
        <f>HYPERLINK("https://www.reddit.com/r/RMTK/comments/cgethq/wetsvoorstel_tot_budgettaire_begroting/","Wetsvoorstel tot budgettaire begroting Nedersaksenlijn")</f>
        <v>Wetsvoorstel tot budgettaire begroting Nedersaksenlijn</v>
      </c>
      <c r="F39" s="687"/>
      <c r="G39" s="804" t="s">
        <v>119</v>
      </c>
      <c r="H39" s="805" t="s">
        <v>119</v>
      </c>
      <c r="I39" s="687"/>
      <c r="J39" s="808" t="s">
        <v>554</v>
      </c>
      <c r="K39" s="747" t="s">
        <v>554</v>
      </c>
      <c r="L39" s="687"/>
      <c r="M39" s="684" t="s">
        <v>611</v>
      </c>
      <c r="N39" s="689"/>
      <c r="O39" s="690" t="s">
        <v>56</v>
      </c>
    </row>
    <row r="40" ht="17.25" customHeight="1">
      <c r="B40" s="684" t="s">
        <v>823</v>
      </c>
      <c r="C40" s="700" t="s">
        <v>31</v>
      </c>
      <c r="D40" s="700" t="s">
        <v>629</v>
      </c>
      <c r="E40" s="800" t="str">
        <f>HYPERLINK("https://www.reddit.com/r/RMTK/comments/ch9l69/w0033_wet_erkenning_recht_op_voltooid_leven/","Wet erkenning recht op voltooid leven")</f>
        <v>Wet erkenning recht op voltooid leven</v>
      </c>
      <c r="F40" s="687"/>
      <c r="G40" s="810" t="str">
        <f>HYPERLINK("https://www.reddit.com/r/RMTK/comments/cjbw7f/w0033i_amendement_op_wet_erkenning_recht_op/","A-1")</f>
        <v>A-1</v>
      </c>
      <c r="H40" s="809" t="s">
        <v>790</v>
      </c>
      <c r="I40" s="687"/>
      <c r="J40" s="808" t="s">
        <v>554</v>
      </c>
      <c r="K40" s="747" t="s">
        <v>554</v>
      </c>
      <c r="L40" s="687"/>
      <c r="M40" s="684" t="s">
        <v>624</v>
      </c>
      <c r="N40" s="689"/>
      <c r="O40" s="690" t="s">
        <v>56</v>
      </c>
    </row>
    <row r="41" ht="17.25" customHeight="1">
      <c r="B41" s="684" t="s">
        <v>824</v>
      </c>
      <c r="C41" s="811" t="s">
        <v>677</v>
      </c>
      <c r="D41" s="811" t="s">
        <v>825</v>
      </c>
      <c r="E41" s="789" t="str">
        <f>HYPERLINK("https://www.reddit.com/r/RMTK/comments/ciktf7/w0034_wet_lobbyverbod/","Wet Lobbyverbod ")</f>
        <v>Wet Lobbyverbod </v>
      </c>
      <c r="F41" s="687"/>
      <c r="G41" s="804" t="s">
        <v>119</v>
      </c>
      <c r="H41" s="805" t="s">
        <v>119</v>
      </c>
      <c r="I41" s="687"/>
      <c r="J41" s="808" t="s">
        <v>557</v>
      </c>
      <c r="K41" s="747" t="s">
        <v>119</v>
      </c>
      <c r="L41" s="687"/>
      <c r="M41" s="684" t="s">
        <v>619</v>
      </c>
      <c r="N41" s="689"/>
      <c r="O41" s="690" t="s">
        <v>56</v>
      </c>
    </row>
    <row r="42" ht="17.25" customHeight="1">
      <c r="B42" s="684" t="s">
        <v>826</v>
      </c>
      <c r="C42" s="736" t="s">
        <v>461</v>
      </c>
      <c r="D42" s="736" t="s">
        <v>629</v>
      </c>
      <c r="E42" s="812" t="str">
        <f>HYPERLINK("https://www.reddit.com/r/RMTK/comments/cjrjh1/w0035_wet_belasting_op_grote_techbedrijven/","Wet Belasting op grote techbedrijven")</f>
        <v>Wet Belasting op grote techbedrijven</v>
      </c>
      <c r="F42" s="687"/>
      <c r="G42" s="813" t="str">
        <f>HYPERLINK("https://www.reddit.com/r/RMTK/comments/clxgpr/w0035i_amendement_op_wet_belasting_op_grote/","A-1")</f>
        <v>A-1</v>
      </c>
      <c r="H42" s="809" t="s">
        <v>787</v>
      </c>
      <c r="I42" s="687"/>
      <c r="J42" s="688" t="s">
        <v>551</v>
      </c>
      <c r="K42" s="747" t="s">
        <v>119</v>
      </c>
      <c r="L42" s="687"/>
      <c r="M42" s="684" t="s">
        <v>675</v>
      </c>
      <c r="N42" s="689"/>
      <c r="O42" s="690" t="s">
        <v>56</v>
      </c>
    </row>
    <row r="43" ht="17.25" customHeight="1">
      <c r="B43" s="684" t="s">
        <v>827</v>
      </c>
      <c r="C43" s="728" t="s">
        <v>458</v>
      </c>
      <c r="D43" s="728" t="s">
        <v>828</v>
      </c>
      <c r="E43" s="800" t="str">
        <f>HYPERLINK("https://www.reddit.com/r/RMTK/comments/cwp79y/w0036_wet_ter_erkenning_van_de_nederlandse/","Wet ter erkenning van de Nederlandse Gebarentaal")</f>
        <v>Wet ter erkenning van de Nederlandse Gebarentaal</v>
      </c>
      <c r="F43" s="687"/>
      <c r="G43" s="804" t="s">
        <v>119</v>
      </c>
      <c r="H43" s="805" t="s">
        <v>119</v>
      </c>
      <c r="I43" s="687"/>
      <c r="J43" s="684" t="s">
        <v>554</v>
      </c>
      <c r="K43" s="747" t="s">
        <v>554</v>
      </c>
      <c r="L43" s="687"/>
      <c r="M43" s="684" t="s">
        <v>619</v>
      </c>
      <c r="N43" s="689"/>
      <c r="O43" s="690" t="s">
        <v>56</v>
      </c>
    </row>
    <row r="44" ht="17.25" customHeight="1">
      <c r="B44" s="684" t="s">
        <v>829</v>
      </c>
      <c r="C44" s="814" t="s">
        <v>461</v>
      </c>
      <c r="D44" s="814" t="s">
        <v>629</v>
      </c>
      <c r="E44" s="800" t="str">
        <f>HYPERLINK("https://www.reddit.com/r/RMTK/comments/cx11b8/w0037_wetswijziging_wet_op_de_omzetbelasting_1968/","Wetswijziging Wet op de omzetbelasting 1968")</f>
        <v>Wetswijziging Wet op de omzetbelasting 1968</v>
      </c>
      <c r="F44" s="687"/>
      <c r="G44" s="804" t="s">
        <v>119</v>
      </c>
      <c r="H44" s="805" t="s">
        <v>119</v>
      </c>
      <c r="I44" s="687"/>
      <c r="J44" s="684" t="s">
        <v>557</v>
      </c>
      <c r="K44" s="747" t="s">
        <v>119</v>
      </c>
      <c r="L44" s="687"/>
      <c r="M44" s="684" t="s">
        <v>675</v>
      </c>
      <c r="N44" s="689"/>
      <c r="O44" s="690" t="s">
        <v>56</v>
      </c>
    </row>
    <row r="45" ht="17.25" customHeight="1">
      <c r="B45" s="684" t="s">
        <v>830</v>
      </c>
      <c r="C45" s="792" t="s">
        <v>784</v>
      </c>
      <c r="D45" s="792" t="s">
        <v>16</v>
      </c>
      <c r="E45" s="800" t="str">
        <f>HYPERLINK("https://www.reddit.com/r/RMTK/comments/cyt6r7/w0038_wetsvoorstel_tot_wijziging_van_de_wet_op_de/","Wetsvoorstel tot wijziging van de wet op de accijns")</f>
        <v>Wetsvoorstel tot wijziging van de wet op de accijns</v>
      </c>
      <c r="F45" s="687"/>
      <c r="G45" s="804" t="s">
        <v>119</v>
      </c>
      <c r="H45" s="805" t="s">
        <v>119</v>
      </c>
      <c r="I45" s="687"/>
      <c r="J45" s="684" t="s">
        <v>554</v>
      </c>
      <c r="K45" s="747" t="s">
        <v>554</v>
      </c>
      <c r="L45" s="687"/>
      <c r="M45" s="684" t="s">
        <v>675</v>
      </c>
      <c r="N45" s="689"/>
      <c r="O45" s="690" t="s">
        <v>56</v>
      </c>
    </row>
    <row r="46" ht="17.25" customHeight="1">
      <c r="B46" s="684" t="s">
        <v>831</v>
      </c>
      <c r="C46" s="739" t="s">
        <v>698</v>
      </c>
      <c r="D46" s="739" t="s">
        <v>832</v>
      </c>
      <c r="E46" s="800" t="str">
        <f>HYPERLINK("https://www.reddit.com/r/RMTK/comments/d2a3yu/w0039_wetsvoorstel_versoepeling_opiumwet/","Wetsvoorstel Versoepeling Opiumwet")</f>
        <v>Wetsvoorstel Versoepeling Opiumwet</v>
      </c>
      <c r="F46" s="687"/>
      <c r="G46" s="810" t="str">
        <f>HYPERLINK("https://www.reddit.com/r/RMTK/comments/d57042/w0039i_amendement_wetsvoorstel_versoepeling/","A-1")</f>
        <v>A-1</v>
      </c>
      <c r="H46" s="815" t="s">
        <v>787</v>
      </c>
      <c r="I46" s="687"/>
      <c r="J46" s="684" t="s">
        <v>554</v>
      </c>
      <c r="K46" s="747" t="s">
        <v>554</v>
      </c>
      <c r="L46" s="687"/>
      <c r="M46" s="684" t="s">
        <v>579</v>
      </c>
      <c r="N46" s="689"/>
      <c r="O46" s="690" t="s">
        <v>56</v>
      </c>
    </row>
    <row r="47" ht="17.25" customHeight="1">
      <c r="B47" s="684" t="s">
        <v>833</v>
      </c>
      <c r="C47" s="684" t="s">
        <v>713</v>
      </c>
      <c r="D47" s="684" t="s">
        <v>834</v>
      </c>
      <c r="E47" s="800" t="str">
        <f>HYPERLINK("https://www.reddit.com/r/RMTK/comments/d6jji7/w0040_wet_register_openbare_hygi%C3%ABne_en/","Wet register openbare hygiëne- en veiligheidsvoorzieningen")</f>
        <v>Wet register openbare hygiëne- en veiligheidsvoorzieningen</v>
      </c>
      <c r="F47" s="687"/>
      <c r="G47" s="804" t="s">
        <v>119</v>
      </c>
      <c r="H47" s="805" t="s">
        <v>119</v>
      </c>
      <c r="I47" s="687"/>
      <c r="J47" s="684" t="s">
        <v>554</v>
      </c>
      <c r="K47" s="747" t="s">
        <v>554</v>
      </c>
      <c r="L47" s="687"/>
      <c r="M47" s="684" t="s">
        <v>624</v>
      </c>
      <c r="N47" s="689"/>
      <c r="O47" s="690" t="s">
        <v>56</v>
      </c>
    </row>
    <row r="48" ht="17.25" customHeight="1">
      <c r="B48" s="684" t="s">
        <v>835</v>
      </c>
      <c r="C48" s="792" t="s">
        <v>784</v>
      </c>
      <c r="D48" s="792" t="s">
        <v>16</v>
      </c>
      <c r="E48" s="800" t="str">
        <f>HYPERLINK("https://www.reddit.com/r/RMTK/comments/d88tka/w0041_belastingwet_meervoudig_woningbezit/","Belastingwet Meervoudig Woningbezit")</f>
        <v>Belastingwet Meervoudig Woningbezit</v>
      </c>
      <c r="F48" s="687"/>
      <c r="G48" s="810" t="str">
        <f>HYPERLINK("https://www.reddit.com/r/RMTK/comments/dit9bu/w0041i_amendement_belastingwet_meervoudig/","A-1")</f>
        <v>A-1</v>
      </c>
      <c r="H48" s="815" t="s">
        <v>787</v>
      </c>
      <c r="I48" s="687"/>
      <c r="J48" s="684" t="s">
        <v>554</v>
      </c>
      <c r="K48" s="747" t="s">
        <v>554</v>
      </c>
      <c r="L48" s="687"/>
      <c r="M48" s="684" t="s">
        <v>675</v>
      </c>
      <c r="N48" s="689"/>
      <c r="O48" s="690" t="s">
        <v>56</v>
      </c>
    </row>
    <row r="49" ht="17.25" customHeight="1">
      <c r="B49" s="684" t="s">
        <v>836</v>
      </c>
      <c r="C49" s="792" t="s">
        <v>784</v>
      </c>
      <c r="D49" s="792" t="s">
        <v>578</v>
      </c>
      <c r="E49" s="800" t="str">
        <f>HYPERLINK("https://www.reddit.com/r/RMTK/comments/d93cgv/w0042_wet_tot_goedkeuring_aankoop_vijf_f35a_2019/","Wet tot goedkeuring aankoop vijf F-35A 2019")</f>
        <v>Wet tot goedkeuring aankoop vijf F-35A 2019</v>
      </c>
      <c r="F49" s="687"/>
      <c r="G49" s="810" t="str">
        <f>HYPERLINK("https://www.reddit.com/r/RMTK/comments/djbute/w0042i_amendement_wet_tot_goedkeuring_aankoop/","A-1")</f>
        <v>A-1</v>
      </c>
      <c r="H49" s="816" t="s">
        <v>790</v>
      </c>
      <c r="I49" s="687"/>
      <c r="J49" s="684" t="s">
        <v>554</v>
      </c>
      <c r="K49" s="747" t="s">
        <v>554</v>
      </c>
      <c r="L49" s="687"/>
      <c r="M49" s="684" t="s">
        <v>709</v>
      </c>
      <c r="N49" s="689"/>
      <c r="O49" s="690" t="s">
        <v>56</v>
      </c>
    </row>
    <row r="50" ht="17.25" customHeight="1">
      <c r="B50" s="684" t="s">
        <v>837</v>
      </c>
      <c r="C50" s="739" t="s">
        <v>698</v>
      </c>
      <c r="D50" s="739" t="s">
        <v>25</v>
      </c>
      <c r="E50" s="800" t="str">
        <f>hyperlink("https://www.reddit.com/r/RMTK/comments/d9pe1o/w0043_wijziging_wetboek_van_strafrecht_artikel_23/","Wijziging Wetboek van Strafrecht Artikel 23")</f>
        <v>Wijziging Wetboek van Strafrecht Artikel 23</v>
      </c>
      <c r="F50" s="687"/>
      <c r="G50" s="804" t="s">
        <v>119</v>
      </c>
      <c r="H50" s="805" t="s">
        <v>119</v>
      </c>
      <c r="I50" s="687"/>
      <c r="J50" s="684" t="s">
        <v>554</v>
      </c>
      <c r="K50" s="747" t="s">
        <v>557</v>
      </c>
      <c r="L50" s="687"/>
      <c r="M50" s="684" t="s">
        <v>579</v>
      </c>
      <c r="N50" s="689"/>
      <c r="O50" s="690" t="s">
        <v>56</v>
      </c>
    </row>
    <row r="51" ht="7.5" customHeight="1">
      <c r="A51" s="706"/>
      <c r="B51" s="710"/>
      <c r="C51" s="707"/>
      <c r="D51" s="707"/>
      <c r="E51" s="798"/>
      <c r="F51" s="709"/>
      <c r="G51" s="710"/>
      <c r="H51" s="799"/>
      <c r="I51" s="709"/>
      <c r="J51" s="706"/>
      <c r="K51" s="709"/>
      <c r="L51" s="709"/>
      <c r="M51" s="710"/>
      <c r="N51" s="711"/>
      <c r="O51" s="706"/>
    </row>
    <row r="52" ht="17.25" customHeight="1">
      <c r="A52" s="683" t="s">
        <v>838</v>
      </c>
      <c r="B52" s="684" t="s">
        <v>839</v>
      </c>
      <c r="C52" s="739" t="s">
        <v>698</v>
      </c>
      <c r="D52" s="739" t="s">
        <v>25</v>
      </c>
      <c r="E52" s="800" t="str">
        <f>HYPERLINK("https://www.reddit.com/r/RMTK/comments/dkz3ba/w0043_intrekkingswet_accijnswet/","Intrekkingswet accijnswet")</f>
        <v>Intrekkingswet accijnswet</v>
      </c>
      <c r="F52" s="687"/>
      <c r="G52" s="684" t="s">
        <v>119</v>
      </c>
      <c r="H52" s="738" t="s">
        <v>119</v>
      </c>
      <c r="I52" s="687"/>
      <c r="J52" s="690" t="s">
        <v>554</v>
      </c>
      <c r="K52" s="817" t="s">
        <v>557</v>
      </c>
      <c r="L52" s="687"/>
      <c r="M52" s="684" t="s">
        <v>721</v>
      </c>
      <c r="N52" s="689"/>
      <c r="O52" s="690" t="s">
        <v>56</v>
      </c>
    </row>
    <row r="53" ht="17.25" customHeight="1">
      <c r="B53" s="684" t="s">
        <v>840</v>
      </c>
      <c r="C53" s="792" t="s">
        <v>784</v>
      </c>
      <c r="D53" s="792" t="s">
        <v>834</v>
      </c>
      <c r="E53" s="800" t="str">
        <f>hyperlink("https://www.reddit.com/r/RMTK/comments/dm1lyl/w0044_noodwet_stikfstofverbindingsproblematiek/","Noodwet stikfstofverbindingsproblematiek")</f>
        <v>Noodwet stikfstofverbindingsproblematiek</v>
      </c>
      <c r="F53" s="687"/>
      <c r="G53" s="684" t="s">
        <v>119</v>
      </c>
      <c r="H53" s="738" t="s">
        <v>119</v>
      </c>
      <c r="I53" s="687"/>
      <c r="J53" s="690" t="s">
        <v>554</v>
      </c>
      <c r="K53" s="817" t="s">
        <v>554</v>
      </c>
      <c r="L53" s="687"/>
      <c r="M53" s="684" t="s">
        <v>841</v>
      </c>
      <c r="N53" s="689"/>
      <c r="O53" s="690" t="s">
        <v>56</v>
      </c>
    </row>
    <row r="54" ht="17.25" customHeight="1">
      <c r="B54" s="684" t="s">
        <v>842</v>
      </c>
      <c r="C54" s="792" t="s">
        <v>784</v>
      </c>
      <c r="D54" s="792" t="s">
        <v>16</v>
      </c>
      <c r="E54" s="800" t="str">
        <f>HYPERLINK("https://www.reddit.com/r/RMTK/comments/ds2nrf/w0046_rijksbegroting_2020_buitenlandse_zaken/","Rijksbegroting 2020 - Buitenlandse Zaken")</f>
        <v>Rijksbegroting 2020 - Buitenlandse Zaken</v>
      </c>
      <c r="F54" s="687"/>
      <c r="G54" s="684" t="s">
        <v>119</v>
      </c>
      <c r="H54" s="738" t="s">
        <v>119</v>
      </c>
      <c r="I54" s="687"/>
      <c r="J54" s="690" t="s">
        <v>554</v>
      </c>
      <c r="K54" s="817" t="s">
        <v>554</v>
      </c>
      <c r="L54" s="687"/>
      <c r="M54" s="684" t="s">
        <v>721</v>
      </c>
      <c r="N54" s="689"/>
      <c r="O54" s="690" t="s">
        <v>56</v>
      </c>
    </row>
    <row r="55" ht="17.25" customHeight="1">
      <c r="B55" s="684" t="s">
        <v>843</v>
      </c>
      <c r="C55" s="792" t="s">
        <v>784</v>
      </c>
      <c r="D55" s="792" t="s">
        <v>16</v>
      </c>
      <c r="E55" s="800" t="str">
        <f>HYPERLINK("https://www.reddit.com/r/RMTK/comments/ds2nu7/w0047_rijksbegroting_2020_defensie_en/","Rijksbegroting 2020 - Defensie en Ontwikkelingssamenwerking")</f>
        <v>Rijksbegroting 2020 - Defensie en Ontwikkelingssamenwerking</v>
      </c>
      <c r="F55" s="687"/>
      <c r="G55" s="684" t="s">
        <v>119</v>
      </c>
      <c r="H55" s="738" t="s">
        <v>119</v>
      </c>
      <c r="I55" s="687"/>
      <c r="J55" s="690" t="s">
        <v>554</v>
      </c>
      <c r="K55" s="817" t="s">
        <v>554</v>
      </c>
      <c r="L55" s="687"/>
      <c r="M55" s="684" t="s">
        <v>721</v>
      </c>
      <c r="N55" s="689"/>
      <c r="O55" s="690" t="s">
        <v>56</v>
      </c>
    </row>
    <row r="56" ht="17.25" customHeight="1">
      <c r="B56" s="684" t="s">
        <v>844</v>
      </c>
      <c r="C56" s="749" t="s">
        <v>36</v>
      </c>
      <c r="D56" s="749" t="s">
        <v>118</v>
      </c>
      <c r="E56" s="800" t="str">
        <f>HYPERLINK("https://www.reddit.com/r/RMTK/comments/dskcsu/w0048_sanctiewet_republiek_turkije_turkse/","Sanctiewet Republiek Turkije &amp; Turkse Republiek Noord-Cyprus 2019")</f>
        <v>Sanctiewet Republiek Turkije &amp; Turkse Republiek Noord-Cyprus 2019</v>
      </c>
      <c r="F56" s="687"/>
      <c r="G56" s="748" t="str">
        <f>HYPERLINK("https://www.reddit.com/r/RMTK/comments/dtj67r/w0048i_amendement_sanctiewet_republiek_turkije/","A-1")</f>
        <v>A-1</v>
      </c>
      <c r="H56" s="738" t="s">
        <v>790</v>
      </c>
      <c r="I56" s="687"/>
      <c r="J56" s="690" t="s">
        <v>554</v>
      </c>
      <c r="K56" s="817" t="s">
        <v>554</v>
      </c>
      <c r="L56" s="687"/>
      <c r="M56" s="684" t="s">
        <v>566</v>
      </c>
      <c r="N56" s="689"/>
      <c r="O56" s="690" t="s">
        <v>56</v>
      </c>
    </row>
    <row r="57" ht="17.25" customHeight="1">
      <c r="E57" s="115"/>
      <c r="F57" s="687"/>
      <c r="G57" s="748" t="str">
        <f>HYPERLINK("https://www.reddit.com/r/RMTK/comments/dtjaf2/amendement_sanctiewet_republiek_turkije_turkse/","A-2")</f>
        <v>A-2</v>
      </c>
      <c r="H57" s="738" t="s">
        <v>787</v>
      </c>
      <c r="I57" s="687"/>
      <c r="K57" s="115"/>
      <c r="L57" s="687"/>
      <c r="N57" s="689"/>
    </row>
    <row r="58" ht="17.25" customHeight="1">
      <c r="B58" s="684" t="s">
        <v>845</v>
      </c>
      <c r="C58" s="739" t="s">
        <v>698</v>
      </c>
      <c r="D58" s="739" t="s">
        <v>123</v>
      </c>
      <c r="E58" s="800" t="str">
        <f>HYPERLINK("https://www.reddit.com/r/RMTK/comments/dvhfjp/w0049_wetswijziging_tot_toestaan_polyamorisch/","Wetswijziging tot toestaan polyamorisch huwelijk")</f>
        <v>Wetswijziging tot toestaan polyamorisch huwelijk</v>
      </c>
      <c r="F58" s="687"/>
      <c r="G58" s="684" t="s">
        <v>119</v>
      </c>
      <c r="H58" s="738" t="s">
        <v>119</v>
      </c>
      <c r="I58" s="687"/>
      <c r="J58" s="690" t="s">
        <v>554</v>
      </c>
      <c r="K58" s="690" t="s">
        <v>554</v>
      </c>
      <c r="L58" s="687"/>
      <c r="M58" s="684" t="s">
        <v>723</v>
      </c>
      <c r="N58" s="689"/>
      <c r="O58" s="690" t="s">
        <v>56</v>
      </c>
    </row>
    <row r="59" ht="17.25" customHeight="1">
      <c r="B59" s="684" t="s">
        <v>846</v>
      </c>
      <c r="C59" s="792" t="s">
        <v>784</v>
      </c>
      <c r="D59" s="792" t="s">
        <v>847</v>
      </c>
      <c r="E59" s="800" t="str">
        <f>HYPERLINK("reddit.com/r/RMTK/comments/dvxgay/w0050_intrekkingswetsvoorstel_wetswijzing/","Intrekkingswetsvoorstel Wetswijzing spoorwegenwet tot deprivatisering van de spoorwegen")</f>
        <v>Intrekkingswetsvoorstel Wetswijzing spoorwegenwet tot deprivatisering van de spoorwegen</v>
      </c>
      <c r="F59" s="687"/>
      <c r="G59" s="684" t="s">
        <v>119</v>
      </c>
      <c r="H59" s="738" t="s">
        <v>119</v>
      </c>
      <c r="I59" s="687"/>
      <c r="J59" s="690" t="s">
        <v>554</v>
      </c>
      <c r="K59" s="690" t="s">
        <v>554</v>
      </c>
      <c r="L59" s="687"/>
      <c r="M59" s="684" t="s">
        <v>728</v>
      </c>
      <c r="N59" s="689"/>
      <c r="O59" s="690" t="s">
        <v>56</v>
      </c>
    </row>
    <row r="60" ht="17.25" customHeight="1">
      <c r="B60" s="684" t="s">
        <v>848</v>
      </c>
      <c r="C60" s="700" t="s">
        <v>31</v>
      </c>
      <c r="D60" s="700" t="s">
        <v>32</v>
      </c>
      <c r="E60" s="803" t="str">
        <f>HYPERLINK("https://www.reddit.com/r/RMTK/comments/dwce3f/w0051_wijziging_van_de_grondwet_vanwege_het/","Wijziging van de Grondwet vanwege het opheffen van de vrijheid van onderwijs")</f>
        <v>Wijziging van de Grondwet vanwege het opheffen van de vrijheid van onderwijs</v>
      </c>
      <c r="F60" s="687"/>
      <c r="G60" s="684" t="s">
        <v>119</v>
      </c>
      <c r="H60" s="738" t="s">
        <v>119</v>
      </c>
      <c r="I60" s="687"/>
      <c r="J60" s="690" t="s">
        <v>557</v>
      </c>
      <c r="K60" s="817" t="s">
        <v>119</v>
      </c>
      <c r="L60" s="687"/>
      <c r="M60" s="684" t="s">
        <v>738</v>
      </c>
      <c r="N60" s="689"/>
      <c r="O60" s="690" t="s">
        <v>56</v>
      </c>
    </row>
    <row r="61" ht="17.25" customHeight="1">
      <c r="B61" s="684" t="s">
        <v>849</v>
      </c>
      <c r="C61" s="739" t="s">
        <v>698</v>
      </c>
      <c r="D61" s="739" t="s">
        <v>123</v>
      </c>
      <c r="E61" s="800" t="str">
        <f>HYPERLINK("https://www.reddit.com/r/RMTK/comments/dy8slq/w0052_wetswijziging_ter_afschaffing_van_de/","Wetswijziging ter afschaffing van de thuiskopieheffing")</f>
        <v>Wetswijziging ter afschaffing van de thuiskopieheffing</v>
      </c>
      <c r="F61" s="687"/>
      <c r="G61" s="684" t="s">
        <v>119</v>
      </c>
      <c r="H61" s="738" t="s">
        <v>119</v>
      </c>
      <c r="I61" s="687"/>
      <c r="J61" s="690" t="s">
        <v>554</v>
      </c>
      <c r="K61" s="817" t="s">
        <v>554</v>
      </c>
      <c r="L61" s="687"/>
      <c r="M61" s="684" t="s">
        <v>718</v>
      </c>
      <c r="N61" s="689"/>
      <c r="O61" s="690" t="s">
        <v>56</v>
      </c>
    </row>
    <row r="62" ht="17.25" customHeight="1">
      <c r="B62" s="684" t="s">
        <v>850</v>
      </c>
      <c r="C62" s="749" t="s">
        <v>36</v>
      </c>
      <c r="D62" s="749" t="s">
        <v>851</v>
      </c>
      <c r="E62" s="800" t="str">
        <f>hyperlink("https://www.reddit.com/r/RMTK/comments/dzl2ov/w0053_wet_bestrijding_friese_terreur/?","Wet bestrijding Friese terreur")</f>
        <v>Wet bestrijding Friese terreur</v>
      </c>
      <c r="F62" s="687"/>
      <c r="G62" s="684" t="s">
        <v>119</v>
      </c>
      <c r="H62" s="738" t="s">
        <v>119</v>
      </c>
      <c r="I62" s="687"/>
      <c r="J62" s="690" t="s">
        <v>557</v>
      </c>
      <c r="K62" s="817" t="s">
        <v>119</v>
      </c>
      <c r="L62" s="687"/>
      <c r="M62" s="684" t="s">
        <v>723</v>
      </c>
      <c r="N62" s="689"/>
      <c r="O62" s="690" t="s">
        <v>56</v>
      </c>
    </row>
    <row r="63" ht="7.5" customHeight="1">
      <c r="A63" s="706"/>
      <c r="B63" s="710"/>
      <c r="C63" s="707"/>
      <c r="D63" s="707"/>
      <c r="E63" s="798"/>
      <c r="F63" s="709"/>
      <c r="G63" s="710"/>
      <c r="H63" s="799"/>
      <c r="I63" s="709"/>
      <c r="J63" s="706"/>
      <c r="K63" s="709"/>
      <c r="L63" s="709"/>
      <c r="M63" s="710"/>
      <c r="N63" s="711"/>
      <c r="O63" s="706"/>
    </row>
    <row r="64" ht="17.25" customHeight="1">
      <c r="A64" s="683" t="s">
        <v>745</v>
      </c>
      <c r="B64" s="684" t="s">
        <v>852</v>
      </c>
      <c r="C64" s="792" t="s">
        <v>784</v>
      </c>
      <c r="D64" s="792" t="s">
        <v>123</v>
      </c>
      <c r="E64" s="818" t="str">
        <f>hyperlink("https://www.reddit.com/r/RMTK/comments/e5znmk/w0054_grondwetswijziging_ter/","Grondwetswijziging ter deconstitutionalisering van de benoeming van de commissaris van de Koning en de burgemeester")</f>
        <v>Grondwetswijziging ter deconstitutionalisering van de benoeming van de commissaris van de Koning en de burgemeester</v>
      </c>
      <c r="F64" s="687"/>
      <c r="G64" s="684" t="s">
        <v>119</v>
      </c>
      <c r="H64" s="738" t="s">
        <v>119</v>
      </c>
      <c r="I64" s="687"/>
      <c r="J64" s="690" t="s">
        <v>554</v>
      </c>
      <c r="K64" s="817" t="s">
        <v>554</v>
      </c>
      <c r="L64" s="687"/>
      <c r="M64" s="684" t="s">
        <v>559</v>
      </c>
      <c r="N64" s="689"/>
      <c r="O64" s="690" t="s">
        <v>56</v>
      </c>
    </row>
    <row r="65" ht="17.25" customHeight="1">
      <c r="B65" s="684" t="s">
        <v>853</v>
      </c>
      <c r="C65" s="792" t="s">
        <v>784</v>
      </c>
      <c r="D65" s="792" t="s">
        <v>123</v>
      </c>
      <c r="E65" s="819" t="str">
        <f>hyperlink("https://www.reddit.com/r/RMTK/comments/e6gw21/w0055_wetswijziging_tot_het_uitbreiden_van_de/","Wetswijziging tot het uitbreiden van de Toetsingscommissie Inzet Bevoegdheden en afdeling toezicht")</f>
        <v>Wetswijziging tot het uitbreiden van de Toetsingscommissie Inzet Bevoegdheden en afdeling toezicht</v>
      </c>
      <c r="F65" s="687"/>
      <c r="G65" s="684" t="s">
        <v>119</v>
      </c>
      <c r="H65" s="738" t="s">
        <v>119</v>
      </c>
      <c r="I65" s="687"/>
      <c r="J65" s="690" t="s">
        <v>554</v>
      </c>
      <c r="K65" s="817" t="s">
        <v>554</v>
      </c>
      <c r="L65" s="687"/>
      <c r="M65" s="684" t="s">
        <v>559</v>
      </c>
      <c r="N65" s="689"/>
      <c r="O65" s="690" t="s">
        <v>56</v>
      </c>
    </row>
    <row r="66" ht="17.25" customHeight="1">
      <c r="B66" s="684" t="s">
        <v>854</v>
      </c>
      <c r="C66" s="700" t="s">
        <v>31</v>
      </c>
      <c r="D66" s="700" t="s">
        <v>32</v>
      </c>
      <c r="E66" s="800" t="str">
        <f>HYPERLINK("https://www.reddit.com/r/RMTK/comments/e8pqs7/w0056_wijziging_van_de_algemene_ouderdomswet/","Wijziging van de Algemene Ouderdomswet vanwege het verlagen van de pensioenleeftijd naar 65 jaar")</f>
        <v>Wijziging van de Algemene Ouderdomswet vanwege het verlagen van de pensioenleeftijd naar 65 jaar</v>
      </c>
      <c r="F66" s="687"/>
      <c r="G66" s="684" t="s">
        <v>119</v>
      </c>
      <c r="H66" s="738" t="s">
        <v>119</v>
      </c>
      <c r="I66" s="687"/>
      <c r="J66" s="690" t="s">
        <v>557</v>
      </c>
      <c r="K66" s="817" t="s">
        <v>119</v>
      </c>
      <c r="L66" s="687"/>
      <c r="M66" s="684" t="s">
        <v>624</v>
      </c>
      <c r="N66" s="689"/>
      <c r="O66" s="690" t="s">
        <v>56</v>
      </c>
    </row>
    <row r="67" ht="17.25" customHeight="1">
      <c r="B67" s="684" t="s">
        <v>855</v>
      </c>
      <c r="C67" s="792" t="s">
        <v>784</v>
      </c>
      <c r="D67" s="792" t="s">
        <v>123</v>
      </c>
      <c r="E67" s="800" t="str">
        <f>HYPERLINK("https://www.reddit.com/r/RMTK/comments/ebeafj/w0057_wetsvoorstel_tot_oprichting_van_het/","Wetsvoorstel tot oprichting van het 'President Gunnz011 fund for Sexual Education, Abortion Rights and Woman Health'")</f>
        <v>Wetsvoorstel tot oprichting van het 'President Gunnz011 fund for Sexual Education, Abortion Rights and Woman Health'</v>
      </c>
      <c r="F67" s="687"/>
      <c r="G67" s="748" t="str">
        <f>HYPERLINK("https://www.reddit.com/r/RMTK/comments/eek1v9/w0057i_amendement_tot_wijziging_van_het/","A-1")</f>
        <v>A-1</v>
      </c>
      <c r="H67" s="738" t="s">
        <v>787</v>
      </c>
      <c r="I67" s="687"/>
      <c r="J67" s="690" t="s">
        <v>557</v>
      </c>
      <c r="K67" s="817" t="s">
        <v>119</v>
      </c>
      <c r="L67" s="687"/>
      <c r="M67" s="684" t="s">
        <v>566</v>
      </c>
      <c r="N67" s="689"/>
      <c r="O67" s="690" t="s">
        <v>56</v>
      </c>
    </row>
    <row r="68" ht="17.25" customHeight="1">
      <c r="B68" s="684" t="s">
        <v>856</v>
      </c>
      <c r="C68" s="792" t="s">
        <v>784</v>
      </c>
      <c r="D68" s="792" t="s">
        <v>155</v>
      </c>
      <c r="E68" s="800" t="str">
        <f>HYPERLINK("https://www.reddit.com/r/RMTK/comments/ecbver/w0058_wet_verkorting_uitkeringsduur_appa_2020/","Wet verkorting uitkeringsduur Appa 2020")</f>
        <v>Wet verkorting uitkeringsduur Appa 2020</v>
      </c>
      <c r="F68" s="687"/>
      <c r="G68" s="684" t="s">
        <v>119</v>
      </c>
      <c r="H68" s="738" t="s">
        <v>119</v>
      </c>
      <c r="I68" s="687"/>
      <c r="J68" s="690" t="s">
        <v>554</v>
      </c>
      <c r="K68" s="817" t="s">
        <v>554</v>
      </c>
      <c r="L68" s="687"/>
      <c r="M68" s="684" t="s">
        <v>723</v>
      </c>
      <c r="N68" s="689"/>
      <c r="O68" s="690" t="s">
        <v>56</v>
      </c>
    </row>
    <row r="69" ht="17.25" customHeight="1">
      <c r="B69" s="684" t="s">
        <v>857</v>
      </c>
      <c r="C69" s="749" t="s">
        <v>36</v>
      </c>
      <c r="D69" s="749" t="s">
        <v>118</v>
      </c>
      <c r="E69" s="800" t="str">
        <f>HYPERLINK("https://www.reddit.com/r/RMTK/comments/efm3vz/w0059_wetsvoorstel_tot_budgettaire_begroting/","Wetsvoorstel tot budgettaire begroting lancering en uitvoering Brik II satelliet")</f>
        <v>Wetsvoorstel tot budgettaire begroting lancering en uitvoering Brik II satelliet</v>
      </c>
      <c r="F69" s="687"/>
      <c r="G69" s="684" t="s">
        <v>119</v>
      </c>
      <c r="H69" s="738" t="s">
        <v>119</v>
      </c>
      <c r="I69" s="687"/>
      <c r="J69" s="690" t="s">
        <v>554</v>
      </c>
      <c r="K69" s="817" t="s">
        <v>554</v>
      </c>
      <c r="L69" s="687"/>
      <c r="M69" s="684" t="s">
        <v>595</v>
      </c>
      <c r="N69" s="689"/>
      <c r="O69" s="690" t="s">
        <v>56</v>
      </c>
    </row>
    <row r="70" ht="17.25" customHeight="1">
      <c r="B70" s="684" t="s">
        <v>858</v>
      </c>
      <c r="C70" s="792" t="s">
        <v>784</v>
      </c>
      <c r="D70" s="792" t="s">
        <v>123</v>
      </c>
      <c r="E70" s="800" t="str">
        <f>HYPERLINK("https://www.reddit.com/r/RMTK/comments/eixzg8/w0060_wetswijziging_tot_verhoging_algemene/","Wetswijziging tot verhoging algemene kinderbijslag en introductie grote gezinnentoeslag")</f>
        <v>Wetswijziging tot verhoging algemene kinderbijslag en introductie grote gezinnentoeslag</v>
      </c>
      <c r="F70" s="687"/>
      <c r="G70" s="684" t="s">
        <v>119</v>
      </c>
      <c r="H70" s="738" t="s">
        <v>119</v>
      </c>
      <c r="I70" s="687"/>
      <c r="J70" s="690" t="s">
        <v>554</v>
      </c>
      <c r="K70" s="817" t="s">
        <v>554</v>
      </c>
      <c r="L70" s="687"/>
      <c r="M70" s="684" t="s">
        <v>624</v>
      </c>
      <c r="N70" s="689"/>
      <c r="O70" s="690" t="s">
        <v>56</v>
      </c>
    </row>
    <row r="71" ht="17.25" customHeight="1">
      <c r="B71" s="684" t="s">
        <v>859</v>
      </c>
      <c r="C71" s="700" t="s">
        <v>31</v>
      </c>
      <c r="D71" s="700" t="s">
        <v>32</v>
      </c>
      <c r="E71" s="803" t="str">
        <f>HYPERLINK("https://www.reddit.com/r/RMTK/comments/em9c3k/w0061_rijkswet_afkondigings_en/","Rijkswetsvoorstel afkondigings- en kennisgevingsformulieren")</f>
        <v>Rijkswetsvoorstel afkondigings- en kennisgevingsformulieren</v>
      </c>
      <c r="F71" s="687"/>
      <c r="G71" s="684" t="s">
        <v>119</v>
      </c>
      <c r="H71" s="738" t="s">
        <v>119</v>
      </c>
      <c r="I71" s="687"/>
      <c r="J71" s="690" t="s">
        <v>554</v>
      </c>
      <c r="K71" s="817" t="s">
        <v>554</v>
      </c>
      <c r="L71" s="687"/>
      <c r="M71" s="684" t="s">
        <v>559</v>
      </c>
      <c r="N71" s="689"/>
      <c r="O71" s="690" t="s">
        <v>56</v>
      </c>
    </row>
    <row r="72" ht="17.25" customHeight="1">
      <c r="B72" s="684" t="s">
        <v>860</v>
      </c>
      <c r="C72" s="792" t="s">
        <v>784</v>
      </c>
      <c r="D72" s="792" t="s">
        <v>16</v>
      </c>
      <c r="E72" s="820" t="str">
        <f>HYPERLINK("https://www.reddit.com/r/RMTK/comments/eo3tv9/w0062_wet_tot_het_samenvoegen_van_de_rustwetten/","Wet tot het samenvoegen van de rustwetten en het implementeren van feestdagenlijsten")</f>
        <v>Wet tot het samenvoegen van de rustwetten en het implementeren van feestdagenlijsten</v>
      </c>
      <c r="F72" s="687"/>
      <c r="G72" s="684" t="s">
        <v>119</v>
      </c>
      <c r="H72" s="738" t="s">
        <v>119</v>
      </c>
      <c r="I72" s="687"/>
      <c r="J72" s="690" t="s">
        <v>554</v>
      </c>
      <c r="K72" s="817" t="s">
        <v>554</v>
      </c>
      <c r="L72" s="687"/>
      <c r="M72" s="684" t="s">
        <v>595</v>
      </c>
      <c r="N72" s="689"/>
      <c r="O72" s="690" t="s">
        <v>56</v>
      </c>
    </row>
    <row r="73" ht="17.25" customHeight="1">
      <c r="B73" s="684" t="s">
        <v>861</v>
      </c>
      <c r="C73" s="792" t="s">
        <v>784</v>
      </c>
      <c r="D73" s="792" t="s">
        <v>37</v>
      </c>
      <c r="E73" s="800" t="str">
        <f>HYPERLINK("https://www.reddit.com/r/RMTK/comments/eokzf9/w0063_wet_tot_oprichting_van_het/","Wet tot oprichting van het Stimuleringsfonds regionaal spoorvervoer")</f>
        <v>Wet tot oprichting van het Stimuleringsfonds regionaal spoorvervoer</v>
      </c>
      <c r="F73" s="687"/>
      <c r="G73" s="684" t="s">
        <v>119</v>
      </c>
      <c r="H73" s="738" t="s">
        <v>119</v>
      </c>
      <c r="I73" s="687"/>
      <c r="J73" s="690" t="s">
        <v>554</v>
      </c>
      <c r="K73" s="817" t="s">
        <v>554</v>
      </c>
      <c r="L73" s="687"/>
      <c r="M73" s="684" t="s">
        <v>741</v>
      </c>
      <c r="N73" s="689"/>
      <c r="O73" s="690" t="s">
        <v>56</v>
      </c>
    </row>
    <row r="74" ht="17.25" customHeight="1">
      <c r="B74" s="684" t="s">
        <v>862</v>
      </c>
      <c r="C74" s="821" t="s">
        <v>784</v>
      </c>
      <c r="D74" s="822" t="s">
        <v>123</v>
      </c>
      <c r="E74" s="800" t="str">
        <f>HYPERLINK("https://www.reddit.com/r/RMTK/comments/esssij/w0064_wet_gelijke_behandeling_op_grond_van/","Wet gelijke behandeling op grond van afkomst bij de arbeid")</f>
        <v>Wet gelijke behandeling op grond van afkomst bij de arbeid</v>
      </c>
      <c r="F74" s="687"/>
      <c r="G74" s="684" t="s">
        <v>119</v>
      </c>
      <c r="H74" s="738" t="s">
        <v>119</v>
      </c>
      <c r="I74" s="687"/>
      <c r="J74" s="690" t="s">
        <v>554</v>
      </c>
      <c r="K74" s="817" t="s">
        <v>554</v>
      </c>
      <c r="L74" s="687"/>
      <c r="M74" s="684" t="s">
        <v>624</v>
      </c>
      <c r="N74" s="689"/>
      <c r="O74" s="690" t="s">
        <v>56</v>
      </c>
    </row>
    <row r="75" ht="17.25" customHeight="1">
      <c r="B75" s="684" t="s">
        <v>863</v>
      </c>
      <c r="C75" s="821" t="s">
        <v>784</v>
      </c>
      <c r="D75" s="822" t="s">
        <v>25</v>
      </c>
      <c r="E75" s="800" t="str">
        <f>HYPERLINK("https://www.reddit.com/r/RMTK/comments/evvxqc/w0065_wetswijziging_drank_en_horecawet/","Wetswijziging Drank- en Horecawet")</f>
        <v>Wetswijziging Drank- en Horecawet</v>
      </c>
      <c r="F75" s="687"/>
      <c r="G75" s="684" t="s">
        <v>119</v>
      </c>
      <c r="H75" s="738" t="s">
        <v>119</v>
      </c>
      <c r="I75" s="687"/>
      <c r="J75" s="690" t="s">
        <v>557</v>
      </c>
      <c r="K75" s="817" t="s">
        <v>119</v>
      </c>
      <c r="L75" s="687"/>
      <c r="M75" s="684" t="s">
        <v>624</v>
      </c>
      <c r="N75" s="689"/>
      <c r="O75" s="690" t="s">
        <v>56</v>
      </c>
    </row>
    <row r="76" ht="17.25" customHeight="1">
      <c r="B76" s="684" t="s">
        <v>864</v>
      </c>
      <c r="C76" s="792" t="s">
        <v>784</v>
      </c>
      <c r="D76" s="792" t="s">
        <v>37</v>
      </c>
      <c r="E76" s="800" t="str">
        <f>HYPERLINK("https://www.reddit.com/r/RMTK/comments/ev5bje/w0066_wijziging_van_de_kernenergiewet_ter/","Wijziging van de Kernenergiewet ter voorkoming van sluiting kerncentrale Borssele")</f>
        <v>Wijziging van de Kernenergiewet ter voorkoming van sluiting kerncentrale Borssele</v>
      </c>
      <c r="F76" s="687"/>
      <c r="G76" s="684" t="s">
        <v>119</v>
      </c>
      <c r="H76" s="738" t="s">
        <v>119</v>
      </c>
      <c r="I76" s="687"/>
      <c r="J76" s="690" t="s">
        <v>557</v>
      </c>
      <c r="K76" s="817" t="s">
        <v>119</v>
      </c>
      <c r="L76" s="687"/>
      <c r="M76" s="684" t="s">
        <v>741</v>
      </c>
      <c r="N76" s="689"/>
      <c r="O76" s="690" t="s">
        <v>56</v>
      </c>
    </row>
    <row r="77" ht="17.25" customHeight="1">
      <c r="B77" s="684" t="s">
        <v>865</v>
      </c>
      <c r="C77" s="739" t="s">
        <v>698</v>
      </c>
      <c r="D77" s="739" t="s">
        <v>866</v>
      </c>
      <c r="E77" s="800" t="str">
        <f>HYPERLINK("https://www.reddit.com/r/RMTK/comments/ewnh2a/w0067_wetswijziging_afschaffing_verzwaarde/","Wetswijziging afschaffing verzwaarde strafbaarstelling belediging van een ambtenaar in functie")</f>
        <v>Wetswijziging afschaffing verzwaarde strafbaarstelling belediging van een ambtenaar in functie</v>
      </c>
      <c r="F77" s="687"/>
      <c r="G77" s="684" t="s">
        <v>119</v>
      </c>
      <c r="H77" s="738" t="s">
        <v>119</v>
      </c>
      <c r="I77" s="687"/>
      <c r="J77" s="690" t="s">
        <v>554</v>
      </c>
      <c r="K77" s="817" t="s">
        <v>554</v>
      </c>
      <c r="L77" s="687"/>
      <c r="M77" s="684" t="s">
        <v>723</v>
      </c>
      <c r="N77" s="689"/>
      <c r="O77" s="690" t="s">
        <v>56</v>
      </c>
    </row>
    <row r="78" ht="17.25" customHeight="1">
      <c r="B78" s="684" t="s">
        <v>867</v>
      </c>
      <c r="C78" s="792" t="s">
        <v>784</v>
      </c>
      <c r="D78" s="792" t="s">
        <v>16</v>
      </c>
      <c r="E78" s="800" t="str">
        <f>HYPERLINK("https://www.reddit.com/r/RMTK/comments/ey660k/w0068_wijziging_van_de_algemene_rustwet_voor_de/","Wijziging van de Algemene Rustwet voor de mogelijkheid om dagen toe te voegen waarop het tweede hoofdstuk van toepassing is")</f>
        <v>Wijziging van de Algemene Rustwet voor de mogelijkheid om dagen toe te voegen waarop het tweede hoofdstuk van toepassing is</v>
      </c>
      <c r="F78" s="687"/>
      <c r="G78" s="684" t="s">
        <v>119</v>
      </c>
      <c r="H78" s="738" t="s">
        <v>119</v>
      </c>
      <c r="I78" s="687"/>
      <c r="J78" s="690" t="s">
        <v>554</v>
      </c>
      <c r="K78" s="817" t="s">
        <v>554</v>
      </c>
      <c r="L78" s="687"/>
      <c r="M78" s="684" t="s">
        <v>595</v>
      </c>
      <c r="N78" s="689"/>
      <c r="O78" s="690" t="s">
        <v>56</v>
      </c>
    </row>
    <row r="79" ht="17.25" customHeight="1">
      <c r="B79" s="684" t="s">
        <v>868</v>
      </c>
      <c r="C79" s="792" t="s">
        <v>784</v>
      </c>
      <c r="D79" s="792" t="s">
        <v>16</v>
      </c>
      <c r="E79" s="800" t="str">
        <f>HYPERLINK("https://www.reddit.com/r/RMTK/comments/ewsp33/w0069_wetsvoorstel_tot_oprichting_alan/","Wetsvoorstel tot oprichting Alan Turingfonds voor Encryptie")</f>
        <v>Wetsvoorstel tot oprichting Alan Turingfonds voor Encryptie</v>
      </c>
      <c r="F79" s="687"/>
      <c r="G79" s="810" t="str">
        <f>HYPERLINK("https://www.reddit.com/r/RMTK/comments/f1hnca/w0069i_wetsvoorstel_tot_oprichting_van_het_alan/","A-1")</f>
        <v>A-1</v>
      </c>
      <c r="H79" s="816" t="s">
        <v>790</v>
      </c>
      <c r="I79" s="687"/>
      <c r="J79" s="690" t="s">
        <v>554</v>
      </c>
      <c r="K79" s="817" t="s">
        <v>554</v>
      </c>
      <c r="L79" s="687"/>
      <c r="M79" s="684" t="s">
        <v>595</v>
      </c>
      <c r="N79" s="689"/>
      <c r="O79" s="690" t="s">
        <v>56</v>
      </c>
    </row>
    <row r="80" ht="17.25" customHeight="1">
      <c r="B80" s="684" t="s">
        <v>869</v>
      </c>
      <c r="C80" s="713" t="s">
        <v>440</v>
      </c>
      <c r="D80" s="713" t="s">
        <v>116</v>
      </c>
      <c r="E80" s="800" t="str">
        <f>HYPERLINK("https://www.reddit.com/r/RMTK/comments/f58gig/w0070_voorstel_wet_derde_geslacht/","Voorstel wet derde geslacht")</f>
        <v>Voorstel wet derde geslacht</v>
      </c>
      <c r="F80" s="687"/>
      <c r="G80" s="684" t="s">
        <v>119</v>
      </c>
      <c r="H80" s="738" t="s">
        <v>119</v>
      </c>
      <c r="I80" s="687"/>
      <c r="J80" s="690" t="s">
        <v>554</v>
      </c>
      <c r="K80" s="817" t="s">
        <v>554</v>
      </c>
      <c r="L80" s="687"/>
      <c r="M80" s="684" t="s">
        <v>624</v>
      </c>
      <c r="N80" s="689"/>
      <c r="O80" s="690" t="s">
        <v>56</v>
      </c>
    </row>
    <row r="81" ht="17.25" customHeight="1">
      <c r="B81" s="684" t="s">
        <v>870</v>
      </c>
      <c r="C81" s="749" t="s">
        <v>36</v>
      </c>
      <c r="D81" s="749" t="s">
        <v>871</v>
      </c>
      <c r="E81" s="800" t="str">
        <f>HYPERLINK("https://www.reddit.com/r/RMTK/comments/f5rhvs/w0071_wet_op_de_kansspelen_2020/","Wet op de kansspelen 2020")</f>
        <v>Wet op de kansspelen 2020</v>
      </c>
      <c r="F81" s="687"/>
      <c r="G81" s="684" t="s">
        <v>119</v>
      </c>
      <c r="H81" s="738" t="s">
        <v>119</v>
      </c>
      <c r="I81" s="687"/>
      <c r="J81" s="690" t="s">
        <v>557</v>
      </c>
      <c r="K81" s="817" t="s">
        <v>119</v>
      </c>
      <c r="L81" s="687"/>
      <c r="M81" s="684" t="s">
        <v>595</v>
      </c>
      <c r="N81" s="689"/>
      <c r="O81" s="690" t="s">
        <v>56</v>
      </c>
    </row>
    <row r="82" ht="17.25" customHeight="1">
      <c r="B82" s="684" t="s">
        <v>872</v>
      </c>
      <c r="C82" s="821" t="s">
        <v>784</v>
      </c>
      <c r="D82" s="822" t="s">
        <v>123</v>
      </c>
      <c r="E82" s="800" t="str">
        <f>hyperlink("https://www.reddit.com/r/RMTK/comments/f71ubr/w0072_wet_tot_inkomensafhankelijke_regeling/","Wet tot inkomensafhankelijke regeling gratis bibliotheekvoorzieningen")</f>
        <v>Wet tot inkomensafhankelijke regeling gratis bibliotheekvoorzieningen</v>
      </c>
      <c r="F82" s="687"/>
      <c r="G82" s="748" t="str">
        <f>HYPERLINK("https://www.reddit.com/r/RMTK/comments/fd455m/w0072i_amendement_tot_wijziging_van_w0072_wet_tot/","A-1")</f>
        <v>A-1</v>
      </c>
      <c r="H82" s="738" t="s">
        <v>790</v>
      </c>
      <c r="I82" s="687"/>
      <c r="J82" s="690" t="s">
        <v>554</v>
      </c>
      <c r="K82" s="817" t="s">
        <v>554</v>
      </c>
      <c r="L82" s="687"/>
      <c r="M82" s="684" t="s">
        <v>593</v>
      </c>
      <c r="N82" s="689"/>
      <c r="O82" s="690" t="s">
        <v>56</v>
      </c>
    </row>
    <row r="83" ht="17.25" customHeight="1">
      <c r="B83" s="684" t="s">
        <v>873</v>
      </c>
      <c r="C83" s="725" t="s">
        <v>449</v>
      </c>
      <c r="D83" s="725" t="s">
        <v>154</v>
      </c>
      <c r="E83" s="800" t="str">
        <f>hyperlink("https://www.reddit.com/r/RMTK/comments/f9swuj/w0073_wet_tot_invoering_reinheitsgebot20/","Wet tot invoering Reinheitsgebot-2.0")</f>
        <v>Wet tot invoering Reinheitsgebot-2.0</v>
      </c>
      <c r="F83" s="687"/>
      <c r="G83" s="748" t="str">
        <f>HYPERLINK("https://www.reddit.com/r/RMTK/comments/fd455r/w0073i_amendement_tot_wijziging_van_het/","A-1")</f>
        <v>A-1</v>
      </c>
      <c r="H83" s="738" t="s">
        <v>787</v>
      </c>
      <c r="I83" s="687"/>
      <c r="J83" s="690" t="s">
        <v>554</v>
      </c>
      <c r="K83" s="817" t="s">
        <v>554</v>
      </c>
      <c r="L83" s="687"/>
      <c r="M83" s="684" t="s">
        <v>624</v>
      </c>
      <c r="N83" s="689"/>
      <c r="O83" s="690" t="s">
        <v>56</v>
      </c>
    </row>
    <row r="84" ht="17.25" customHeight="1">
      <c r="B84" s="684" t="s">
        <v>874</v>
      </c>
      <c r="C84" s="821" t="s">
        <v>784</v>
      </c>
      <c r="D84" s="822" t="s">
        <v>123</v>
      </c>
      <c r="E84" s="800" t="str">
        <f>HYPERLINK("https://www.reddit.com/r/RMTK/comments/fcbr2f/w0074_wet_tot_invoeren_van_een_verplichte/","Wet tot invoeren van een verplichte bedwelming voorafgaand aan de slacht")</f>
        <v>Wet tot invoeren van een verplichte bedwelming voorafgaand aan de slacht</v>
      </c>
      <c r="F84" s="687"/>
      <c r="G84" s="684" t="s">
        <v>119</v>
      </c>
      <c r="H84" s="738" t="s">
        <v>119</v>
      </c>
      <c r="I84" s="687"/>
      <c r="J84" s="690" t="s">
        <v>554</v>
      </c>
      <c r="K84" s="817" t="s">
        <v>554</v>
      </c>
      <c r="L84" s="687"/>
      <c r="M84" s="684" t="s">
        <v>741</v>
      </c>
      <c r="N84" s="689"/>
      <c r="O84" s="690" t="s">
        <v>56</v>
      </c>
    </row>
    <row r="85" ht="7.5" customHeight="1">
      <c r="A85" s="706"/>
      <c r="B85" s="710"/>
      <c r="C85" s="707"/>
      <c r="D85" s="707"/>
      <c r="E85" s="708"/>
      <c r="F85" s="709"/>
      <c r="G85" s="710"/>
      <c r="H85" s="706"/>
      <c r="I85" s="706"/>
      <c r="J85" s="711"/>
      <c r="K85" s="711"/>
      <c r="L85" s="711"/>
      <c r="M85" s="711"/>
      <c r="N85" s="711"/>
      <c r="O85" s="711"/>
    </row>
    <row r="86" ht="17.25" customHeight="1">
      <c r="A86" s="683" t="s">
        <v>767</v>
      </c>
      <c r="B86" s="684" t="s">
        <v>191</v>
      </c>
      <c r="C86" s="821" t="s">
        <v>784</v>
      </c>
      <c r="D86" s="792" t="s">
        <v>37</v>
      </c>
      <c r="E86" s="823" t="s">
        <v>193</v>
      </c>
      <c r="F86" s="687"/>
      <c r="G86" s="684" t="s">
        <v>119</v>
      </c>
      <c r="H86" s="738" t="s">
        <v>119</v>
      </c>
      <c r="I86" s="687"/>
      <c r="J86" s="690" t="s">
        <v>554</v>
      </c>
      <c r="K86" s="817" t="s">
        <v>554</v>
      </c>
      <c r="L86" s="687"/>
      <c r="M86" s="684" t="s">
        <v>595</v>
      </c>
      <c r="N86" s="689"/>
      <c r="O86" s="764"/>
    </row>
    <row r="87" ht="17.25" customHeight="1">
      <c r="B87" s="684" t="s">
        <v>172</v>
      </c>
      <c r="C87" s="824" t="s">
        <v>784</v>
      </c>
      <c r="D87" s="792" t="s">
        <v>16</v>
      </c>
      <c r="E87" s="823" t="s">
        <v>194</v>
      </c>
      <c r="F87" s="687"/>
      <c r="G87" s="795" t="str">
        <f>HYPERLINK("https://www.reddit.com/r/RMTK/comments/fz9q6d/w0076i_amendement_op_w0076_tot_volledige/","A-1")</f>
        <v>A-1</v>
      </c>
      <c r="H87" s="738" t="s">
        <v>787</v>
      </c>
      <c r="I87" s="687"/>
      <c r="J87" s="690" t="s">
        <v>554</v>
      </c>
      <c r="K87" s="817" t="s">
        <v>554</v>
      </c>
      <c r="L87" s="687"/>
      <c r="M87" s="684" t="s">
        <v>595</v>
      </c>
      <c r="N87" s="689"/>
      <c r="O87" s="764"/>
    </row>
    <row r="88" ht="17.25" customHeight="1">
      <c r="B88" s="684" t="s">
        <v>196</v>
      </c>
      <c r="C88" s="821" t="s">
        <v>784</v>
      </c>
      <c r="D88" s="792" t="s">
        <v>123</v>
      </c>
      <c r="E88" s="823" t="s">
        <v>197</v>
      </c>
      <c r="F88" s="687"/>
      <c r="G88" s="684" t="s">
        <v>119</v>
      </c>
      <c r="H88" s="738" t="s">
        <v>119</v>
      </c>
      <c r="I88" s="687"/>
      <c r="J88" s="690" t="s">
        <v>554</v>
      </c>
      <c r="K88" s="817" t="s">
        <v>554</v>
      </c>
      <c r="L88" s="687"/>
      <c r="M88" s="684" t="s">
        <v>624</v>
      </c>
      <c r="N88" s="689"/>
      <c r="O88" s="764"/>
    </row>
    <row r="89" ht="17.25" customHeight="1">
      <c r="B89" s="684" t="s">
        <v>205</v>
      </c>
      <c r="C89" s="821" t="s">
        <v>784</v>
      </c>
      <c r="D89" s="792" t="s">
        <v>123</v>
      </c>
      <c r="E89" s="823" t="s">
        <v>206</v>
      </c>
      <c r="F89" s="687"/>
      <c r="G89" s="684" t="s">
        <v>119</v>
      </c>
      <c r="H89" s="738" t="s">
        <v>119</v>
      </c>
      <c r="I89" s="687"/>
      <c r="J89" s="690" t="s">
        <v>554</v>
      </c>
      <c r="K89" s="817" t="s">
        <v>554</v>
      </c>
      <c r="L89" s="687"/>
      <c r="M89" s="684" t="s">
        <v>624</v>
      </c>
      <c r="N89" s="689"/>
      <c r="O89" s="764"/>
    </row>
    <row r="90" ht="17.25" customHeight="1">
      <c r="B90" s="684" t="s">
        <v>217</v>
      </c>
      <c r="C90" s="749" t="s">
        <v>36</v>
      </c>
      <c r="D90" s="749" t="s">
        <v>154</v>
      </c>
      <c r="E90" s="825" t="s">
        <v>218</v>
      </c>
      <c r="F90" s="687"/>
      <c r="G90" s="684" t="s">
        <v>119</v>
      </c>
      <c r="H90" s="738" t="s">
        <v>119</v>
      </c>
      <c r="I90" s="687"/>
      <c r="J90" s="690" t="s">
        <v>554</v>
      </c>
      <c r="K90" s="817" t="s">
        <v>557</v>
      </c>
      <c r="L90" s="687"/>
      <c r="M90" s="684" t="s">
        <v>624</v>
      </c>
      <c r="N90" s="689"/>
      <c r="O90" s="764"/>
    </row>
    <row r="91" ht="17.25" customHeight="1">
      <c r="B91" s="684" t="s">
        <v>224</v>
      </c>
      <c r="C91" s="749" t="s">
        <v>36</v>
      </c>
      <c r="D91" s="749" t="s">
        <v>153</v>
      </c>
      <c r="E91" s="823" t="s">
        <v>225</v>
      </c>
      <c r="F91" s="687"/>
      <c r="G91" s="684" t="s">
        <v>119</v>
      </c>
      <c r="H91" s="738" t="s">
        <v>119</v>
      </c>
      <c r="I91" s="687"/>
      <c r="J91" s="690" t="s">
        <v>557</v>
      </c>
      <c r="K91" s="817" t="s">
        <v>119</v>
      </c>
      <c r="L91" s="687"/>
      <c r="M91" s="684" t="s">
        <v>595</v>
      </c>
      <c r="N91" s="689"/>
      <c r="O91" s="764"/>
    </row>
    <row r="92" ht="17.25" customHeight="1">
      <c r="B92" s="684" t="s">
        <v>244</v>
      </c>
      <c r="C92" s="739" t="s">
        <v>24</v>
      </c>
      <c r="D92" s="739" t="s">
        <v>25</v>
      </c>
      <c r="E92" s="823" t="s">
        <v>245</v>
      </c>
      <c r="F92" s="687"/>
      <c r="G92" s="795" t="str">
        <f>HYPERLINK("https://www.reddit.com/r/RMTK/comments/g4o0o2/w0081i_amendement_tot_wijziging_van_de_wet_op/","A-1")</f>
        <v>A-1</v>
      </c>
      <c r="H92" s="738" t="s">
        <v>787</v>
      </c>
      <c r="I92" s="687"/>
      <c r="J92" s="690" t="s">
        <v>554</v>
      </c>
      <c r="K92" s="690" t="s">
        <v>554</v>
      </c>
      <c r="L92" s="687"/>
      <c r="M92" s="684" t="s">
        <v>593</v>
      </c>
      <c r="N92" s="689"/>
      <c r="O92" s="764"/>
    </row>
    <row r="93" ht="17.25" customHeight="1">
      <c r="B93" s="684" t="s">
        <v>249</v>
      </c>
      <c r="C93" s="824" t="s">
        <v>784</v>
      </c>
      <c r="D93" s="792" t="s">
        <v>16</v>
      </c>
      <c r="E93" s="826" t="str">
        <f>HYPERLINK("https://www.reddit.com/r/RMTK/comments/g10sdl/w0082_wet_btwverhoging_vleesproducten_en/","Wet BTW-verhoging vleesproducten en samenvoeging van de wet op de omzetbelasting 1968 en de wet btw-verlaging op ecologisch-verantwoorde goederen")</f>
        <v>Wet BTW-verhoging vleesproducten en samenvoeging van de wet op de omzetbelasting 1968 en de wet btw-verlaging op ecologisch-verantwoorde goederen</v>
      </c>
      <c r="F93" s="687"/>
      <c r="G93" s="684" t="s">
        <v>119</v>
      </c>
      <c r="H93" s="738" t="s">
        <v>119</v>
      </c>
      <c r="I93" s="687"/>
      <c r="J93" s="690" t="s">
        <v>557</v>
      </c>
      <c r="K93" s="817" t="s">
        <v>119</v>
      </c>
      <c r="L93" s="687"/>
      <c r="M93" s="684" t="s">
        <v>595</v>
      </c>
      <c r="N93" s="689"/>
      <c r="O93" s="764"/>
    </row>
    <row r="94" ht="17.25" customHeight="1">
      <c r="B94" s="684" t="s">
        <v>253</v>
      </c>
      <c r="C94" s="821" t="s">
        <v>784</v>
      </c>
      <c r="D94" s="792" t="s">
        <v>123</v>
      </c>
      <c r="E94" s="823" t="s">
        <v>254</v>
      </c>
      <c r="F94" s="687"/>
      <c r="G94" s="684" t="s">
        <v>119</v>
      </c>
      <c r="H94" s="738" t="s">
        <v>119</v>
      </c>
      <c r="I94" s="687"/>
      <c r="J94" s="690" t="s">
        <v>554</v>
      </c>
      <c r="K94" s="690" t="s">
        <v>554</v>
      </c>
      <c r="L94" s="687"/>
      <c r="M94" s="684" t="s">
        <v>723</v>
      </c>
      <c r="N94" s="689"/>
      <c r="O94" s="764"/>
    </row>
    <row r="95" ht="17.25" customHeight="1">
      <c r="B95" s="684" t="s">
        <v>257</v>
      </c>
      <c r="C95" s="739" t="s">
        <v>24</v>
      </c>
      <c r="D95" s="739" t="s">
        <v>25</v>
      </c>
      <c r="E95" s="823" t="s">
        <v>258</v>
      </c>
      <c r="F95" s="687"/>
      <c r="G95" s="795" t="str">
        <f>HYPERLINK("https://www.reddit.com/r/RMTK/comments/g4ud01/w0084i_amendement_tot_wijziging_van_de_vlootwet/","A-1")</f>
        <v>A-1</v>
      </c>
      <c r="H95" s="738" t="s">
        <v>790</v>
      </c>
      <c r="I95" s="687"/>
      <c r="J95" s="690" t="s">
        <v>557</v>
      </c>
      <c r="K95" s="817" t="s">
        <v>119</v>
      </c>
      <c r="L95" s="687"/>
      <c r="M95" s="684" t="s">
        <v>750</v>
      </c>
      <c r="N95" s="689"/>
      <c r="O95" s="764"/>
    </row>
    <row r="96" ht="17.25" customHeight="1">
      <c r="B96" s="684" t="s">
        <v>266</v>
      </c>
      <c r="C96" s="821" t="s">
        <v>784</v>
      </c>
      <c r="D96" s="792" t="s">
        <v>16</v>
      </c>
      <c r="E96" s="827" t="str">
        <f>HYPERLINK("https://www.reddit.com/r/RMTK/comments/g3jxay/w0085_wetswijziging_van_de_wet_op_de_kansspelen/","Wetswijziging van de Wet op de Kansspelen teneinde het invoeren van de verplichting om de consument te waarschuwen tijdens het aanbieden van kansspelen ")</f>
        <v>Wetswijziging van de Wet op de Kansspelen teneinde het invoeren van de verplichting om de consument te waarschuwen tijdens het aanbieden van kansspelen </v>
      </c>
      <c r="F96" s="687"/>
      <c r="G96" s="684" t="s">
        <v>119</v>
      </c>
      <c r="H96" s="738" t="s">
        <v>119</v>
      </c>
      <c r="I96" s="687"/>
      <c r="J96" s="690" t="s">
        <v>554</v>
      </c>
      <c r="K96" s="690" t="s">
        <v>554</v>
      </c>
      <c r="L96" s="687"/>
      <c r="M96" s="684" t="s">
        <v>595</v>
      </c>
      <c r="N96" s="689"/>
      <c r="O96" s="764"/>
    </row>
    <row r="97" ht="17.25" customHeight="1">
      <c r="B97" s="684" t="s">
        <v>277</v>
      </c>
      <c r="C97" s="821" t="s">
        <v>784</v>
      </c>
      <c r="D97" s="792" t="s">
        <v>116</v>
      </c>
      <c r="E97" s="823" t="s">
        <v>278</v>
      </c>
      <c r="F97" s="687"/>
      <c r="G97" s="684" t="s">
        <v>119</v>
      </c>
      <c r="H97" s="738" t="s">
        <v>119</v>
      </c>
      <c r="I97" s="687"/>
      <c r="J97" s="690" t="s">
        <v>554</v>
      </c>
      <c r="K97" s="690" t="s">
        <v>554</v>
      </c>
      <c r="L97" s="687"/>
      <c r="M97" s="684" t="s">
        <v>595</v>
      </c>
      <c r="N97" s="689"/>
      <c r="O97" s="764"/>
    </row>
    <row r="98" ht="17.25" customHeight="1">
      <c r="B98" s="684" t="s">
        <v>283</v>
      </c>
      <c r="C98" s="821" t="s">
        <v>784</v>
      </c>
      <c r="D98" s="792" t="s">
        <v>16</v>
      </c>
      <c r="E98" s="828" t="str">
        <f>HYPERLINK("https://www.reddit.com/r/RMTK/comments/g60qgw/w0087_wetswijziging_van_de_algemene_ouderdomswet/","Wetswijziging van de algemene ouderdomswet teneinde het geleidelijk verhogen van de pensioengerechtigde leeftijd en het leggen van grondslag voor een zware beroepenlijst ")</f>
        <v>Wetswijziging van de algemene ouderdomswet teneinde het geleidelijk verhogen van de pensioengerechtigde leeftijd en het leggen van grondslag voor een zware beroepenlijst </v>
      </c>
      <c r="F98" s="687"/>
      <c r="G98" s="684" t="s">
        <v>119</v>
      </c>
      <c r="H98" s="738" t="s">
        <v>119</v>
      </c>
      <c r="I98" s="687"/>
      <c r="J98" s="690" t="s">
        <v>554</v>
      </c>
      <c r="K98" s="690" t="s">
        <v>554</v>
      </c>
      <c r="L98" s="687"/>
      <c r="M98" s="684" t="s">
        <v>624</v>
      </c>
      <c r="N98" s="689"/>
      <c r="O98" s="764"/>
    </row>
    <row r="99" ht="17.25" customHeight="1">
      <c r="B99" s="684" t="s">
        <v>285</v>
      </c>
      <c r="C99" s="821" t="s">
        <v>784</v>
      </c>
      <c r="D99" s="792" t="s">
        <v>118</v>
      </c>
      <c r="E99" s="823" t="s">
        <v>286</v>
      </c>
      <c r="F99" s="687"/>
      <c r="G99" s="795" t="str">
        <f>HYPERLINK("https://www.reddit.com/r/RMTK/comments/gc4mq7/w088i_amendement_tot_wijziging_van_de/","A-1")</f>
        <v>A-1</v>
      </c>
      <c r="H99" s="829" t="s">
        <v>787</v>
      </c>
      <c r="I99" s="687"/>
      <c r="J99" s="690" t="s">
        <v>554</v>
      </c>
      <c r="K99" s="817" t="s">
        <v>771</v>
      </c>
      <c r="L99" s="687"/>
      <c r="M99" s="684" t="s">
        <v>593</v>
      </c>
      <c r="N99" s="689"/>
      <c r="O99" s="764"/>
    </row>
    <row r="100" ht="17.25" customHeight="1">
      <c r="B100" s="684" t="s">
        <v>298</v>
      </c>
      <c r="C100" s="749" t="s">
        <v>36</v>
      </c>
      <c r="D100" s="749" t="s">
        <v>299</v>
      </c>
      <c r="E100" s="823" t="s">
        <v>300</v>
      </c>
      <c r="F100" s="687"/>
      <c r="G100" s="830" t="s">
        <v>119</v>
      </c>
      <c r="H100" s="829" t="s">
        <v>119</v>
      </c>
      <c r="I100" s="687"/>
      <c r="J100" s="690" t="s">
        <v>554</v>
      </c>
      <c r="K100" s="817" t="s">
        <v>771</v>
      </c>
      <c r="L100" s="687"/>
      <c r="M100" s="684" t="s">
        <v>595</v>
      </c>
      <c r="N100" s="689"/>
      <c r="O100" s="764"/>
    </row>
    <row r="101" ht="17.25" customHeight="1">
      <c r="B101" s="684" t="s">
        <v>313</v>
      </c>
      <c r="C101" s="821" t="s">
        <v>784</v>
      </c>
      <c r="D101" s="792" t="s">
        <v>123</v>
      </c>
      <c r="E101" s="823" t="s">
        <v>314</v>
      </c>
      <c r="F101" s="687"/>
      <c r="G101" s="684" t="s">
        <v>119</v>
      </c>
      <c r="H101" s="738" t="s">
        <v>119</v>
      </c>
      <c r="I101" s="687"/>
      <c r="J101" s="690" t="s">
        <v>554</v>
      </c>
      <c r="K101" s="817" t="s">
        <v>554</v>
      </c>
      <c r="L101" s="687"/>
      <c r="M101" s="684" t="s">
        <v>723</v>
      </c>
      <c r="N101" s="689"/>
      <c r="O101" s="764"/>
    </row>
    <row r="102" ht="17.25" customHeight="1">
      <c r="B102" s="684" t="s">
        <v>89</v>
      </c>
      <c r="C102" s="821" t="s">
        <v>784</v>
      </c>
      <c r="D102" s="792" t="s">
        <v>123</v>
      </c>
      <c r="E102" s="823" t="s">
        <v>318</v>
      </c>
      <c r="F102" s="687"/>
      <c r="G102" s="684" t="s">
        <v>119</v>
      </c>
      <c r="H102" s="738" t="s">
        <v>119</v>
      </c>
      <c r="I102" s="687"/>
      <c r="J102" s="690" t="s">
        <v>771</v>
      </c>
      <c r="K102" s="817" t="s">
        <v>119</v>
      </c>
      <c r="L102" s="687"/>
      <c r="M102" s="684" t="s">
        <v>595</v>
      </c>
      <c r="N102" s="689"/>
      <c r="O102" s="764"/>
    </row>
    <row r="103" ht="17.25" customHeight="1">
      <c r="B103" s="684" t="s">
        <v>90</v>
      </c>
      <c r="C103" s="749" t="s">
        <v>36</v>
      </c>
      <c r="D103" s="749" t="s">
        <v>875</v>
      </c>
      <c r="E103" s="831" t="s">
        <v>319</v>
      </c>
      <c r="F103" s="687"/>
      <c r="G103" s="684" t="s">
        <v>119</v>
      </c>
      <c r="H103" s="684" t="s">
        <v>119</v>
      </c>
      <c r="I103" s="687"/>
      <c r="J103" s="690" t="s">
        <v>771</v>
      </c>
      <c r="K103" s="817" t="s">
        <v>119</v>
      </c>
      <c r="L103" s="687"/>
      <c r="M103" s="684" t="s">
        <v>723</v>
      </c>
      <c r="N103" s="689"/>
      <c r="O103" s="764"/>
    </row>
    <row r="104" ht="17.25" customHeight="1">
      <c r="B104" s="684" t="s">
        <v>91</v>
      </c>
      <c r="C104" s="749" t="s">
        <v>36</v>
      </c>
      <c r="D104" s="749" t="s">
        <v>155</v>
      </c>
      <c r="E104" s="832" t="s">
        <v>322</v>
      </c>
      <c r="F104" s="687"/>
      <c r="G104" s="684" t="s">
        <v>119</v>
      </c>
      <c r="H104" s="684" t="s">
        <v>119</v>
      </c>
      <c r="I104" s="687"/>
      <c r="J104" s="690" t="s">
        <v>771</v>
      </c>
      <c r="K104" s="817" t="s">
        <v>119</v>
      </c>
      <c r="L104" s="687"/>
      <c r="M104" s="684" t="s">
        <v>593</v>
      </c>
      <c r="N104" s="689"/>
      <c r="O104" s="764"/>
    </row>
    <row r="105" ht="17.25" customHeight="1">
      <c r="B105" s="684" t="s">
        <v>100</v>
      </c>
      <c r="C105" s="749" t="s">
        <v>36</v>
      </c>
      <c r="D105" s="749" t="s">
        <v>155</v>
      </c>
      <c r="E105" s="796" t="s">
        <v>326</v>
      </c>
      <c r="F105" s="687"/>
      <c r="G105" s="684" t="s">
        <v>119</v>
      </c>
      <c r="H105" s="684" t="s">
        <v>119</v>
      </c>
      <c r="I105" s="687"/>
      <c r="J105" s="690" t="s">
        <v>557</v>
      </c>
      <c r="K105" s="684" t="s">
        <v>119</v>
      </c>
      <c r="L105" s="687"/>
      <c r="M105" s="684" t="s">
        <v>723</v>
      </c>
      <c r="N105" s="689"/>
      <c r="O105" s="764"/>
    </row>
    <row r="106" ht="17.25" customHeight="1">
      <c r="B106" s="684" t="s">
        <v>101</v>
      </c>
      <c r="C106" s="821" t="s">
        <v>784</v>
      </c>
      <c r="D106" s="792" t="s">
        <v>123</v>
      </c>
      <c r="E106" s="823" t="s">
        <v>329</v>
      </c>
      <c r="F106" s="687"/>
      <c r="G106" s="684" t="s">
        <v>119</v>
      </c>
      <c r="H106" s="684" t="s">
        <v>119</v>
      </c>
      <c r="I106" s="687"/>
      <c r="J106" s="690" t="s">
        <v>554</v>
      </c>
      <c r="K106" s="817" t="s">
        <v>771</v>
      </c>
      <c r="L106" s="687"/>
      <c r="M106" s="684" t="s">
        <v>723</v>
      </c>
      <c r="N106" s="689"/>
      <c r="O106" s="764"/>
    </row>
    <row r="107" ht="17.25" customHeight="1">
      <c r="B107" s="684" t="s">
        <v>102</v>
      </c>
      <c r="C107" s="749" t="s">
        <v>36</v>
      </c>
      <c r="D107" s="749" t="s">
        <v>155</v>
      </c>
      <c r="E107" s="823" t="s">
        <v>340</v>
      </c>
      <c r="F107" s="687"/>
      <c r="G107" s="684" t="s">
        <v>119</v>
      </c>
      <c r="H107" s="684" t="s">
        <v>119</v>
      </c>
      <c r="I107" s="687"/>
      <c r="J107" s="690" t="s">
        <v>554</v>
      </c>
      <c r="K107" s="817" t="s">
        <v>771</v>
      </c>
      <c r="L107" s="687"/>
      <c r="M107" s="684" t="s">
        <v>723</v>
      </c>
      <c r="N107" s="689"/>
      <c r="O107" s="764"/>
    </row>
    <row r="108" ht="17.25" customHeight="1">
      <c r="B108" s="684" t="s">
        <v>341</v>
      </c>
      <c r="C108" s="821" t="s">
        <v>784</v>
      </c>
      <c r="D108" s="792" t="s">
        <v>123</v>
      </c>
      <c r="E108" s="823" t="s">
        <v>342</v>
      </c>
      <c r="F108" s="687"/>
      <c r="G108" s="684" t="s">
        <v>119</v>
      </c>
      <c r="H108" s="684" t="s">
        <v>119</v>
      </c>
      <c r="I108" s="687"/>
      <c r="J108" s="690" t="s">
        <v>771</v>
      </c>
      <c r="K108" s="684" t="s">
        <v>119</v>
      </c>
      <c r="L108" s="687"/>
      <c r="M108" s="684" t="s">
        <v>723</v>
      </c>
      <c r="N108" s="689"/>
      <c r="O108" s="764"/>
    </row>
    <row r="109" ht="17.25" customHeight="1">
      <c r="B109" s="684" t="s">
        <v>104</v>
      </c>
      <c r="C109" s="821" t="s">
        <v>784</v>
      </c>
      <c r="D109" s="792" t="s">
        <v>118</v>
      </c>
      <c r="E109" s="823" t="s">
        <v>349</v>
      </c>
      <c r="F109" s="687"/>
      <c r="G109" s="684" t="s">
        <v>119</v>
      </c>
      <c r="H109" s="684" t="s">
        <v>119</v>
      </c>
      <c r="I109" s="687"/>
      <c r="J109" s="690" t="s">
        <v>554</v>
      </c>
      <c r="K109" s="817" t="s">
        <v>771</v>
      </c>
      <c r="L109" s="687"/>
      <c r="M109" s="684" t="s">
        <v>593</v>
      </c>
      <c r="N109" s="689"/>
      <c r="O109" s="764"/>
    </row>
    <row r="110" ht="17.25" customHeight="1">
      <c r="B110" s="684" t="s">
        <v>361</v>
      </c>
      <c r="C110" s="821" t="s">
        <v>784</v>
      </c>
      <c r="D110" s="792" t="s">
        <v>118</v>
      </c>
      <c r="E110" s="823" t="s">
        <v>362</v>
      </c>
      <c r="F110" s="687"/>
      <c r="G110" s="684" t="s">
        <v>119</v>
      </c>
      <c r="H110" s="684" t="s">
        <v>119</v>
      </c>
      <c r="I110" s="687"/>
      <c r="J110" s="690" t="s">
        <v>771</v>
      </c>
      <c r="K110" s="684" t="s">
        <v>119</v>
      </c>
      <c r="L110" s="687"/>
      <c r="M110" s="684" t="s">
        <v>593</v>
      </c>
      <c r="N110" s="689"/>
      <c r="O110" s="764"/>
    </row>
    <row r="111" ht="17.25" customHeight="1">
      <c r="B111" s="684" t="s">
        <v>876</v>
      </c>
      <c r="C111" s="833" t="s">
        <v>784</v>
      </c>
      <c r="D111" s="822" t="s">
        <v>116</v>
      </c>
      <c r="E111" s="834" t="s">
        <v>385</v>
      </c>
      <c r="F111" s="687"/>
      <c r="G111" s="684" t="s">
        <v>119</v>
      </c>
      <c r="H111" s="684" t="s">
        <v>119</v>
      </c>
      <c r="I111" s="687"/>
      <c r="J111" s="690" t="s">
        <v>771</v>
      </c>
      <c r="K111" s="817" t="s">
        <v>119</v>
      </c>
      <c r="L111" s="687"/>
      <c r="M111" s="684" t="s">
        <v>559</v>
      </c>
      <c r="N111" s="689"/>
      <c r="O111" s="764"/>
    </row>
    <row r="112" ht="17.25" customHeight="1">
      <c r="B112" s="684" t="s">
        <v>380</v>
      </c>
      <c r="C112" s="700" t="s">
        <v>31</v>
      </c>
      <c r="D112" s="700" t="s">
        <v>32</v>
      </c>
      <c r="E112" s="823" t="s">
        <v>381</v>
      </c>
      <c r="F112" s="687"/>
      <c r="G112" s="684" t="s">
        <v>119</v>
      </c>
      <c r="H112" s="684" t="s">
        <v>119</v>
      </c>
      <c r="I112" s="687"/>
      <c r="J112" s="690" t="s">
        <v>771</v>
      </c>
      <c r="K112" s="817" t="s">
        <v>119</v>
      </c>
      <c r="L112" s="687"/>
      <c r="M112" s="684" t="s">
        <v>595</v>
      </c>
      <c r="N112" s="689"/>
      <c r="O112" s="764"/>
    </row>
    <row r="113" ht="17.25" customHeight="1">
      <c r="B113" s="684" t="s">
        <v>388</v>
      </c>
      <c r="C113" s="835" t="s">
        <v>43</v>
      </c>
      <c r="D113" s="835" t="s">
        <v>299</v>
      </c>
      <c r="E113" s="771" t="s">
        <v>389</v>
      </c>
      <c r="F113" s="687"/>
      <c r="G113" s="684" t="s">
        <v>119</v>
      </c>
      <c r="H113" s="684" t="s">
        <v>119</v>
      </c>
      <c r="I113" s="687"/>
      <c r="J113" s="690" t="s">
        <v>771</v>
      </c>
      <c r="K113" s="684" t="s">
        <v>119</v>
      </c>
      <c r="L113" s="687"/>
      <c r="M113" s="684" t="s">
        <v>595</v>
      </c>
      <c r="N113" s="689"/>
      <c r="O113" s="764"/>
    </row>
    <row r="114" ht="17.25" customHeight="1">
      <c r="B114" s="684" t="s">
        <v>105</v>
      </c>
      <c r="C114" s="821" t="s">
        <v>784</v>
      </c>
      <c r="D114" s="792" t="s">
        <v>16</v>
      </c>
      <c r="E114" s="823" t="s">
        <v>877</v>
      </c>
      <c r="F114" s="687"/>
      <c r="G114" s="836" t="s">
        <v>878</v>
      </c>
      <c r="H114" s="809" t="s">
        <v>879</v>
      </c>
      <c r="I114" s="687"/>
      <c r="J114" s="690" t="s">
        <v>880</v>
      </c>
      <c r="K114" s="684" t="s">
        <v>119</v>
      </c>
      <c r="L114" s="687"/>
      <c r="M114" s="684" t="s">
        <v>559</v>
      </c>
      <c r="N114" s="689"/>
      <c r="O114" s="764"/>
    </row>
    <row r="115" ht="17.25" customHeight="1">
      <c r="B115" s="684" t="s">
        <v>418</v>
      </c>
      <c r="C115" s="821" t="s">
        <v>784</v>
      </c>
      <c r="D115" s="792" t="s">
        <v>16</v>
      </c>
      <c r="E115" s="837" t="s">
        <v>351</v>
      </c>
      <c r="F115" s="687"/>
      <c r="G115" s="684" t="s">
        <v>119</v>
      </c>
      <c r="H115" s="684" t="s">
        <v>119</v>
      </c>
      <c r="I115" s="687"/>
      <c r="J115" s="690" t="s">
        <v>771</v>
      </c>
      <c r="K115" s="684" t="s">
        <v>119</v>
      </c>
      <c r="L115" s="687"/>
      <c r="M115" s="684" t="s">
        <v>559</v>
      </c>
      <c r="N115" s="689"/>
    </row>
    <row r="116" ht="17.25" customHeight="1">
      <c r="B116" s="684" t="s">
        <v>423</v>
      </c>
      <c r="C116" s="749" t="s">
        <v>36</v>
      </c>
      <c r="D116" s="749" t="s">
        <v>155</v>
      </c>
      <c r="E116" s="837" t="s">
        <v>424</v>
      </c>
      <c r="F116" s="687"/>
      <c r="G116" s="684" t="s">
        <v>119</v>
      </c>
      <c r="H116" s="684" t="s">
        <v>119</v>
      </c>
      <c r="I116" s="687"/>
      <c r="J116" s="690" t="s">
        <v>771</v>
      </c>
      <c r="K116" s="684" t="s">
        <v>119</v>
      </c>
      <c r="L116" s="687"/>
      <c r="M116" s="684" t="s">
        <v>624</v>
      </c>
      <c r="N116" s="689"/>
      <c r="O116" s="774" t="s">
        <v>881</v>
      </c>
    </row>
    <row r="117" ht="17.25" customHeight="1">
      <c r="A117" s="764"/>
      <c r="B117" s="775"/>
      <c r="C117" s="764"/>
      <c r="D117" s="764"/>
      <c r="F117" s="687"/>
      <c r="G117" s="775"/>
      <c r="H117" s="777"/>
      <c r="I117" s="687"/>
      <c r="J117" s="764"/>
      <c r="K117" s="838"/>
      <c r="L117" s="687"/>
      <c r="M117" s="775"/>
      <c r="N117" s="689"/>
      <c r="O117" s="764"/>
    </row>
    <row r="118" ht="17.25" customHeight="1">
      <c r="A118" s="764"/>
      <c r="B118" s="775"/>
      <c r="C118" s="764"/>
      <c r="D118" s="764"/>
      <c r="E118" s="839"/>
      <c r="F118" s="687"/>
      <c r="G118" s="775"/>
      <c r="H118" s="777"/>
      <c r="I118" s="687"/>
      <c r="J118" s="764"/>
      <c r="K118" s="838"/>
      <c r="L118" s="687"/>
      <c r="M118" s="775"/>
      <c r="N118" s="689"/>
      <c r="O118" s="764"/>
    </row>
    <row r="119" ht="17.25" customHeight="1">
      <c r="A119" s="764"/>
      <c r="B119" s="775"/>
      <c r="C119" s="764"/>
      <c r="D119" s="764"/>
      <c r="E119" s="839"/>
      <c r="F119" s="687"/>
      <c r="G119" s="775"/>
      <c r="H119" s="777"/>
      <c r="I119" s="687"/>
      <c r="J119" s="764"/>
      <c r="K119" s="838"/>
      <c r="L119" s="687"/>
      <c r="M119" s="775"/>
      <c r="N119" s="689"/>
      <c r="O119" s="764"/>
    </row>
    <row r="120" ht="17.25" customHeight="1">
      <c r="A120" s="764"/>
      <c r="B120" s="775"/>
      <c r="C120" s="764"/>
      <c r="D120" s="764"/>
      <c r="E120" s="839"/>
      <c r="F120" s="687"/>
      <c r="G120" s="775"/>
      <c r="H120" s="777"/>
      <c r="I120" s="687"/>
      <c r="J120" s="764"/>
      <c r="K120" s="838"/>
      <c r="L120" s="687"/>
      <c r="M120" s="775"/>
      <c r="N120" s="689"/>
      <c r="O120" s="764"/>
    </row>
    <row r="121" ht="17.25" customHeight="1">
      <c r="A121" s="764"/>
      <c r="B121" s="775"/>
      <c r="C121" s="764"/>
      <c r="D121" s="764"/>
      <c r="E121" s="839"/>
      <c r="F121" s="687"/>
      <c r="G121" s="775"/>
      <c r="H121" s="777"/>
      <c r="I121" s="687"/>
      <c r="J121" s="764"/>
      <c r="K121" s="838"/>
      <c r="L121" s="687"/>
      <c r="M121" s="775"/>
      <c r="N121" s="689"/>
      <c r="O121" s="764"/>
    </row>
    <row r="122" ht="17.25" customHeight="1">
      <c r="A122" s="764"/>
      <c r="B122" s="775"/>
      <c r="C122" s="764"/>
      <c r="D122" s="764"/>
      <c r="E122" s="839"/>
      <c r="F122" s="687"/>
      <c r="G122" s="775"/>
      <c r="H122" s="777"/>
      <c r="I122" s="687"/>
      <c r="J122" s="764"/>
      <c r="K122" s="838"/>
      <c r="L122" s="687"/>
      <c r="M122" s="775"/>
      <c r="N122" s="689"/>
      <c r="O122" s="764"/>
    </row>
    <row r="123" ht="17.25" customHeight="1">
      <c r="A123" s="764"/>
      <c r="B123" s="775"/>
      <c r="C123" s="764"/>
      <c r="D123" s="764"/>
      <c r="E123" s="839"/>
      <c r="F123" s="687"/>
      <c r="G123" s="775"/>
      <c r="H123" s="777"/>
      <c r="I123" s="687"/>
      <c r="J123" s="764"/>
      <c r="K123" s="838"/>
      <c r="L123" s="687"/>
      <c r="M123" s="775"/>
      <c r="N123" s="689"/>
      <c r="O123" s="764"/>
    </row>
    <row r="124" ht="17.25" customHeight="1">
      <c r="A124" s="764"/>
      <c r="B124" s="775"/>
      <c r="C124" s="764"/>
      <c r="D124" s="764"/>
      <c r="E124" s="839"/>
      <c r="F124" s="687"/>
      <c r="G124" s="775"/>
      <c r="H124" s="777"/>
      <c r="I124" s="687"/>
      <c r="J124" s="764"/>
      <c r="K124" s="838"/>
      <c r="L124" s="687"/>
      <c r="M124" s="775"/>
      <c r="N124" s="689"/>
      <c r="O124" s="764"/>
    </row>
    <row r="125" ht="17.25" customHeight="1">
      <c r="A125" s="764"/>
      <c r="B125" s="775"/>
      <c r="C125" s="764"/>
      <c r="D125" s="764"/>
      <c r="E125" s="839"/>
      <c r="F125" s="687"/>
      <c r="G125" s="775"/>
      <c r="H125" s="777"/>
      <c r="I125" s="687"/>
      <c r="J125" s="764"/>
      <c r="K125" s="838"/>
      <c r="L125" s="687"/>
      <c r="M125" s="775"/>
      <c r="N125" s="689"/>
      <c r="O125" s="764"/>
    </row>
    <row r="126" ht="17.25" customHeight="1">
      <c r="A126" s="764"/>
      <c r="B126" s="775"/>
      <c r="C126" s="764"/>
      <c r="D126" s="764"/>
      <c r="E126" s="839"/>
      <c r="F126" s="687"/>
      <c r="G126" s="775"/>
      <c r="H126" s="777"/>
      <c r="I126" s="687"/>
      <c r="J126" s="764"/>
      <c r="K126" s="838"/>
      <c r="L126" s="687"/>
      <c r="M126" s="775"/>
      <c r="N126" s="689"/>
      <c r="O126" s="764"/>
    </row>
    <row r="127" ht="17.25" customHeight="1">
      <c r="A127" s="764"/>
      <c r="B127" s="775"/>
      <c r="C127" s="764"/>
      <c r="D127" s="764"/>
      <c r="E127" s="839"/>
      <c r="F127" s="687"/>
      <c r="G127" s="775"/>
      <c r="H127" s="777"/>
      <c r="I127" s="687"/>
      <c r="J127" s="764"/>
      <c r="K127" s="838"/>
      <c r="L127" s="687"/>
      <c r="M127" s="775"/>
      <c r="N127" s="689"/>
      <c r="O127" s="764"/>
    </row>
    <row r="128" ht="17.25" customHeight="1">
      <c r="A128" s="764"/>
      <c r="B128" s="775"/>
      <c r="C128" s="764"/>
      <c r="D128" s="764"/>
      <c r="E128" s="839"/>
      <c r="F128" s="687"/>
      <c r="G128" s="775"/>
      <c r="H128" s="777"/>
      <c r="I128" s="687"/>
      <c r="J128" s="764"/>
      <c r="K128" s="838"/>
      <c r="L128" s="687"/>
      <c r="M128" s="775"/>
      <c r="N128" s="689"/>
      <c r="O128" s="764"/>
    </row>
    <row r="129" ht="17.25" customHeight="1">
      <c r="A129" s="764"/>
      <c r="B129" s="775"/>
      <c r="C129" s="764"/>
      <c r="D129" s="764"/>
      <c r="E129" s="839"/>
      <c r="F129" s="687"/>
      <c r="G129" s="775"/>
      <c r="H129" s="777"/>
      <c r="I129" s="687"/>
      <c r="J129" s="764"/>
      <c r="K129" s="838"/>
      <c r="L129" s="687"/>
      <c r="M129" s="775"/>
      <c r="N129" s="689"/>
      <c r="O129" s="764"/>
    </row>
    <row r="130" ht="17.25" customHeight="1">
      <c r="A130" s="764"/>
      <c r="B130" s="775"/>
      <c r="C130" s="764"/>
      <c r="D130" s="764"/>
      <c r="E130" s="839"/>
      <c r="F130" s="687"/>
      <c r="G130" s="775"/>
      <c r="H130" s="777"/>
      <c r="I130" s="687"/>
      <c r="J130" s="764"/>
      <c r="K130" s="838"/>
      <c r="L130" s="687"/>
      <c r="M130" s="775"/>
      <c r="N130" s="689"/>
      <c r="O130" s="764"/>
    </row>
    <row r="131" ht="17.25" customHeight="1">
      <c r="A131" s="764"/>
      <c r="B131" s="775"/>
      <c r="C131" s="764"/>
      <c r="D131" s="764"/>
      <c r="E131" s="839"/>
      <c r="F131" s="687"/>
      <c r="G131" s="775"/>
      <c r="H131" s="777"/>
      <c r="I131" s="687"/>
      <c r="J131" s="764"/>
      <c r="K131" s="838"/>
      <c r="L131" s="687"/>
      <c r="M131" s="775"/>
      <c r="N131" s="689"/>
      <c r="O131" s="764"/>
    </row>
    <row r="132" ht="17.25" customHeight="1">
      <c r="A132" s="764"/>
      <c r="B132" s="775"/>
      <c r="C132" s="764"/>
      <c r="D132" s="764"/>
      <c r="E132" s="839"/>
      <c r="F132" s="687"/>
      <c r="G132" s="775"/>
      <c r="H132" s="777"/>
      <c r="I132" s="687"/>
      <c r="J132" s="764"/>
      <c r="K132" s="838"/>
      <c r="L132" s="687"/>
      <c r="M132" s="775"/>
      <c r="N132" s="689"/>
      <c r="O132" s="764"/>
    </row>
    <row r="133" ht="17.25" customHeight="1">
      <c r="A133" s="764"/>
      <c r="B133" s="775"/>
      <c r="C133" s="764"/>
      <c r="D133" s="764"/>
      <c r="E133" s="839"/>
      <c r="F133" s="687"/>
      <c r="G133" s="775"/>
      <c r="H133" s="777"/>
      <c r="I133" s="687"/>
      <c r="J133" s="764"/>
      <c r="K133" s="838"/>
      <c r="L133" s="687"/>
      <c r="M133" s="775"/>
      <c r="N133" s="689"/>
      <c r="O133" s="764"/>
    </row>
    <row r="134" ht="17.25" customHeight="1">
      <c r="A134" s="764"/>
      <c r="B134" s="775"/>
      <c r="C134" s="764"/>
      <c r="D134" s="764"/>
      <c r="E134" s="839"/>
      <c r="F134" s="687"/>
      <c r="G134" s="775"/>
      <c r="H134" s="777"/>
      <c r="I134" s="687"/>
      <c r="J134" s="764"/>
      <c r="K134" s="838"/>
      <c r="L134" s="687"/>
      <c r="M134" s="775"/>
      <c r="N134" s="689"/>
      <c r="O134" s="764"/>
    </row>
    <row r="135" ht="17.25" customHeight="1">
      <c r="A135" s="764"/>
      <c r="B135" s="775"/>
      <c r="C135" s="764"/>
      <c r="D135" s="764"/>
      <c r="E135" s="839"/>
      <c r="F135" s="687"/>
      <c r="G135" s="775"/>
      <c r="H135" s="777"/>
      <c r="I135" s="687"/>
      <c r="J135" s="764"/>
      <c r="K135" s="838"/>
      <c r="L135" s="687"/>
      <c r="M135" s="775"/>
      <c r="N135" s="689"/>
      <c r="O135" s="764"/>
    </row>
    <row r="136" ht="17.25" customHeight="1">
      <c r="A136" s="764"/>
      <c r="B136" s="775"/>
      <c r="C136" s="764"/>
      <c r="D136" s="764"/>
      <c r="E136" s="839"/>
      <c r="F136" s="687"/>
      <c r="G136" s="775"/>
      <c r="H136" s="777"/>
      <c r="I136" s="687"/>
      <c r="J136" s="764"/>
      <c r="K136" s="838"/>
      <c r="L136" s="687"/>
      <c r="M136" s="775"/>
      <c r="N136" s="689"/>
      <c r="O136" s="764"/>
    </row>
    <row r="137" ht="17.25" customHeight="1">
      <c r="A137" s="764"/>
      <c r="B137" s="775"/>
      <c r="C137" s="764"/>
      <c r="D137" s="764"/>
      <c r="E137" s="839"/>
      <c r="F137" s="687"/>
      <c r="G137" s="775"/>
      <c r="H137" s="777"/>
      <c r="I137" s="687"/>
      <c r="J137" s="764"/>
      <c r="K137" s="838"/>
      <c r="L137" s="687"/>
      <c r="M137" s="775"/>
      <c r="N137" s="689"/>
      <c r="O137" s="764"/>
    </row>
    <row r="138" ht="17.25" customHeight="1">
      <c r="A138" s="764"/>
      <c r="B138" s="775"/>
      <c r="C138" s="764"/>
      <c r="D138" s="764"/>
      <c r="E138" s="839"/>
      <c r="F138" s="687"/>
      <c r="G138" s="775"/>
      <c r="H138" s="777"/>
      <c r="I138" s="687"/>
      <c r="J138" s="764"/>
      <c r="K138" s="838"/>
      <c r="L138" s="687"/>
      <c r="M138" s="775"/>
      <c r="N138" s="689"/>
      <c r="O138" s="764"/>
    </row>
    <row r="139" ht="17.25" customHeight="1">
      <c r="A139" s="764"/>
      <c r="B139" s="775"/>
      <c r="C139" s="764"/>
      <c r="D139" s="764"/>
      <c r="E139" s="839"/>
      <c r="F139" s="687"/>
      <c r="G139" s="775"/>
      <c r="H139" s="777"/>
      <c r="I139" s="687"/>
      <c r="J139" s="764"/>
      <c r="K139" s="838"/>
      <c r="L139" s="687"/>
      <c r="M139" s="775"/>
      <c r="N139" s="689"/>
      <c r="O139" s="764"/>
    </row>
    <row r="140" ht="17.25" customHeight="1">
      <c r="A140" s="764"/>
      <c r="B140" s="775"/>
      <c r="C140" s="764"/>
      <c r="D140" s="764"/>
      <c r="E140" s="839"/>
      <c r="F140" s="687"/>
      <c r="G140" s="775"/>
      <c r="H140" s="777"/>
      <c r="I140" s="687"/>
      <c r="J140" s="764"/>
      <c r="K140" s="838"/>
      <c r="L140" s="687"/>
      <c r="M140" s="775"/>
      <c r="N140" s="689"/>
      <c r="O140" s="764"/>
    </row>
    <row r="141" ht="17.25" customHeight="1">
      <c r="A141" s="764"/>
      <c r="B141" s="775"/>
      <c r="C141" s="764"/>
      <c r="D141" s="764"/>
      <c r="E141" s="839"/>
      <c r="F141" s="687"/>
      <c r="G141" s="775"/>
      <c r="H141" s="777"/>
      <c r="I141" s="687"/>
      <c r="J141" s="764"/>
      <c r="K141" s="838"/>
      <c r="L141" s="687"/>
      <c r="M141" s="775"/>
      <c r="N141" s="689"/>
      <c r="O141" s="764"/>
    </row>
    <row r="142" ht="17.25" customHeight="1">
      <c r="A142" s="764"/>
      <c r="B142" s="775"/>
      <c r="C142" s="764"/>
      <c r="D142" s="764"/>
      <c r="E142" s="839"/>
      <c r="F142" s="687"/>
      <c r="G142" s="775"/>
      <c r="H142" s="777"/>
      <c r="I142" s="687"/>
      <c r="J142" s="764"/>
      <c r="K142" s="838"/>
      <c r="L142" s="687"/>
      <c r="M142" s="775"/>
      <c r="N142" s="689"/>
      <c r="O142" s="764"/>
    </row>
    <row r="143" ht="17.25" customHeight="1">
      <c r="A143" s="764"/>
      <c r="B143" s="775"/>
      <c r="C143" s="764"/>
      <c r="D143" s="764"/>
      <c r="E143" s="839"/>
      <c r="F143" s="687"/>
      <c r="G143" s="775"/>
      <c r="H143" s="777"/>
      <c r="I143" s="687"/>
      <c r="J143" s="764"/>
      <c r="K143" s="838"/>
      <c r="L143" s="687"/>
      <c r="M143" s="775"/>
      <c r="N143" s="689"/>
      <c r="O143" s="764"/>
    </row>
    <row r="144" ht="17.25" customHeight="1">
      <c r="A144" s="764"/>
      <c r="B144" s="775"/>
      <c r="C144" s="764"/>
      <c r="D144" s="764"/>
      <c r="E144" s="839"/>
      <c r="F144" s="687"/>
      <c r="G144" s="775"/>
      <c r="H144" s="777"/>
      <c r="I144" s="687"/>
      <c r="J144" s="764"/>
      <c r="K144" s="838"/>
      <c r="L144" s="687"/>
      <c r="M144" s="775"/>
      <c r="N144" s="689"/>
      <c r="O144" s="764"/>
    </row>
    <row r="145" ht="17.25" customHeight="1">
      <c r="A145" s="764"/>
      <c r="B145" s="775"/>
      <c r="C145" s="764"/>
      <c r="D145" s="764"/>
      <c r="E145" s="839"/>
      <c r="F145" s="687"/>
      <c r="G145" s="775"/>
      <c r="H145" s="777"/>
      <c r="I145" s="687"/>
      <c r="J145" s="764"/>
      <c r="K145" s="838"/>
      <c r="L145" s="687"/>
      <c r="M145" s="775"/>
      <c r="N145" s="689"/>
      <c r="O145" s="764"/>
    </row>
    <row r="146" ht="17.25" customHeight="1">
      <c r="A146" s="764"/>
      <c r="B146" s="775"/>
      <c r="C146" s="764"/>
      <c r="D146" s="764"/>
      <c r="E146" s="839"/>
      <c r="F146" s="687"/>
      <c r="G146" s="775"/>
      <c r="H146" s="777"/>
      <c r="I146" s="687"/>
      <c r="J146" s="764"/>
      <c r="K146" s="838"/>
      <c r="L146" s="687"/>
      <c r="M146" s="775"/>
      <c r="N146" s="689"/>
      <c r="O146" s="764"/>
    </row>
    <row r="147" ht="17.25" customHeight="1">
      <c r="A147" s="764"/>
      <c r="B147" s="775"/>
      <c r="C147" s="764"/>
      <c r="D147" s="764"/>
      <c r="E147" s="839"/>
      <c r="F147" s="687"/>
      <c r="G147" s="775"/>
      <c r="H147" s="777"/>
      <c r="I147" s="687"/>
      <c r="J147" s="764"/>
      <c r="K147" s="838"/>
      <c r="L147" s="687"/>
      <c r="M147" s="775"/>
      <c r="N147" s="689"/>
      <c r="O147" s="764"/>
    </row>
    <row r="148" ht="17.25" customHeight="1">
      <c r="A148" s="764"/>
      <c r="B148" s="775"/>
      <c r="C148" s="764"/>
      <c r="D148" s="764"/>
      <c r="E148" s="839"/>
      <c r="F148" s="687"/>
      <c r="G148" s="775"/>
      <c r="H148" s="777"/>
      <c r="I148" s="687"/>
      <c r="J148" s="764"/>
      <c r="K148" s="838"/>
      <c r="L148" s="687"/>
      <c r="M148" s="775"/>
      <c r="N148" s="689"/>
      <c r="O148" s="764"/>
    </row>
    <row r="149" ht="17.25" customHeight="1">
      <c r="A149" s="764"/>
      <c r="B149" s="775"/>
      <c r="C149" s="764"/>
      <c r="D149" s="764"/>
      <c r="E149" s="839"/>
      <c r="F149" s="687"/>
      <c r="G149" s="775"/>
      <c r="H149" s="777"/>
      <c r="I149" s="687"/>
      <c r="J149" s="764"/>
      <c r="K149" s="838"/>
      <c r="L149" s="687"/>
      <c r="M149" s="775"/>
      <c r="N149" s="689"/>
      <c r="O149" s="764"/>
    </row>
    <row r="150" ht="17.25" customHeight="1">
      <c r="A150" s="764"/>
      <c r="B150" s="775"/>
      <c r="C150" s="764"/>
      <c r="D150" s="764"/>
      <c r="E150" s="839"/>
      <c r="F150" s="687"/>
      <c r="G150" s="775"/>
      <c r="H150" s="777"/>
      <c r="I150" s="687"/>
      <c r="J150" s="764"/>
      <c r="K150" s="838"/>
      <c r="L150" s="687"/>
      <c r="M150" s="775"/>
      <c r="N150" s="689"/>
      <c r="O150" s="764"/>
    </row>
    <row r="151" ht="17.25" customHeight="1">
      <c r="A151" s="764"/>
      <c r="B151" s="775"/>
      <c r="C151" s="764"/>
      <c r="D151" s="764"/>
      <c r="E151" s="839"/>
      <c r="F151" s="687"/>
      <c r="G151" s="775"/>
      <c r="H151" s="777"/>
      <c r="I151" s="687"/>
      <c r="J151" s="764"/>
      <c r="K151" s="838"/>
      <c r="L151" s="687"/>
      <c r="M151" s="775"/>
      <c r="N151" s="689"/>
      <c r="O151" s="764"/>
    </row>
    <row r="152" ht="17.25" customHeight="1">
      <c r="A152" s="764"/>
      <c r="B152" s="775"/>
      <c r="C152" s="764"/>
      <c r="D152" s="764"/>
      <c r="E152" s="839"/>
      <c r="F152" s="687"/>
      <c r="G152" s="775"/>
      <c r="H152" s="777"/>
      <c r="I152" s="687"/>
      <c r="J152" s="764"/>
      <c r="K152" s="838"/>
      <c r="L152" s="687"/>
      <c r="M152" s="775"/>
      <c r="N152" s="689"/>
      <c r="O152" s="764"/>
    </row>
    <row r="153" ht="17.25" customHeight="1">
      <c r="A153" s="764"/>
      <c r="B153" s="775"/>
      <c r="C153" s="764"/>
      <c r="D153" s="764"/>
      <c r="E153" s="839"/>
      <c r="F153" s="687"/>
      <c r="G153" s="775"/>
      <c r="H153" s="777"/>
      <c r="I153" s="687"/>
      <c r="J153" s="764"/>
      <c r="K153" s="838"/>
      <c r="L153" s="687"/>
      <c r="M153" s="775"/>
      <c r="N153" s="689"/>
      <c r="O153" s="764"/>
    </row>
    <row r="154" ht="17.25" customHeight="1">
      <c r="A154" s="764"/>
      <c r="B154" s="775"/>
      <c r="C154" s="764"/>
      <c r="D154" s="764"/>
      <c r="E154" s="839"/>
      <c r="F154" s="687"/>
      <c r="G154" s="775"/>
      <c r="H154" s="777"/>
      <c r="I154" s="687"/>
      <c r="J154" s="764"/>
      <c r="K154" s="838"/>
      <c r="L154" s="687"/>
      <c r="M154" s="775"/>
      <c r="N154" s="689"/>
      <c r="O154" s="764"/>
    </row>
    <row r="155" ht="17.25" customHeight="1">
      <c r="A155" s="764"/>
      <c r="B155" s="775"/>
      <c r="C155" s="764"/>
      <c r="D155" s="764"/>
      <c r="E155" s="839"/>
      <c r="F155" s="687"/>
      <c r="G155" s="775"/>
      <c r="H155" s="777"/>
      <c r="I155" s="687"/>
      <c r="J155" s="764"/>
      <c r="K155" s="838"/>
      <c r="L155" s="687"/>
      <c r="M155" s="775"/>
      <c r="N155" s="689"/>
      <c r="O155" s="764"/>
    </row>
    <row r="156" ht="17.25" customHeight="1">
      <c r="A156" s="764"/>
      <c r="B156" s="775"/>
      <c r="C156" s="764"/>
      <c r="D156" s="764"/>
      <c r="E156" s="839"/>
      <c r="F156" s="687"/>
      <c r="G156" s="775"/>
      <c r="H156" s="777"/>
      <c r="I156" s="687"/>
      <c r="J156" s="764"/>
      <c r="K156" s="838"/>
      <c r="L156" s="687"/>
      <c r="M156" s="775"/>
      <c r="N156" s="689"/>
      <c r="O156" s="764"/>
    </row>
    <row r="157" ht="17.25" customHeight="1">
      <c r="A157" s="764"/>
      <c r="B157" s="775"/>
      <c r="C157" s="764"/>
      <c r="D157" s="764"/>
      <c r="E157" s="839"/>
      <c r="F157" s="687"/>
      <c r="G157" s="775"/>
      <c r="H157" s="777"/>
      <c r="I157" s="687"/>
      <c r="J157" s="764"/>
      <c r="K157" s="838"/>
      <c r="L157" s="687"/>
      <c r="M157" s="775"/>
      <c r="N157" s="689"/>
      <c r="O157" s="764"/>
    </row>
    <row r="158" ht="17.25" customHeight="1">
      <c r="A158" s="764"/>
      <c r="B158" s="775"/>
      <c r="C158" s="764"/>
      <c r="D158" s="764"/>
      <c r="E158" s="839"/>
      <c r="F158" s="687"/>
      <c r="G158" s="775"/>
      <c r="H158" s="777"/>
      <c r="I158" s="687"/>
      <c r="J158" s="764"/>
      <c r="K158" s="838"/>
      <c r="L158" s="687"/>
      <c r="M158" s="775"/>
      <c r="N158" s="689"/>
      <c r="O158" s="764"/>
    </row>
    <row r="159" ht="17.25" customHeight="1">
      <c r="A159" s="764"/>
      <c r="B159" s="775"/>
      <c r="C159" s="764"/>
      <c r="D159" s="764"/>
      <c r="E159" s="839"/>
      <c r="F159" s="687"/>
      <c r="G159" s="775"/>
      <c r="H159" s="777"/>
      <c r="I159" s="687"/>
      <c r="J159" s="764"/>
      <c r="K159" s="838"/>
      <c r="L159" s="687"/>
      <c r="M159" s="775"/>
      <c r="N159" s="689"/>
      <c r="O159" s="764"/>
    </row>
    <row r="160" ht="17.25" customHeight="1">
      <c r="A160" s="764"/>
      <c r="B160" s="775"/>
      <c r="C160" s="764"/>
      <c r="D160" s="764"/>
      <c r="E160" s="839"/>
      <c r="F160" s="687"/>
      <c r="G160" s="775"/>
      <c r="H160" s="777"/>
      <c r="I160" s="687"/>
      <c r="J160" s="764"/>
      <c r="K160" s="838"/>
      <c r="L160" s="687"/>
      <c r="M160" s="775"/>
      <c r="N160" s="689"/>
      <c r="O160" s="764"/>
    </row>
    <row r="161" ht="17.25" customHeight="1">
      <c r="A161" s="764"/>
      <c r="B161" s="775"/>
      <c r="C161" s="764"/>
      <c r="D161" s="764"/>
      <c r="E161" s="839"/>
      <c r="F161" s="687"/>
      <c r="G161" s="775"/>
      <c r="H161" s="777"/>
      <c r="I161" s="687"/>
      <c r="J161" s="764"/>
      <c r="K161" s="838"/>
      <c r="L161" s="687"/>
      <c r="M161" s="775"/>
      <c r="N161" s="689"/>
      <c r="O161" s="764"/>
    </row>
    <row r="162" ht="17.25" customHeight="1">
      <c r="A162" s="764"/>
      <c r="B162" s="775"/>
      <c r="C162" s="764"/>
      <c r="D162" s="764"/>
      <c r="E162" s="839"/>
      <c r="F162" s="687"/>
      <c r="G162" s="775"/>
      <c r="H162" s="777"/>
      <c r="I162" s="687"/>
      <c r="J162" s="764"/>
      <c r="K162" s="838"/>
      <c r="L162" s="687"/>
      <c r="M162" s="775"/>
      <c r="N162" s="689"/>
      <c r="O162" s="764"/>
    </row>
    <row r="163" ht="17.25" customHeight="1">
      <c r="A163" s="764"/>
      <c r="B163" s="775"/>
      <c r="C163" s="764"/>
      <c r="D163" s="764"/>
      <c r="E163" s="839"/>
      <c r="F163" s="687"/>
      <c r="G163" s="775"/>
      <c r="H163" s="777"/>
      <c r="I163" s="687"/>
      <c r="J163" s="764"/>
      <c r="K163" s="838"/>
      <c r="L163" s="687"/>
      <c r="M163" s="775"/>
      <c r="N163" s="689"/>
      <c r="O163" s="764"/>
    </row>
    <row r="164" ht="17.25" customHeight="1">
      <c r="A164" s="764"/>
      <c r="B164" s="775"/>
      <c r="C164" s="764"/>
      <c r="D164" s="764"/>
      <c r="E164" s="839"/>
      <c r="F164" s="687"/>
      <c r="G164" s="775"/>
      <c r="H164" s="777"/>
      <c r="I164" s="687"/>
      <c r="J164" s="764"/>
      <c r="K164" s="838"/>
      <c r="L164" s="687"/>
      <c r="M164" s="775"/>
      <c r="N164" s="689"/>
      <c r="O164" s="764"/>
    </row>
    <row r="165" ht="17.25" customHeight="1">
      <c r="A165" s="764"/>
      <c r="B165" s="775"/>
      <c r="C165" s="764"/>
      <c r="D165" s="764"/>
      <c r="E165" s="839"/>
      <c r="F165" s="687"/>
      <c r="G165" s="775"/>
      <c r="H165" s="777"/>
      <c r="I165" s="687"/>
      <c r="J165" s="764"/>
      <c r="K165" s="838"/>
      <c r="L165" s="687"/>
      <c r="M165" s="775"/>
      <c r="N165" s="689"/>
      <c r="O165" s="764"/>
    </row>
    <row r="166" ht="17.25" customHeight="1">
      <c r="A166" s="764"/>
      <c r="B166" s="775"/>
      <c r="C166" s="764"/>
      <c r="D166" s="764"/>
      <c r="E166" s="839"/>
      <c r="F166" s="687"/>
      <c r="G166" s="775"/>
      <c r="H166" s="777"/>
      <c r="I166" s="687"/>
      <c r="J166" s="764"/>
      <c r="K166" s="838"/>
      <c r="L166" s="687"/>
      <c r="M166" s="775"/>
      <c r="N166" s="689"/>
      <c r="O166" s="764"/>
    </row>
    <row r="167" ht="17.25" customHeight="1">
      <c r="A167" s="764"/>
      <c r="B167" s="775"/>
      <c r="C167" s="764"/>
      <c r="D167" s="764"/>
      <c r="E167" s="839"/>
      <c r="F167" s="687"/>
      <c r="G167" s="775"/>
      <c r="H167" s="777"/>
      <c r="I167" s="687"/>
      <c r="J167" s="764"/>
      <c r="K167" s="838"/>
      <c r="L167" s="687"/>
      <c r="M167" s="775"/>
      <c r="N167" s="689"/>
      <c r="O167" s="764"/>
    </row>
    <row r="168" ht="17.25" customHeight="1">
      <c r="A168" s="764"/>
      <c r="B168" s="775"/>
      <c r="C168" s="764"/>
      <c r="D168" s="764"/>
      <c r="E168" s="839"/>
      <c r="F168" s="687"/>
      <c r="G168" s="775"/>
      <c r="H168" s="777"/>
      <c r="I168" s="687"/>
      <c r="J168" s="764"/>
      <c r="K168" s="838"/>
      <c r="L168" s="687"/>
      <c r="M168" s="775"/>
      <c r="N168" s="689"/>
      <c r="O168" s="764"/>
    </row>
    <row r="169" ht="17.25" customHeight="1">
      <c r="A169" s="764"/>
      <c r="B169" s="775"/>
      <c r="C169" s="764"/>
      <c r="D169" s="764"/>
      <c r="E169" s="839"/>
      <c r="F169" s="687"/>
      <c r="G169" s="775"/>
      <c r="H169" s="777"/>
      <c r="I169" s="687"/>
      <c r="J169" s="764"/>
      <c r="K169" s="838"/>
      <c r="L169" s="687"/>
      <c r="M169" s="775"/>
      <c r="N169" s="689"/>
      <c r="O169" s="764"/>
    </row>
    <row r="170" ht="17.25" customHeight="1">
      <c r="A170" s="764"/>
      <c r="B170" s="775"/>
      <c r="C170" s="764"/>
      <c r="D170" s="764"/>
      <c r="E170" s="839"/>
      <c r="F170" s="687"/>
      <c r="G170" s="775"/>
      <c r="H170" s="777"/>
      <c r="I170" s="687"/>
      <c r="J170" s="764"/>
      <c r="K170" s="838"/>
      <c r="L170" s="687"/>
      <c r="M170" s="775"/>
      <c r="N170" s="689"/>
      <c r="O170" s="764"/>
    </row>
    <row r="171" ht="17.25" customHeight="1">
      <c r="A171" s="764"/>
      <c r="B171" s="775"/>
      <c r="C171" s="764"/>
      <c r="D171" s="764"/>
      <c r="E171" s="839"/>
      <c r="F171" s="687"/>
      <c r="G171" s="775"/>
      <c r="H171" s="777"/>
      <c r="I171" s="687"/>
      <c r="J171" s="764"/>
      <c r="K171" s="838"/>
      <c r="L171" s="687"/>
      <c r="M171" s="775"/>
      <c r="N171" s="689"/>
      <c r="O171" s="764"/>
    </row>
    <row r="172" ht="17.25" customHeight="1">
      <c r="A172" s="764"/>
      <c r="B172" s="775"/>
      <c r="C172" s="764"/>
      <c r="D172" s="764"/>
      <c r="E172" s="839"/>
      <c r="F172" s="687"/>
      <c r="G172" s="775"/>
      <c r="H172" s="777"/>
      <c r="I172" s="687"/>
      <c r="J172" s="764"/>
      <c r="K172" s="838"/>
      <c r="L172" s="687"/>
      <c r="M172" s="775"/>
      <c r="N172" s="689"/>
      <c r="O172" s="764"/>
    </row>
    <row r="173" ht="17.25" customHeight="1">
      <c r="A173" s="764"/>
      <c r="B173" s="775"/>
      <c r="C173" s="764"/>
      <c r="D173" s="764"/>
      <c r="E173" s="839"/>
      <c r="F173" s="687"/>
      <c r="G173" s="775"/>
      <c r="H173" s="777"/>
      <c r="I173" s="687"/>
      <c r="J173" s="764"/>
      <c r="K173" s="838"/>
      <c r="L173" s="687"/>
      <c r="M173" s="775"/>
      <c r="N173" s="689"/>
      <c r="O173" s="764"/>
    </row>
    <row r="174" ht="17.25" customHeight="1">
      <c r="A174" s="764"/>
      <c r="B174" s="775"/>
      <c r="C174" s="764"/>
      <c r="D174" s="764"/>
      <c r="E174" s="839"/>
      <c r="F174" s="687"/>
      <c r="G174" s="775"/>
      <c r="H174" s="777"/>
      <c r="I174" s="687"/>
      <c r="J174" s="764"/>
      <c r="K174" s="838"/>
      <c r="L174" s="687"/>
      <c r="M174" s="775"/>
      <c r="N174" s="689"/>
      <c r="O174" s="764"/>
    </row>
    <row r="175" ht="17.25" customHeight="1">
      <c r="A175" s="764"/>
      <c r="B175" s="775"/>
      <c r="C175" s="764"/>
      <c r="D175" s="764"/>
      <c r="E175" s="839"/>
      <c r="F175" s="687"/>
      <c r="G175" s="775"/>
      <c r="H175" s="777"/>
      <c r="I175" s="687"/>
      <c r="J175" s="764"/>
      <c r="K175" s="838"/>
      <c r="L175" s="687"/>
      <c r="M175" s="775"/>
      <c r="N175" s="689"/>
      <c r="O175" s="764"/>
    </row>
    <row r="176" ht="17.25" customHeight="1">
      <c r="A176" s="764"/>
      <c r="B176" s="775"/>
      <c r="C176" s="764"/>
      <c r="D176" s="764"/>
      <c r="E176" s="839"/>
      <c r="F176" s="687"/>
      <c r="G176" s="775"/>
      <c r="H176" s="777"/>
      <c r="I176" s="687"/>
      <c r="J176" s="764"/>
      <c r="K176" s="838"/>
      <c r="L176" s="687"/>
      <c r="M176" s="775"/>
      <c r="N176" s="689"/>
      <c r="O176" s="764"/>
    </row>
    <row r="177" ht="17.25" customHeight="1">
      <c r="A177" s="764"/>
      <c r="B177" s="775"/>
      <c r="C177" s="764"/>
      <c r="D177" s="764"/>
      <c r="E177" s="839"/>
      <c r="F177" s="687"/>
      <c r="G177" s="775"/>
      <c r="H177" s="777"/>
      <c r="I177" s="687"/>
      <c r="J177" s="764"/>
      <c r="K177" s="838"/>
      <c r="L177" s="687"/>
      <c r="M177" s="775"/>
      <c r="N177" s="689"/>
      <c r="O177" s="764"/>
    </row>
    <row r="178" ht="17.25" customHeight="1">
      <c r="A178" s="764"/>
      <c r="B178" s="775"/>
      <c r="C178" s="764"/>
      <c r="D178" s="764"/>
      <c r="E178" s="839"/>
      <c r="F178" s="687"/>
      <c r="G178" s="775"/>
      <c r="H178" s="777"/>
      <c r="I178" s="687"/>
      <c r="J178" s="764"/>
      <c r="K178" s="838"/>
      <c r="L178" s="687"/>
      <c r="M178" s="775"/>
      <c r="N178" s="689"/>
      <c r="O178" s="764"/>
    </row>
    <row r="179" ht="17.25" customHeight="1">
      <c r="A179" s="764"/>
      <c r="B179" s="775"/>
      <c r="C179" s="764"/>
      <c r="D179" s="764"/>
      <c r="E179" s="839"/>
      <c r="F179" s="687"/>
      <c r="G179" s="775"/>
      <c r="H179" s="777"/>
      <c r="I179" s="687"/>
      <c r="J179" s="764"/>
      <c r="K179" s="838"/>
      <c r="L179" s="687"/>
      <c r="M179" s="775"/>
      <c r="N179" s="689"/>
      <c r="O179" s="764"/>
    </row>
    <row r="180" ht="17.25" customHeight="1">
      <c r="A180" s="764"/>
      <c r="B180" s="775"/>
      <c r="C180" s="764"/>
      <c r="D180" s="764"/>
      <c r="E180" s="839"/>
      <c r="F180" s="687"/>
      <c r="G180" s="775"/>
      <c r="H180" s="777"/>
      <c r="I180" s="687"/>
      <c r="J180" s="764"/>
      <c r="K180" s="838"/>
      <c r="L180" s="687"/>
      <c r="M180" s="775"/>
      <c r="N180" s="689"/>
      <c r="O180" s="764"/>
    </row>
    <row r="181" ht="17.25" customHeight="1">
      <c r="A181" s="764"/>
      <c r="B181" s="775"/>
      <c r="C181" s="764"/>
      <c r="D181" s="764"/>
      <c r="E181" s="839"/>
      <c r="F181" s="687"/>
      <c r="G181" s="775"/>
      <c r="H181" s="777"/>
      <c r="I181" s="687"/>
      <c r="J181" s="764"/>
      <c r="K181" s="838"/>
      <c r="L181" s="687"/>
      <c r="M181" s="775"/>
      <c r="N181" s="689"/>
      <c r="O181" s="764"/>
    </row>
    <row r="182" ht="17.25" customHeight="1">
      <c r="A182" s="764"/>
      <c r="B182" s="775"/>
      <c r="C182" s="764"/>
      <c r="D182" s="764"/>
      <c r="E182" s="839"/>
      <c r="F182" s="687"/>
      <c r="G182" s="775"/>
      <c r="H182" s="777"/>
      <c r="I182" s="687"/>
      <c r="J182" s="764"/>
      <c r="K182" s="838"/>
      <c r="L182" s="687"/>
      <c r="M182" s="775"/>
      <c r="N182" s="689"/>
      <c r="O182" s="764"/>
    </row>
    <row r="183" ht="17.25" customHeight="1">
      <c r="A183" s="764"/>
      <c r="B183" s="775"/>
      <c r="C183" s="764"/>
      <c r="D183" s="764"/>
      <c r="E183" s="839"/>
      <c r="F183" s="687"/>
      <c r="G183" s="775"/>
      <c r="H183" s="777"/>
      <c r="I183" s="687"/>
      <c r="J183" s="764"/>
      <c r="K183" s="838"/>
      <c r="L183" s="687"/>
      <c r="M183" s="775"/>
      <c r="N183" s="689"/>
      <c r="O183" s="764"/>
    </row>
    <row r="184" ht="17.25" customHeight="1">
      <c r="A184" s="764"/>
      <c r="B184" s="775"/>
      <c r="C184" s="764"/>
      <c r="D184" s="764"/>
      <c r="E184" s="839"/>
      <c r="F184" s="687"/>
      <c r="G184" s="775"/>
      <c r="H184" s="777"/>
      <c r="I184" s="687"/>
      <c r="J184" s="764"/>
      <c r="K184" s="838"/>
      <c r="L184" s="687"/>
      <c r="M184" s="775"/>
      <c r="N184" s="689"/>
      <c r="O184" s="764"/>
    </row>
    <row r="185" ht="17.25" customHeight="1">
      <c r="A185" s="764"/>
      <c r="B185" s="775"/>
      <c r="C185" s="764"/>
      <c r="D185" s="764"/>
      <c r="E185" s="839"/>
      <c r="F185" s="687"/>
      <c r="G185" s="775"/>
      <c r="H185" s="777"/>
      <c r="I185" s="687"/>
      <c r="J185" s="764"/>
      <c r="K185" s="838"/>
      <c r="L185" s="687"/>
      <c r="M185" s="775"/>
      <c r="N185" s="689"/>
      <c r="O185" s="764"/>
    </row>
    <row r="186" ht="17.25" customHeight="1">
      <c r="A186" s="764"/>
      <c r="B186" s="775"/>
      <c r="C186" s="764"/>
      <c r="D186" s="764"/>
      <c r="E186" s="839"/>
      <c r="F186" s="687"/>
      <c r="G186" s="775"/>
      <c r="H186" s="777"/>
      <c r="I186" s="687"/>
      <c r="J186" s="764"/>
      <c r="K186" s="838"/>
      <c r="L186" s="687"/>
      <c r="M186" s="775"/>
      <c r="N186" s="689"/>
      <c r="O186" s="764"/>
    </row>
    <row r="187" ht="17.25" customHeight="1">
      <c r="A187" s="764"/>
      <c r="B187" s="775"/>
      <c r="C187" s="764"/>
      <c r="D187" s="764"/>
      <c r="E187" s="839"/>
      <c r="F187" s="687"/>
      <c r="G187" s="775"/>
      <c r="H187" s="777"/>
      <c r="I187" s="687"/>
      <c r="J187" s="764"/>
      <c r="K187" s="838"/>
      <c r="L187" s="687"/>
      <c r="M187" s="775"/>
      <c r="N187" s="689"/>
      <c r="O187" s="764"/>
    </row>
    <row r="188" ht="17.25" customHeight="1">
      <c r="A188" s="764"/>
      <c r="B188" s="775"/>
      <c r="C188" s="764"/>
      <c r="D188" s="764"/>
      <c r="E188" s="839"/>
      <c r="F188" s="687"/>
      <c r="G188" s="775"/>
      <c r="H188" s="777"/>
      <c r="I188" s="687"/>
      <c r="J188" s="764"/>
      <c r="K188" s="838"/>
      <c r="L188" s="687"/>
      <c r="M188" s="775"/>
      <c r="N188" s="689"/>
      <c r="O188" s="764"/>
    </row>
    <row r="189" ht="17.25" customHeight="1">
      <c r="A189" s="764"/>
      <c r="B189" s="775"/>
      <c r="C189" s="764"/>
      <c r="D189" s="764"/>
      <c r="E189" s="839"/>
      <c r="F189" s="687"/>
      <c r="G189" s="775"/>
      <c r="H189" s="777"/>
      <c r="I189" s="687"/>
      <c r="J189" s="764"/>
      <c r="K189" s="838"/>
      <c r="L189" s="687"/>
      <c r="M189" s="775"/>
      <c r="N189" s="689"/>
      <c r="O189" s="764"/>
    </row>
    <row r="190" ht="17.25" customHeight="1">
      <c r="A190" s="764"/>
      <c r="B190" s="775"/>
      <c r="C190" s="764"/>
      <c r="D190" s="764"/>
      <c r="E190" s="839"/>
      <c r="F190" s="687"/>
      <c r="G190" s="775"/>
      <c r="H190" s="777"/>
      <c r="I190" s="687"/>
      <c r="J190" s="764"/>
      <c r="K190" s="838"/>
      <c r="L190" s="687"/>
      <c r="M190" s="775"/>
      <c r="N190" s="689"/>
      <c r="O190" s="764"/>
    </row>
    <row r="191" ht="17.25" customHeight="1">
      <c r="A191" s="764"/>
      <c r="B191" s="775"/>
      <c r="C191" s="764"/>
      <c r="D191" s="764"/>
      <c r="E191" s="839"/>
      <c r="F191" s="687"/>
      <c r="G191" s="775"/>
      <c r="H191" s="777"/>
      <c r="I191" s="687"/>
      <c r="J191" s="764"/>
      <c r="K191" s="838"/>
      <c r="L191" s="687"/>
      <c r="M191" s="775"/>
      <c r="N191" s="689"/>
      <c r="O191" s="764"/>
    </row>
    <row r="192" ht="17.25" customHeight="1">
      <c r="A192" s="764"/>
      <c r="B192" s="775"/>
      <c r="C192" s="764"/>
      <c r="D192" s="764"/>
      <c r="E192" s="839"/>
      <c r="F192" s="687"/>
      <c r="G192" s="775"/>
      <c r="H192" s="777"/>
      <c r="I192" s="687"/>
      <c r="J192" s="764"/>
      <c r="K192" s="838"/>
      <c r="L192" s="687"/>
      <c r="M192" s="775"/>
      <c r="N192" s="689"/>
      <c r="O192" s="764"/>
    </row>
    <row r="193" ht="17.25" customHeight="1">
      <c r="A193" s="764"/>
      <c r="B193" s="775"/>
      <c r="C193" s="764"/>
      <c r="D193" s="764"/>
      <c r="E193" s="839"/>
      <c r="F193" s="687"/>
      <c r="G193" s="775"/>
      <c r="H193" s="777"/>
      <c r="I193" s="687"/>
      <c r="J193" s="764"/>
      <c r="K193" s="838"/>
      <c r="L193" s="687"/>
      <c r="M193" s="775"/>
      <c r="N193" s="689"/>
      <c r="O193" s="764"/>
    </row>
    <row r="194" ht="17.25" customHeight="1">
      <c r="A194" s="764"/>
      <c r="B194" s="775"/>
      <c r="C194" s="764"/>
      <c r="D194" s="764"/>
      <c r="E194" s="839"/>
      <c r="F194" s="687"/>
      <c r="G194" s="775"/>
      <c r="H194" s="777"/>
      <c r="I194" s="687"/>
      <c r="J194" s="764"/>
      <c r="K194" s="838"/>
      <c r="L194" s="687"/>
      <c r="M194" s="775"/>
      <c r="N194" s="689"/>
      <c r="O194" s="764"/>
    </row>
    <row r="195" ht="17.25" customHeight="1">
      <c r="A195" s="764"/>
      <c r="B195" s="775"/>
      <c r="C195" s="764"/>
      <c r="D195" s="764"/>
      <c r="E195" s="839"/>
      <c r="F195" s="687"/>
      <c r="G195" s="775"/>
      <c r="H195" s="777"/>
      <c r="I195" s="687"/>
      <c r="J195" s="764"/>
      <c r="K195" s="838"/>
      <c r="L195" s="687"/>
      <c r="M195" s="775"/>
      <c r="N195" s="689"/>
      <c r="O195" s="764"/>
    </row>
    <row r="196" ht="17.25" customHeight="1">
      <c r="A196" s="764"/>
      <c r="B196" s="775"/>
      <c r="C196" s="764"/>
      <c r="D196" s="764"/>
      <c r="E196" s="839"/>
      <c r="F196" s="687"/>
      <c r="G196" s="775"/>
      <c r="H196" s="777"/>
      <c r="I196" s="687"/>
      <c r="J196" s="764"/>
      <c r="K196" s="838"/>
      <c r="L196" s="687"/>
      <c r="M196" s="775"/>
      <c r="N196" s="689"/>
      <c r="O196" s="764"/>
    </row>
    <row r="197" ht="17.25" customHeight="1">
      <c r="A197" s="764"/>
      <c r="B197" s="775"/>
      <c r="C197" s="764"/>
      <c r="D197" s="764"/>
      <c r="E197" s="839"/>
      <c r="F197" s="687"/>
      <c r="G197" s="775"/>
      <c r="H197" s="777"/>
      <c r="I197" s="687"/>
      <c r="J197" s="764"/>
      <c r="K197" s="838"/>
      <c r="L197" s="687"/>
      <c r="M197" s="775"/>
      <c r="N197" s="689"/>
      <c r="O197" s="764"/>
    </row>
    <row r="198" ht="17.25" customHeight="1">
      <c r="A198" s="764"/>
      <c r="B198" s="775"/>
      <c r="C198" s="764"/>
      <c r="D198" s="764"/>
      <c r="E198" s="839"/>
      <c r="F198" s="687"/>
      <c r="G198" s="775"/>
      <c r="H198" s="777"/>
      <c r="I198" s="687"/>
      <c r="J198" s="764"/>
      <c r="K198" s="838"/>
      <c r="L198" s="687"/>
      <c r="M198" s="775"/>
      <c r="N198" s="689"/>
      <c r="O198" s="764"/>
    </row>
    <row r="199" ht="17.25" customHeight="1">
      <c r="A199" s="764"/>
      <c r="B199" s="775"/>
      <c r="C199" s="764"/>
      <c r="D199" s="764"/>
      <c r="E199" s="839"/>
      <c r="F199" s="687"/>
      <c r="G199" s="775"/>
      <c r="H199" s="777"/>
      <c r="I199" s="687"/>
      <c r="J199" s="764"/>
      <c r="K199" s="838"/>
      <c r="L199" s="687"/>
      <c r="M199" s="775"/>
      <c r="N199" s="689"/>
      <c r="O199" s="764"/>
    </row>
    <row r="200" ht="17.25" customHeight="1">
      <c r="A200" s="764"/>
      <c r="B200" s="775"/>
      <c r="C200" s="764"/>
      <c r="D200" s="764"/>
      <c r="E200" s="839"/>
      <c r="F200" s="687"/>
      <c r="G200" s="775"/>
      <c r="H200" s="777"/>
      <c r="I200" s="687"/>
      <c r="J200" s="764"/>
      <c r="K200" s="838"/>
      <c r="L200" s="687"/>
      <c r="M200" s="775"/>
      <c r="N200" s="689"/>
      <c r="O200" s="764"/>
    </row>
    <row r="201" ht="17.25" customHeight="1">
      <c r="A201" s="764"/>
      <c r="B201" s="775"/>
      <c r="C201" s="764"/>
      <c r="D201" s="764"/>
      <c r="E201" s="839"/>
      <c r="F201" s="687"/>
      <c r="G201" s="775"/>
      <c r="H201" s="777"/>
      <c r="I201" s="687"/>
      <c r="J201" s="764"/>
      <c r="K201" s="838"/>
      <c r="L201" s="687"/>
      <c r="M201" s="775"/>
      <c r="N201" s="689"/>
      <c r="O201" s="764"/>
    </row>
    <row r="202" ht="17.25" customHeight="1">
      <c r="A202" s="764"/>
      <c r="B202" s="775"/>
      <c r="C202" s="764"/>
      <c r="D202" s="764"/>
      <c r="E202" s="839"/>
      <c r="F202" s="687"/>
      <c r="G202" s="775"/>
      <c r="H202" s="777"/>
      <c r="I202" s="687"/>
      <c r="J202" s="764"/>
      <c r="K202" s="838"/>
      <c r="L202" s="687"/>
      <c r="M202" s="775"/>
      <c r="N202" s="689"/>
      <c r="O202" s="764"/>
    </row>
    <row r="203" ht="17.25" customHeight="1">
      <c r="A203" s="764"/>
      <c r="B203" s="775"/>
      <c r="C203" s="764"/>
      <c r="D203" s="764"/>
      <c r="E203" s="839"/>
      <c r="F203" s="687"/>
      <c r="G203" s="775"/>
      <c r="H203" s="777"/>
      <c r="I203" s="687"/>
      <c r="J203" s="764"/>
      <c r="K203" s="838"/>
      <c r="L203" s="687"/>
      <c r="M203" s="775"/>
      <c r="N203" s="689"/>
      <c r="O203" s="764"/>
    </row>
    <row r="204" ht="17.25" customHeight="1">
      <c r="A204" s="764"/>
      <c r="B204" s="775"/>
      <c r="C204" s="764"/>
      <c r="D204" s="764"/>
      <c r="E204" s="839"/>
      <c r="F204" s="687"/>
      <c r="G204" s="775"/>
      <c r="H204" s="777"/>
      <c r="I204" s="687"/>
      <c r="J204" s="764"/>
      <c r="K204" s="838"/>
      <c r="L204" s="687"/>
      <c r="M204" s="775"/>
      <c r="N204" s="689"/>
      <c r="O204" s="764"/>
    </row>
    <row r="205" ht="17.25" customHeight="1">
      <c r="A205" s="764"/>
      <c r="B205" s="775"/>
      <c r="C205" s="764"/>
      <c r="D205" s="764"/>
      <c r="E205" s="839"/>
      <c r="F205" s="687"/>
      <c r="G205" s="775"/>
      <c r="H205" s="777"/>
      <c r="I205" s="687"/>
      <c r="J205" s="764"/>
      <c r="K205" s="838"/>
      <c r="L205" s="687"/>
      <c r="M205" s="775"/>
      <c r="N205" s="689"/>
      <c r="O205" s="764"/>
    </row>
    <row r="206" ht="17.25" customHeight="1">
      <c r="A206" s="764"/>
      <c r="B206" s="775"/>
      <c r="C206" s="764"/>
      <c r="D206" s="764"/>
      <c r="E206" s="839"/>
      <c r="F206" s="687"/>
      <c r="G206" s="775"/>
      <c r="H206" s="777"/>
      <c r="I206" s="687"/>
      <c r="J206" s="764"/>
      <c r="K206" s="838"/>
      <c r="L206" s="687"/>
      <c r="M206" s="775"/>
      <c r="N206" s="689"/>
      <c r="O206" s="764"/>
    </row>
    <row r="207" ht="17.25" customHeight="1">
      <c r="A207" s="764"/>
      <c r="B207" s="775"/>
      <c r="C207" s="764"/>
      <c r="D207" s="764"/>
      <c r="E207" s="839"/>
      <c r="F207" s="687"/>
      <c r="G207" s="775"/>
      <c r="H207" s="777"/>
      <c r="I207" s="687"/>
      <c r="J207" s="764"/>
      <c r="K207" s="838"/>
      <c r="L207" s="687"/>
      <c r="M207" s="775"/>
      <c r="N207" s="689"/>
      <c r="O207" s="764"/>
    </row>
    <row r="208" ht="17.25" customHeight="1">
      <c r="A208" s="764"/>
      <c r="B208" s="775"/>
      <c r="C208" s="764"/>
      <c r="D208" s="764"/>
      <c r="E208" s="839"/>
      <c r="F208" s="687"/>
      <c r="G208" s="775"/>
      <c r="H208" s="777"/>
      <c r="I208" s="687"/>
      <c r="J208" s="764"/>
      <c r="K208" s="838"/>
      <c r="L208" s="687"/>
      <c r="M208" s="775"/>
      <c r="N208" s="689"/>
      <c r="O208" s="764"/>
    </row>
    <row r="209" ht="17.25" customHeight="1">
      <c r="A209" s="764"/>
      <c r="B209" s="775"/>
      <c r="C209" s="764"/>
      <c r="D209" s="764"/>
      <c r="E209" s="839"/>
      <c r="F209" s="687"/>
      <c r="G209" s="775"/>
      <c r="H209" s="777"/>
      <c r="I209" s="687"/>
      <c r="J209" s="764"/>
      <c r="K209" s="838"/>
      <c r="L209" s="687"/>
      <c r="M209" s="775"/>
      <c r="N209" s="689"/>
      <c r="O209" s="764"/>
    </row>
    <row r="210" ht="17.25" customHeight="1">
      <c r="A210" s="764"/>
      <c r="B210" s="775"/>
      <c r="C210" s="764"/>
      <c r="D210" s="764"/>
      <c r="E210" s="839"/>
      <c r="F210" s="687"/>
      <c r="G210" s="775"/>
      <c r="H210" s="777"/>
      <c r="I210" s="687"/>
      <c r="J210" s="764"/>
      <c r="K210" s="838"/>
      <c r="L210" s="687"/>
      <c r="M210" s="775"/>
      <c r="N210" s="689"/>
      <c r="O210" s="764"/>
    </row>
    <row r="211" ht="17.25" customHeight="1">
      <c r="A211" s="764"/>
      <c r="B211" s="775"/>
      <c r="C211" s="764"/>
      <c r="D211" s="764"/>
      <c r="E211" s="839"/>
      <c r="F211" s="687"/>
      <c r="G211" s="775"/>
      <c r="H211" s="777"/>
      <c r="I211" s="687"/>
      <c r="J211" s="764"/>
      <c r="K211" s="838"/>
      <c r="L211" s="687"/>
      <c r="M211" s="775"/>
      <c r="N211" s="689"/>
      <c r="O211" s="764"/>
    </row>
    <row r="212" ht="17.25" customHeight="1">
      <c r="A212" s="764"/>
      <c r="B212" s="775"/>
      <c r="C212" s="764"/>
      <c r="D212" s="764"/>
      <c r="E212" s="839"/>
      <c r="F212" s="687"/>
      <c r="G212" s="775"/>
      <c r="H212" s="777"/>
      <c r="I212" s="687"/>
      <c r="J212" s="764"/>
      <c r="K212" s="838"/>
      <c r="L212" s="687"/>
      <c r="M212" s="775"/>
      <c r="N212" s="689"/>
      <c r="O212" s="764"/>
    </row>
    <row r="213">
      <c r="A213" s="764"/>
      <c r="B213" s="775"/>
      <c r="C213" s="764"/>
      <c r="D213" s="764"/>
      <c r="E213" s="839"/>
      <c r="F213" s="687"/>
      <c r="G213" s="775"/>
      <c r="H213" s="777"/>
      <c r="I213" s="687"/>
      <c r="J213" s="764"/>
      <c r="K213" s="838"/>
      <c r="L213" s="687"/>
      <c r="M213" s="775"/>
      <c r="N213" s="689"/>
      <c r="O213" s="764"/>
    </row>
    <row r="214">
      <c r="A214" s="764"/>
      <c r="B214" s="775"/>
      <c r="C214" s="764"/>
      <c r="D214" s="764"/>
      <c r="E214" s="839"/>
      <c r="F214" s="687"/>
      <c r="G214" s="775"/>
      <c r="H214" s="777"/>
      <c r="I214" s="687"/>
      <c r="J214" s="764"/>
      <c r="K214" s="838"/>
      <c r="L214" s="687"/>
      <c r="M214" s="775"/>
      <c r="N214" s="689"/>
      <c r="O214" s="764"/>
    </row>
    <row r="215">
      <c r="A215" s="764"/>
      <c r="B215" s="775"/>
      <c r="C215" s="764"/>
      <c r="D215" s="764"/>
      <c r="E215" s="839"/>
      <c r="F215" s="687"/>
      <c r="G215" s="775"/>
      <c r="H215" s="777"/>
      <c r="I215" s="687"/>
      <c r="J215" s="764"/>
      <c r="K215" s="838"/>
      <c r="L215" s="687"/>
      <c r="M215" s="775"/>
      <c r="N215" s="689"/>
      <c r="O215" s="764"/>
    </row>
    <row r="216">
      <c r="A216" s="764"/>
      <c r="B216" s="775"/>
      <c r="C216" s="764"/>
      <c r="D216" s="764"/>
      <c r="E216" s="839"/>
      <c r="F216" s="687"/>
      <c r="G216" s="775"/>
      <c r="H216" s="777"/>
      <c r="I216" s="687"/>
      <c r="J216" s="764"/>
      <c r="K216" s="838"/>
      <c r="L216" s="687"/>
      <c r="M216" s="775"/>
      <c r="N216" s="689"/>
      <c r="O216" s="764"/>
    </row>
    <row r="217">
      <c r="A217" s="764"/>
      <c r="B217" s="775"/>
      <c r="C217" s="764"/>
      <c r="D217" s="764"/>
      <c r="E217" s="839"/>
      <c r="F217" s="687"/>
      <c r="G217" s="775"/>
      <c r="H217" s="777"/>
      <c r="I217" s="687"/>
      <c r="J217" s="764"/>
      <c r="K217" s="838"/>
      <c r="L217" s="687"/>
      <c r="M217" s="775"/>
      <c r="N217" s="689"/>
      <c r="O217" s="764"/>
    </row>
    <row r="218">
      <c r="A218" s="764"/>
      <c r="B218" s="775"/>
      <c r="C218" s="764"/>
      <c r="D218" s="764"/>
      <c r="E218" s="839"/>
      <c r="F218" s="687"/>
      <c r="G218" s="775"/>
      <c r="H218" s="777"/>
      <c r="I218" s="687"/>
      <c r="J218" s="764"/>
      <c r="K218" s="838"/>
      <c r="L218" s="687"/>
      <c r="M218" s="775"/>
      <c r="N218" s="689"/>
      <c r="O218" s="764"/>
    </row>
    <row r="219">
      <c r="A219" s="764"/>
      <c r="B219" s="775"/>
      <c r="C219" s="764"/>
      <c r="D219" s="764"/>
      <c r="E219" s="839"/>
      <c r="F219" s="687"/>
      <c r="G219" s="775"/>
      <c r="H219" s="777"/>
      <c r="I219" s="687"/>
      <c r="J219" s="764"/>
      <c r="K219" s="838"/>
      <c r="L219" s="687"/>
      <c r="M219" s="775"/>
      <c r="N219" s="689"/>
      <c r="O219" s="764"/>
    </row>
    <row r="220">
      <c r="A220" s="764"/>
      <c r="B220" s="775"/>
      <c r="C220" s="764"/>
      <c r="D220" s="764"/>
      <c r="E220" s="839"/>
      <c r="F220" s="687"/>
      <c r="G220" s="775"/>
      <c r="H220" s="777"/>
      <c r="I220" s="687"/>
      <c r="J220" s="764"/>
      <c r="K220" s="838"/>
      <c r="L220" s="687"/>
      <c r="M220" s="775"/>
      <c r="N220" s="689"/>
      <c r="O220" s="764"/>
    </row>
    <row r="221">
      <c r="A221" s="764"/>
      <c r="B221" s="775"/>
      <c r="C221" s="764"/>
      <c r="D221" s="764"/>
      <c r="E221" s="839"/>
      <c r="F221" s="687"/>
      <c r="G221" s="775"/>
      <c r="H221" s="777"/>
      <c r="I221" s="687"/>
      <c r="J221" s="764"/>
      <c r="K221" s="838"/>
      <c r="L221" s="687"/>
      <c r="M221" s="775"/>
      <c r="N221" s="689"/>
      <c r="O221" s="764"/>
    </row>
    <row r="222">
      <c r="A222" s="764"/>
      <c r="B222" s="775"/>
      <c r="C222" s="764"/>
      <c r="D222" s="764"/>
      <c r="E222" s="839"/>
      <c r="F222" s="687"/>
      <c r="G222" s="775"/>
      <c r="H222" s="777"/>
      <c r="I222" s="687"/>
      <c r="J222" s="764"/>
      <c r="K222" s="838"/>
      <c r="L222" s="687"/>
      <c r="M222" s="775"/>
      <c r="N222" s="689"/>
      <c r="O222" s="764"/>
    </row>
    <row r="223">
      <c r="A223" s="764"/>
      <c r="B223" s="775"/>
      <c r="C223" s="764"/>
      <c r="D223" s="764"/>
      <c r="E223" s="839"/>
      <c r="F223" s="687"/>
      <c r="G223" s="775"/>
      <c r="H223" s="777"/>
      <c r="I223" s="687"/>
      <c r="J223" s="764"/>
      <c r="K223" s="838"/>
      <c r="L223" s="687"/>
      <c r="M223" s="775"/>
      <c r="N223" s="689"/>
      <c r="O223" s="764"/>
    </row>
    <row r="224">
      <c r="A224" s="764"/>
      <c r="B224" s="775"/>
      <c r="C224" s="764"/>
      <c r="D224" s="764"/>
      <c r="E224" s="839"/>
      <c r="F224" s="687"/>
      <c r="G224" s="775"/>
      <c r="H224" s="777"/>
      <c r="I224" s="687"/>
      <c r="J224" s="764"/>
      <c r="K224" s="838"/>
      <c r="L224" s="687"/>
      <c r="M224" s="775"/>
      <c r="N224" s="689"/>
      <c r="O224" s="764"/>
    </row>
    <row r="225">
      <c r="A225" s="764"/>
      <c r="B225" s="775"/>
      <c r="C225" s="764"/>
      <c r="D225" s="764"/>
      <c r="E225" s="839"/>
      <c r="F225" s="687"/>
      <c r="G225" s="775"/>
      <c r="H225" s="777"/>
      <c r="I225" s="687"/>
      <c r="J225" s="764"/>
      <c r="K225" s="838"/>
      <c r="L225" s="687"/>
      <c r="M225" s="775"/>
      <c r="N225" s="689"/>
      <c r="O225" s="764"/>
    </row>
    <row r="226">
      <c r="A226" s="764"/>
      <c r="B226" s="775"/>
      <c r="C226" s="764"/>
      <c r="D226" s="764"/>
      <c r="E226" s="839"/>
      <c r="F226" s="687"/>
      <c r="G226" s="775"/>
      <c r="H226" s="777"/>
      <c r="I226" s="687"/>
      <c r="J226" s="764"/>
      <c r="K226" s="838"/>
      <c r="L226" s="687"/>
      <c r="M226" s="775"/>
      <c r="N226" s="689"/>
      <c r="O226" s="764"/>
    </row>
    <row r="227">
      <c r="A227" s="764"/>
      <c r="B227" s="775"/>
      <c r="C227" s="764"/>
      <c r="D227" s="764"/>
      <c r="E227" s="839"/>
      <c r="F227" s="687"/>
      <c r="G227" s="775"/>
      <c r="H227" s="777"/>
      <c r="I227" s="687"/>
      <c r="J227" s="764"/>
      <c r="K227" s="838"/>
      <c r="L227" s="687"/>
      <c r="M227" s="775"/>
      <c r="N227" s="689"/>
      <c r="O227" s="764"/>
    </row>
    <row r="228">
      <c r="A228" s="764"/>
      <c r="B228" s="775"/>
      <c r="C228" s="764"/>
      <c r="D228" s="764"/>
      <c r="E228" s="839"/>
      <c r="F228" s="687"/>
      <c r="G228" s="775"/>
      <c r="H228" s="777"/>
      <c r="I228" s="687"/>
      <c r="J228" s="764"/>
      <c r="K228" s="838"/>
      <c r="L228" s="687"/>
      <c r="M228" s="775"/>
      <c r="N228" s="689"/>
      <c r="O228" s="764"/>
    </row>
    <row r="229">
      <c r="A229" s="764"/>
      <c r="B229" s="775"/>
      <c r="C229" s="764"/>
      <c r="D229" s="764"/>
      <c r="E229" s="839"/>
      <c r="F229" s="687"/>
      <c r="G229" s="775"/>
      <c r="H229" s="777"/>
      <c r="I229" s="687"/>
      <c r="J229" s="764"/>
      <c r="K229" s="838"/>
      <c r="L229" s="687"/>
      <c r="M229" s="775"/>
      <c r="N229" s="689"/>
      <c r="O229" s="764"/>
    </row>
    <row r="230">
      <c r="A230" s="764"/>
      <c r="B230" s="775"/>
      <c r="C230" s="764"/>
      <c r="D230" s="764"/>
      <c r="E230" s="839"/>
      <c r="F230" s="687"/>
      <c r="G230" s="775"/>
      <c r="H230" s="777"/>
      <c r="I230" s="687"/>
      <c r="J230" s="764"/>
      <c r="K230" s="838"/>
      <c r="L230" s="687"/>
      <c r="M230" s="775"/>
      <c r="N230" s="689"/>
      <c r="O230" s="764"/>
    </row>
    <row r="231">
      <c r="A231" s="764"/>
      <c r="B231" s="775"/>
      <c r="C231" s="764"/>
      <c r="D231" s="764"/>
      <c r="E231" s="839"/>
      <c r="F231" s="687"/>
      <c r="G231" s="775"/>
      <c r="H231" s="777"/>
      <c r="I231" s="687"/>
      <c r="J231" s="764"/>
      <c r="K231" s="838"/>
      <c r="L231" s="687"/>
      <c r="M231" s="775"/>
      <c r="N231" s="689"/>
      <c r="O231" s="764"/>
    </row>
    <row r="232">
      <c r="A232" s="764"/>
      <c r="B232" s="775"/>
      <c r="C232" s="764"/>
      <c r="D232" s="764"/>
      <c r="E232" s="839"/>
      <c r="F232" s="687"/>
      <c r="G232" s="775"/>
      <c r="H232" s="777"/>
      <c r="I232" s="687"/>
      <c r="J232" s="764"/>
      <c r="K232" s="838"/>
      <c r="L232" s="687"/>
      <c r="M232" s="775"/>
      <c r="N232" s="689"/>
      <c r="O232" s="764"/>
    </row>
    <row r="233">
      <c r="A233" s="764"/>
      <c r="B233" s="775"/>
      <c r="C233" s="764"/>
      <c r="D233" s="764"/>
      <c r="E233" s="839"/>
      <c r="F233" s="687"/>
      <c r="G233" s="775"/>
      <c r="H233" s="777"/>
      <c r="I233" s="687"/>
      <c r="J233" s="764"/>
      <c r="K233" s="838"/>
      <c r="L233" s="687"/>
      <c r="M233" s="775"/>
      <c r="N233" s="689"/>
      <c r="O233" s="764"/>
    </row>
    <row r="234">
      <c r="A234" s="764"/>
      <c r="B234" s="775"/>
      <c r="C234" s="764"/>
      <c r="D234" s="764"/>
      <c r="E234" s="839"/>
      <c r="F234" s="687"/>
      <c r="G234" s="775"/>
      <c r="H234" s="777"/>
      <c r="I234" s="687"/>
      <c r="J234" s="764"/>
      <c r="K234" s="838"/>
      <c r="L234" s="687"/>
      <c r="M234" s="775"/>
      <c r="N234" s="689"/>
      <c r="O234" s="764"/>
    </row>
    <row r="235">
      <c r="A235" s="764"/>
      <c r="B235" s="775"/>
      <c r="C235" s="764"/>
      <c r="D235" s="764"/>
      <c r="E235" s="839"/>
      <c r="F235" s="687"/>
      <c r="G235" s="775"/>
      <c r="H235" s="777"/>
      <c r="I235" s="687"/>
      <c r="J235" s="764"/>
      <c r="K235" s="838"/>
      <c r="L235" s="687"/>
      <c r="M235" s="775"/>
      <c r="N235" s="689"/>
      <c r="O235" s="764"/>
    </row>
    <row r="236">
      <c r="A236" s="764"/>
      <c r="B236" s="775"/>
      <c r="C236" s="764"/>
      <c r="D236" s="764"/>
      <c r="E236" s="839"/>
      <c r="F236" s="687"/>
      <c r="G236" s="775"/>
      <c r="H236" s="777"/>
      <c r="I236" s="687"/>
      <c r="J236" s="764"/>
      <c r="K236" s="838"/>
      <c r="L236" s="687"/>
      <c r="M236" s="775"/>
      <c r="N236" s="689"/>
      <c r="O236" s="764"/>
    </row>
    <row r="237">
      <c r="A237" s="764"/>
      <c r="B237" s="775"/>
      <c r="C237" s="764"/>
      <c r="D237" s="764"/>
      <c r="E237" s="839"/>
      <c r="F237" s="687"/>
      <c r="G237" s="775"/>
      <c r="H237" s="777"/>
      <c r="I237" s="687"/>
      <c r="J237" s="764"/>
      <c r="K237" s="838"/>
      <c r="L237" s="687"/>
      <c r="M237" s="775"/>
      <c r="N237" s="689"/>
      <c r="O237" s="764"/>
    </row>
    <row r="238">
      <c r="A238" s="764"/>
      <c r="B238" s="775"/>
      <c r="C238" s="764"/>
      <c r="D238" s="764"/>
      <c r="E238" s="839"/>
      <c r="F238" s="687"/>
      <c r="G238" s="775"/>
      <c r="H238" s="777"/>
      <c r="I238" s="687"/>
      <c r="J238" s="764"/>
      <c r="K238" s="838"/>
      <c r="L238" s="687"/>
      <c r="M238" s="775"/>
      <c r="N238" s="689"/>
      <c r="O238" s="764"/>
    </row>
    <row r="239">
      <c r="A239" s="764"/>
      <c r="B239" s="775"/>
      <c r="C239" s="764"/>
      <c r="D239" s="764"/>
      <c r="E239" s="839"/>
      <c r="F239" s="687"/>
      <c r="G239" s="775"/>
      <c r="H239" s="777"/>
      <c r="I239" s="687"/>
      <c r="J239" s="764"/>
      <c r="K239" s="838"/>
      <c r="L239" s="687"/>
      <c r="M239" s="775"/>
      <c r="N239" s="689"/>
      <c r="O239" s="764"/>
    </row>
    <row r="240">
      <c r="A240" s="764"/>
      <c r="B240" s="775"/>
      <c r="C240" s="764"/>
      <c r="D240" s="764"/>
      <c r="E240" s="839"/>
      <c r="F240" s="687"/>
      <c r="G240" s="775"/>
      <c r="H240" s="777"/>
      <c r="I240" s="687"/>
      <c r="J240" s="764"/>
      <c r="K240" s="838"/>
      <c r="L240" s="687"/>
      <c r="M240" s="775"/>
      <c r="N240" s="689"/>
      <c r="O240" s="764"/>
    </row>
    <row r="241">
      <c r="A241" s="764"/>
      <c r="B241" s="775"/>
      <c r="C241" s="764"/>
      <c r="D241" s="764"/>
      <c r="E241" s="839"/>
      <c r="F241" s="687"/>
      <c r="G241" s="775"/>
      <c r="H241" s="777"/>
      <c r="I241" s="687"/>
      <c r="J241" s="764"/>
      <c r="K241" s="838"/>
      <c r="L241" s="687"/>
      <c r="M241" s="775"/>
      <c r="N241" s="689"/>
      <c r="O241" s="764"/>
    </row>
    <row r="242">
      <c r="A242" s="764"/>
      <c r="B242" s="775"/>
      <c r="C242" s="764"/>
      <c r="D242" s="764"/>
      <c r="E242" s="839"/>
      <c r="F242" s="687"/>
      <c r="G242" s="775"/>
      <c r="H242" s="777"/>
      <c r="I242" s="687"/>
      <c r="J242" s="764"/>
      <c r="K242" s="838"/>
      <c r="L242" s="687"/>
      <c r="M242" s="775"/>
      <c r="N242" s="689"/>
      <c r="O242" s="764"/>
    </row>
    <row r="243">
      <c r="A243" s="764"/>
      <c r="B243" s="775"/>
      <c r="C243" s="764"/>
      <c r="D243" s="764"/>
      <c r="E243" s="839"/>
      <c r="F243" s="687"/>
      <c r="G243" s="775"/>
      <c r="H243" s="777"/>
      <c r="I243" s="687"/>
      <c r="J243" s="764"/>
      <c r="K243" s="838"/>
      <c r="L243" s="687"/>
      <c r="M243" s="775"/>
      <c r="N243" s="689"/>
      <c r="O243" s="764"/>
    </row>
    <row r="244">
      <c r="A244" s="764"/>
      <c r="B244" s="775"/>
      <c r="C244" s="764"/>
      <c r="D244" s="764"/>
      <c r="E244" s="839"/>
      <c r="F244" s="687"/>
      <c r="G244" s="775"/>
      <c r="H244" s="777"/>
      <c r="I244" s="687"/>
      <c r="J244" s="764"/>
      <c r="K244" s="838"/>
      <c r="L244" s="687"/>
      <c r="M244" s="775"/>
      <c r="N244" s="689"/>
      <c r="O244" s="764"/>
    </row>
    <row r="245">
      <c r="A245" s="764"/>
      <c r="B245" s="775"/>
      <c r="C245" s="764"/>
      <c r="D245" s="764"/>
      <c r="E245" s="839"/>
      <c r="F245" s="687"/>
      <c r="G245" s="775"/>
      <c r="H245" s="777"/>
      <c r="I245" s="687"/>
      <c r="J245" s="764"/>
      <c r="K245" s="838"/>
      <c r="L245" s="687"/>
      <c r="M245" s="775"/>
      <c r="N245" s="689"/>
      <c r="O245" s="764"/>
    </row>
    <row r="246">
      <c r="A246" s="764"/>
      <c r="B246" s="775"/>
      <c r="C246" s="764"/>
      <c r="D246" s="764"/>
      <c r="E246" s="839"/>
      <c r="F246" s="687"/>
      <c r="G246" s="775"/>
      <c r="H246" s="777"/>
      <c r="I246" s="687"/>
      <c r="J246" s="764"/>
      <c r="K246" s="838"/>
      <c r="L246" s="687"/>
      <c r="M246" s="775"/>
      <c r="N246" s="689"/>
      <c r="O246" s="764"/>
    </row>
    <row r="247">
      <c r="A247" s="764"/>
      <c r="B247" s="775"/>
      <c r="C247" s="764"/>
      <c r="D247" s="764"/>
      <c r="E247" s="839"/>
      <c r="F247" s="687"/>
      <c r="G247" s="775"/>
      <c r="H247" s="777"/>
      <c r="I247" s="687"/>
      <c r="J247" s="764"/>
      <c r="K247" s="838"/>
      <c r="L247" s="687"/>
      <c r="M247" s="775"/>
      <c r="N247" s="689"/>
      <c r="O247" s="764"/>
    </row>
    <row r="248">
      <c r="A248" s="764"/>
      <c r="B248" s="775"/>
      <c r="C248" s="764"/>
      <c r="D248" s="764"/>
      <c r="E248" s="839"/>
      <c r="F248" s="687"/>
      <c r="G248" s="775"/>
      <c r="H248" s="777"/>
      <c r="I248" s="687"/>
      <c r="J248" s="764"/>
      <c r="K248" s="838"/>
      <c r="L248" s="687"/>
      <c r="M248" s="775"/>
      <c r="N248" s="689"/>
      <c r="O248" s="764"/>
    </row>
    <row r="249">
      <c r="A249" s="764"/>
      <c r="B249" s="775"/>
      <c r="C249" s="764"/>
      <c r="D249" s="764"/>
      <c r="E249" s="839"/>
      <c r="F249" s="687"/>
      <c r="G249" s="775"/>
      <c r="H249" s="777"/>
      <c r="I249" s="687"/>
      <c r="J249" s="764"/>
      <c r="K249" s="838"/>
      <c r="L249" s="687"/>
      <c r="M249" s="775"/>
      <c r="N249" s="689"/>
      <c r="O249" s="764"/>
    </row>
    <row r="250">
      <c r="A250" s="764"/>
      <c r="B250" s="775"/>
      <c r="C250" s="764"/>
      <c r="D250" s="764"/>
      <c r="E250" s="839"/>
      <c r="F250" s="687"/>
      <c r="G250" s="775"/>
      <c r="H250" s="777"/>
      <c r="I250" s="687"/>
      <c r="J250" s="764"/>
      <c r="K250" s="838"/>
      <c r="L250" s="687"/>
      <c r="M250" s="775"/>
      <c r="N250" s="689"/>
      <c r="O250" s="764"/>
    </row>
    <row r="251">
      <c r="A251" s="764"/>
      <c r="B251" s="775"/>
      <c r="C251" s="764"/>
      <c r="D251" s="764"/>
      <c r="E251" s="839"/>
      <c r="F251" s="687"/>
      <c r="G251" s="775"/>
      <c r="H251" s="777"/>
      <c r="I251" s="687"/>
      <c r="J251" s="764"/>
      <c r="K251" s="838"/>
      <c r="L251" s="687"/>
      <c r="M251" s="775"/>
      <c r="N251" s="689"/>
      <c r="O251" s="764"/>
    </row>
    <row r="252">
      <c r="A252" s="764"/>
      <c r="B252" s="775"/>
      <c r="C252" s="764"/>
      <c r="D252" s="764"/>
      <c r="E252" s="839"/>
      <c r="F252" s="687"/>
      <c r="G252" s="775"/>
      <c r="H252" s="777"/>
      <c r="I252" s="687"/>
      <c r="J252" s="764"/>
      <c r="K252" s="838"/>
      <c r="L252" s="687"/>
      <c r="M252" s="775"/>
      <c r="N252" s="689"/>
      <c r="O252" s="764"/>
    </row>
    <row r="253">
      <c r="A253" s="764"/>
      <c r="B253" s="775"/>
      <c r="C253" s="764"/>
      <c r="D253" s="764"/>
      <c r="E253" s="839"/>
      <c r="F253" s="687"/>
      <c r="G253" s="775"/>
      <c r="H253" s="777"/>
      <c r="I253" s="687"/>
      <c r="J253" s="764"/>
      <c r="K253" s="838"/>
      <c r="L253" s="687"/>
      <c r="M253" s="775"/>
      <c r="N253" s="689"/>
      <c r="O253" s="764"/>
    </row>
    <row r="254">
      <c r="A254" s="764"/>
      <c r="B254" s="775"/>
      <c r="C254" s="764"/>
      <c r="D254" s="764"/>
      <c r="E254" s="839"/>
      <c r="F254" s="687"/>
      <c r="G254" s="775"/>
      <c r="H254" s="777"/>
      <c r="I254" s="687"/>
      <c r="J254" s="764"/>
      <c r="K254" s="838"/>
      <c r="L254" s="687"/>
      <c r="M254" s="775"/>
      <c r="N254" s="689"/>
      <c r="O254" s="764"/>
    </row>
    <row r="255">
      <c r="A255" s="764"/>
      <c r="B255" s="775"/>
      <c r="C255" s="764"/>
      <c r="D255" s="764"/>
      <c r="E255" s="839"/>
      <c r="F255" s="687"/>
      <c r="G255" s="775"/>
      <c r="H255" s="777"/>
      <c r="I255" s="687"/>
      <c r="J255" s="764"/>
      <c r="K255" s="838"/>
      <c r="L255" s="687"/>
      <c r="M255" s="775"/>
      <c r="N255" s="689"/>
      <c r="O255" s="764"/>
    </row>
    <row r="256">
      <c r="A256" s="764"/>
      <c r="B256" s="775"/>
      <c r="C256" s="764"/>
      <c r="D256" s="764"/>
      <c r="E256" s="839"/>
      <c r="F256" s="687"/>
      <c r="G256" s="775"/>
      <c r="H256" s="777"/>
      <c r="I256" s="687"/>
      <c r="J256" s="764"/>
      <c r="K256" s="838"/>
      <c r="L256" s="687"/>
      <c r="M256" s="775"/>
      <c r="N256" s="689"/>
      <c r="O256" s="764"/>
    </row>
    <row r="257">
      <c r="A257" s="764"/>
      <c r="B257" s="775"/>
      <c r="C257" s="764"/>
      <c r="D257" s="764"/>
      <c r="E257" s="839"/>
      <c r="F257" s="687"/>
      <c r="G257" s="775"/>
      <c r="H257" s="777"/>
      <c r="I257" s="687"/>
      <c r="J257" s="764"/>
      <c r="K257" s="838"/>
      <c r="L257" s="687"/>
      <c r="M257" s="775"/>
      <c r="N257" s="689"/>
      <c r="O257" s="764"/>
    </row>
    <row r="258">
      <c r="A258" s="764"/>
      <c r="B258" s="775"/>
      <c r="C258" s="764"/>
      <c r="D258" s="764"/>
      <c r="E258" s="839"/>
      <c r="F258" s="687"/>
      <c r="G258" s="775"/>
      <c r="H258" s="777"/>
      <c r="I258" s="687"/>
      <c r="J258" s="764"/>
      <c r="K258" s="838"/>
      <c r="L258" s="687"/>
      <c r="M258" s="775"/>
      <c r="N258" s="689"/>
      <c r="O258" s="764"/>
    </row>
    <row r="259">
      <c r="A259" s="764"/>
      <c r="B259" s="775"/>
      <c r="C259" s="764"/>
      <c r="D259" s="764"/>
      <c r="E259" s="839"/>
      <c r="F259" s="687"/>
      <c r="G259" s="775"/>
      <c r="H259" s="777"/>
      <c r="I259" s="687"/>
      <c r="J259" s="764"/>
      <c r="K259" s="838"/>
      <c r="L259" s="687"/>
      <c r="M259" s="775"/>
      <c r="N259" s="689"/>
      <c r="O259" s="764"/>
    </row>
    <row r="260">
      <c r="A260" s="764"/>
      <c r="B260" s="775"/>
      <c r="C260" s="764"/>
      <c r="D260" s="764"/>
      <c r="E260" s="839"/>
      <c r="F260" s="687"/>
      <c r="G260" s="775"/>
      <c r="H260" s="777"/>
      <c r="I260" s="687"/>
      <c r="J260" s="764"/>
      <c r="K260" s="838"/>
      <c r="L260" s="687"/>
      <c r="M260" s="775"/>
      <c r="N260" s="689"/>
      <c r="O260" s="764"/>
    </row>
    <row r="261">
      <c r="A261" s="764"/>
      <c r="B261" s="775"/>
      <c r="C261" s="764"/>
      <c r="D261" s="764"/>
      <c r="E261" s="839"/>
      <c r="F261" s="687"/>
      <c r="G261" s="775"/>
      <c r="H261" s="777"/>
      <c r="I261" s="687"/>
      <c r="J261" s="764"/>
      <c r="K261" s="838"/>
      <c r="L261" s="687"/>
      <c r="M261" s="775"/>
      <c r="N261" s="689"/>
      <c r="O261" s="764"/>
    </row>
    <row r="262">
      <c r="A262" s="764"/>
      <c r="B262" s="775"/>
      <c r="C262" s="764"/>
      <c r="D262" s="764"/>
      <c r="E262" s="839"/>
      <c r="F262" s="687"/>
      <c r="G262" s="775"/>
      <c r="H262" s="777"/>
      <c r="I262" s="687"/>
      <c r="J262" s="764"/>
      <c r="K262" s="838"/>
      <c r="L262" s="687"/>
      <c r="M262" s="775"/>
      <c r="N262" s="689"/>
      <c r="O262" s="764"/>
    </row>
    <row r="263">
      <c r="A263" s="764"/>
      <c r="B263" s="775"/>
      <c r="C263" s="764"/>
      <c r="D263" s="764"/>
      <c r="E263" s="839"/>
      <c r="F263" s="687"/>
      <c r="G263" s="775"/>
      <c r="H263" s="777"/>
      <c r="I263" s="687"/>
      <c r="J263" s="764"/>
      <c r="K263" s="838"/>
      <c r="L263" s="687"/>
      <c r="M263" s="775"/>
      <c r="N263" s="689"/>
      <c r="O263" s="764"/>
    </row>
    <row r="264">
      <c r="A264" s="764"/>
      <c r="B264" s="775"/>
      <c r="C264" s="764"/>
      <c r="D264" s="764"/>
      <c r="E264" s="839"/>
      <c r="F264" s="687"/>
      <c r="G264" s="775"/>
      <c r="H264" s="777"/>
      <c r="I264" s="687"/>
      <c r="J264" s="764"/>
      <c r="K264" s="838"/>
      <c r="L264" s="687"/>
      <c r="M264" s="775"/>
      <c r="N264" s="689"/>
      <c r="O264" s="764"/>
    </row>
    <row r="265">
      <c r="A265" s="764"/>
      <c r="B265" s="775"/>
      <c r="C265" s="764"/>
      <c r="D265" s="764"/>
      <c r="E265" s="839"/>
      <c r="F265" s="687"/>
      <c r="G265" s="775"/>
      <c r="H265" s="777"/>
      <c r="I265" s="687"/>
      <c r="J265" s="764"/>
      <c r="K265" s="838"/>
      <c r="L265" s="687"/>
      <c r="M265" s="775"/>
      <c r="N265" s="689"/>
      <c r="O265" s="764"/>
    </row>
    <row r="266">
      <c r="A266" s="764"/>
      <c r="B266" s="775"/>
      <c r="C266" s="764"/>
      <c r="D266" s="764"/>
      <c r="E266" s="839"/>
      <c r="F266" s="687"/>
      <c r="G266" s="775"/>
      <c r="H266" s="777"/>
      <c r="I266" s="687"/>
      <c r="J266" s="764"/>
      <c r="K266" s="838"/>
      <c r="L266" s="687"/>
      <c r="M266" s="775"/>
      <c r="N266" s="689"/>
      <c r="O266" s="764"/>
    </row>
    <row r="267">
      <c r="A267" s="764"/>
      <c r="B267" s="775"/>
      <c r="C267" s="764"/>
      <c r="D267" s="764"/>
      <c r="E267" s="839"/>
      <c r="F267" s="687"/>
      <c r="G267" s="775"/>
      <c r="H267" s="777"/>
      <c r="I267" s="687"/>
      <c r="J267" s="764"/>
      <c r="K267" s="838"/>
      <c r="L267" s="687"/>
      <c r="M267" s="775"/>
      <c r="N267" s="689"/>
      <c r="O267" s="764"/>
    </row>
    <row r="268">
      <c r="A268" s="764"/>
      <c r="B268" s="775"/>
      <c r="C268" s="764"/>
      <c r="D268" s="764"/>
      <c r="E268" s="839"/>
      <c r="F268" s="687"/>
      <c r="G268" s="775"/>
      <c r="H268" s="777"/>
      <c r="I268" s="687"/>
      <c r="J268" s="764"/>
      <c r="K268" s="838"/>
      <c r="L268" s="687"/>
      <c r="M268" s="775"/>
      <c r="N268" s="689"/>
      <c r="O268" s="764"/>
    </row>
    <row r="269">
      <c r="A269" s="764"/>
      <c r="B269" s="775"/>
      <c r="C269" s="764"/>
      <c r="D269" s="764"/>
      <c r="E269" s="839"/>
      <c r="F269" s="687"/>
      <c r="G269" s="775"/>
      <c r="H269" s="777"/>
      <c r="I269" s="687"/>
      <c r="J269" s="764"/>
      <c r="K269" s="838"/>
      <c r="L269" s="687"/>
      <c r="M269" s="775"/>
      <c r="N269" s="689"/>
      <c r="O269" s="764"/>
    </row>
    <row r="270">
      <c r="A270" s="764"/>
      <c r="B270" s="775"/>
      <c r="C270" s="764"/>
      <c r="D270" s="764"/>
      <c r="E270" s="839"/>
      <c r="F270" s="687"/>
      <c r="G270" s="775"/>
      <c r="H270" s="777"/>
      <c r="I270" s="687"/>
      <c r="J270" s="764"/>
      <c r="K270" s="838"/>
      <c r="L270" s="687"/>
      <c r="M270" s="775"/>
      <c r="N270" s="689"/>
      <c r="O270" s="764"/>
    </row>
    <row r="271">
      <c r="A271" s="764"/>
      <c r="B271" s="775"/>
      <c r="C271" s="764"/>
      <c r="D271" s="764"/>
      <c r="E271" s="839"/>
      <c r="F271" s="687"/>
      <c r="G271" s="775"/>
      <c r="H271" s="777"/>
      <c r="I271" s="687"/>
      <c r="J271" s="764"/>
      <c r="K271" s="838"/>
      <c r="L271" s="687"/>
      <c r="M271" s="775"/>
      <c r="N271" s="689"/>
      <c r="O271" s="764"/>
    </row>
    <row r="272">
      <c r="A272" s="764"/>
      <c r="B272" s="775"/>
      <c r="C272" s="764"/>
      <c r="D272" s="764"/>
      <c r="E272" s="839"/>
      <c r="F272" s="687"/>
      <c r="G272" s="775"/>
      <c r="H272" s="777"/>
      <c r="I272" s="687"/>
      <c r="J272" s="764"/>
      <c r="K272" s="838"/>
      <c r="L272" s="687"/>
      <c r="M272" s="775"/>
      <c r="N272" s="689"/>
      <c r="O272" s="764"/>
    </row>
    <row r="273">
      <c r="A273" s="764"/>
      <c r="B273" s="775"/>
      <c r="C273" s="764"/>
      <c r="D273" s="764"/>
      <c r="E273" s="839"/>
      <c r="F273" s="687"/>
      <c r="G273" s="775"/>
      <c r="H273" s="777"/>
      <c r="I273" s="687"/>
      <c r="J273" s="764"/>
      <c r="K273" s="838"/>
      <c r="L273" s="687"/>
      <c r="M273" s="775"/>
      <c r="N273" s="689"/>
      <c r="O273" s="764"/>
    </row>
    <row r="274">
      <c r="A274" s="764"/>
      <c r="B274" s="775"/>
      <c r="C274" s="764"/>
      <c r="D274" s="764"/>
      <c r="E274" s="839"/>
      <c r="F274" s="687"/>
      <c r="G274" s="775"/>
      <c r="H274" s="777"/>
      <c r="I274" s="687"/>
      <c r="J274" s="764"/>
      <c r="K274" s="838"/>
      <c r="L274" s="687"/>
      <c r="M274" s="775"/>
      <c r="N274" s="689"/>
      <c r="O274" s="764"/>
    </row>
    <row r="275">
      <c r="A275" s="764"/>
      <c r="B275" s="775"/>
      <c r="C275" s="764"/>
      <c r="D275" s="764"/>
      <c r="E275" s="839"/>
      <c r="F275" s="687"/>
      <c r="G275" s="775"/>
      <c r="H275" s="777"/>
      <c r="I275" s="687"/>
      <c r="J275" s="764"/>
      <c r="K275" s="838"/>
      <c r="L275" s="687"/>
      <c r="M275" s="775"/>
      <c r="N275" s="689"/>
      <c r="O275" s="764"/>
    </row>
    <row r="276">
      <c r="A276" s="764"/>
      <c r="B276" s="775"/>
      <c r="C276" s="764"/>
      <c r="D276" s="764"/>
      <c r="E276" s="839"/>
      <c r="F276" s="687"/>
      <c r="G276" s="775"/>
      <c r="H276" s="777"/>
      <c r="I276" s="687"/>
      <c r="J276" s="764"/>
      <c r="K276" s="838"/>
      <c r="L276" s="687"/>
      <c r="M276" s="775"/>
      <c r="N276" s="689"/>
      <c r="O276" s="764"/>
    </row>
    <row r="277">
      <c r="A277" s="764"/>
      <c r="B277" s="775"/>
      <c r="C277" s="764"/>
      <c r="D277" s="764"/>
      <c r="E277" s="839"/>
      <c r="F277" s="687"/>
      <c r="G277" s="775"/>
      <c r="H277" s="777"/>
      <c r="I277" s="687"/>
      <c r="J277" s="764"/>
      <c r="K277" s="838"/>
      <c r="L277" s="687"/>
      <c r="M277" s="775"/>
      <c r="N277" s="689"/>
      <c r="O277" s="764"/>
    </row>
    <row r="278">
      <c r="A278" s="764"/>
      <c r="B278" s="775"/>
      <c r="C278" s="764"/>
      <c r="D278" s="764"/>
      <c r="E278" s="839"/>
      <c r="F278" s="687"/>
      <c r="G278" s="775"/>
      <c r="H278" s="777"/>
      <c r="I278" s="687"/>
      <c r="J278" s="764"/>
      <c r="K278" s="838"/>
      <c r="L278" s="687"/>
      <c r="M278" s="775"/>
      <c r="N278" s="689"/>
      <c r="O278" s="764"/>
    </row>
    <row r="279">
      <c r="A279" s="764"/>
      <c r="B279" s="775"/>
      <c r="C279" s="764"/>
      <c r="D279" s="764"/>
      <c r="E279" s="839"/>
      <c r="F279" s="687"/>
      <c r="G279" s="775"/>
      <c r="H279" s="777"/>
      <c r="I279" s="687"/>
      <c r="J279" s="764"/>
      <c r="K279" s="838"/>
      <c r="L279" s="687"/>
      <c r="M279" s="775"/>
      <c r="N279" s="689"/>
      <c r="O279" s="764"/>
    </row>
    <row r="280">
      <c r="A280" s="764"/>
      <c r="B280" s="775"/>
      <c r="C280" s="764"/>
      <c r="D280" s="764"/>
      <c r="E280" s="839"/>
      <c r="F280" s="687"/>
      <c r="G280" s="775"/>
      <c r="H280" s="777"/>
      <c r="I280" s="687"/>
      <c r="J280" s="764"/>
      <c r="K280" s="838"/>
      <c r="L280" s="687"/>
      <c r="M280" s="775"/>
      <c r="N280" s="689"/>
      <c r="O280" s="764"/>
    </row>
    <row r="281">
      <c r="A281" s="764"/>
      <c r="B281" s="775"/>
      <c r="C281" s="764"/>
      <c r="D281" s="764"/>
      <c r="E281" s="839"/>
      <c r="F281" s="687"/>
      <c r="G281" s="775"/>
      <c r="H281" s="777"/>
      <c r="I281" s="687"/>
      <c r="J281" s="764"/>
      <c r="K281" s="838"/>
      <c r="L281" s="687"/>
      <c r="M281" s="775"/>
      <c r="N281" s="689"/>
      <c r="O281" s="764"/>
    </row>
    <row r="282">
      <c r="A282" s="764"/>
      <c r="B282" s="775"/>
      <c r="C282" s="764"/>
      <c r="D282" s="764"/>
      <c r="E282" s="839"/>
      <c r="F282" s="687"/>
      <c r="G282" s="775"/>
      <c r="H282" s="777"/>
      <c r="I282" s="687"/>
      <c r="J282" s="764"/>
      <c r="K282" s="838"/>
      <c r="L282" s="687"/>
      <c r="M282" s="775"/>
      <c r="N282" s="689"/>
      <c r="O282" s="764"/>
    </row>
    <row r="283">
      <c r="A283" s="764"/>
      <c r="B283" s="775"/>
      <c r="C283" s="764"/>
      <c r="D283" s="764"/>
      <c r="E283" s="839"/>
      <c r="F283" s="687"/>
      <c r="G283" s="775"/>
      <c r="H283" s="777"/>
      <c r="I283" s="687"/>
      <c r="J283" s="764"/>
      <c r="K283" s="838"/>
      <c r="L283" s="687"/>
      <c r="M283" s="775"/>
      <c r="N283" s="689"/>
      <c r="O283" s="764"/>
    </row>
    <row r="284">
      <c r="A284" s="764"/>
      <c r="B284" s="775"/>
      <c r="C284" s="764"/>
      <c r="D284" s="764"/>
      <c r="E284" s="839"/>
      <c r="F284" s="687"/>
      <c r="G284" s="775"/>
      <c r="H284" s="777"/>
      <c r="I284" s="687"/>
      <c r="J284" s="764"/>
      <c r="K284" s="838"/>
      <c r="L284" s="687"/>
      <c r="M284" s="775"/>
      <c r="N284" s="689"/>
      <c r="O284" s="764"/>
    </row>
    <row r="285">
      <c r="A285" s="764"/>
      <c r="B285" s="775"/>
      <c r="C285" s="764"/>
      <c r="D285" s="764"/>
      <c r="E285" s="839"/>
      <c r="F285" s="687"/>
      <c r="G285" s="775"/>
      <c r="H285" s="777"/>
      <c r="I285" s="687"/>
      <c r="J285" s="764"/>
      <c r="K285" s="838"/>
      <c r="L285" s="687"/>
      <c r="M285" s="775"/>
      <c r="N285" s="689"/>
      <c r="O285" s="764"/>
    </row>
    <row r="286">
      <c r="A286" s="764"/>
      <c r="B286" s="775"/>
      <c r="C286" s="764"/>
      <c r="D286" s="764"/>
      <c r="E286" s="839"/>
      <c r="F286" s="687"/>
      <c r="G286" s="775"/>
      <c r="H286" s="777"/>
      <c r="I286" s="687"/>
      <c r="J286" s="764"/>
      <c r="K286" s="838"/>
      <c r="L286" s="687"/>
      <c r="M286" s="775"/>
      <c r="N286" s="689"/>
      <c r="O286" s="764"/>
    </row>
    <row r="287">
      <c r="A287" s="764"/>
      <c r="B287" s="775"/>
      <c r="C287" s="764"/>
      <c r="D287" s="764"/>
      <c r="E287" s="839"/>
      <c r="F287" s="687"/>
      <c r="G287" s="775"/>
      <c r="H287" s="777"/>
      <c r="I287" s="687"/>
      <c r="J287" s="764"/>
      <c r="K287" s="838"/>
      <c r="L287" s="687"/>
      <c r="M287" s="775"/>
      <c r="N287" s="689"/>
      <c r="O287" s="764"/>
    </row>
    <row r="288">
      <c r="A288" s="764"/>
      <c r="B288" s="775"/>
      <c r="C288" s="764"/>
      <c r="D288" s="764"/>
      <c r="E288" s="839"/>
      <c r="F288" s="687"/>
      <c r="G288" s="775"/>
      <c r="H288" s="777"/>
      <c r="I288" s="687"/>
      <c r="J288" s="764"/>
      <c r="K288" s="838"/>
      <c r="L288" s="687"/>
      <c r="M288" s="775"/>
      <c r="N288" s="689"/>
      <c r="O288" s="764"/>
    </row>
    <row r="289">
      <c r="A289" s="764"/>
      <c r="B289" s="775"/>
      <c r="C289" s="764"/>
      <c r="D289" s="764"/>
      <c r="E289" s="839"/>
      <c r="F289" s="687"/>
      <c r="G289" s="775"/>
      <c r="H289" s="777"/>
      <c r="I289" s="687"/>
      <c r="J289" s="764"/>
      <c r="K289" s="838"/>
      <c r="L289" s="687"/>
      <c r="M289" s="775"/>
      <c r="N289" s="689"/>
      <c r="O289" s="764"/>
    </row>
    <row r="290">
      <c r="A290" s="764"/>
      <c r="B290" s="775"/>
      <c r="C290" s="764"/>
      <c r="D290" s="764"/>
      <c r="E290" s="839"/>
      <c r="F290" s="687"/>
      <c r="G290" s="775"/>
      <c r="H290" s="777"/>
      <c r="I290" s="687"/>
      <c r="J290" s="764"/>
      <c r="K290" s="838"/>
      <c r="L290" s="687"/>
      <c r="M290" s="775"/>
      <c r="N290" s="689"/>
      <c r="O290" s="764"/>
    </row>
    <row r="291">
      <c r="A291" s="764"/>
      <c r="B291" s="775"/>
      <c r="C291" s="764"/>
      <c r="D291" s="764"/>
      <c r="E291" s="839"/>
      <c r="F291" s="687"/>
      <c r="G291" s="775"/>
      <c r="H291" s="777"/>
      <c r="I291" s="687"/>
      <c r="J291" s="764"/>
      <c r="K291" s="838"/>
      <c r="L291" s="687"/>
      <c r="M291" s="775"/>
      <c r="N291" s="689"/>
      <c r="O291" s="764"/>
    </row>
    <row r="292">
      <c r="A292" s="764"/>
      <c r="B292" s="775"/>
      <c r="C292" s="764"/>
      <c r="D292" s="764"/>
      <c r="E292" s="839"/>
      <c r="F292" s="687"/>
      <c r="G292" s="775"/>
      <c r="H292" s="777"/>
      <c r="I292" s="687"/>
      <c r="J292" s="764"/>
      <c r="K292" s="838"/>
      <c r="L292" s="687"/>
      <c r="M292" s="775"/>
      <c r="N292" s="689"/>
      <c r="O292" s="764"/>
    </row>
    <row r="293">
      <c r="A293" s="764"/>
      <c r="B293" s="775"/>
      <c r="C293" s="764"/>
      <c r="D293" s="764"/>
      <c r="E293" s="839"/>
      <c r="F293" s="687"/>
      <c r="G293" s="775"/>
      <c r="H293" s="777"/>
      <c r="I293" s="687"/>
      <c r="J293" s="764"/>
      <c r="K293" s="838"/>
      <c r="L293" s="687"/>
      <c r="M293" s="775"/>
      <c r="N293" s="689"/>
      <c r="O293" s="764"/>
    </row>
    <row r="294">
      <c r="A294" s="764"/>
      <c r="B294" s="775"/>
      <c r="C294" s="764"/>
      <c r="D294" s="764"/>
      <c r="E294" s="839"/>
      <c r="F294" s="687"/>
      <c r="G294" s="775"/>
      <c r="H294" s="777"/>
      <c r="I294" s="687"/>
      <c r="J294" s="764"/>
      <c r="K294" s="838"/>
      <c r="L294" s="687"/>
      <c r="M294" s="775"/>
      <c r="N294" s="689"/>
      <c r="O294" s="764"/>
    </row>
    <row r="295">
      <c r="A295" s="764"/>
      <c r="B295" s="775"/>
      <c r="C295" s="764"/>
      <c r="D295" s="764"/>
      <c r="E295" s="839"/>
      <c r="F295" s="687"/>
      <c r="G295" s="775"/>
      <c r="H295" s="777"/>
      <c r="I295" s="687"/>
      <c r="J295" s="764"/>
      <c r="K295" s="838"/>
      <c r="L295" s="687"/>
      <c r="M295" s="775"/>
      <c r="N295" s="689"/>
      <c r="O295" s="764"/>
    </row>
    <row r="296">
      <c r="A296" s="764"/>
      <c r="B296" s="775"/>
      <c r="C296" s="764"/>
      <c r="D296" s="764"/>
      <c r="E296" s="839"/>
      <c r="F296" s="687"/>
      <c r="G296" s="775"/>
      <c r="H296" s="777"/>
      <c r="I296" s="687"/>
      <c r="J296" s="764"/>
      <c r="K296" s="838"/>
      <c r="L296" s="687"/>
      <c r="M296" s="775"/>
      <c r="N296" s="689"/>
      <c r="O296" s="764"/>
    </row>
    <row r="297">
      <c r="A297" s="764"/>
      <c r="B297" s="775"/>
      <c r="C297" s="764"/>
      <c r="D297" s="764"/>
      <c r="E297" s="839"/>
      <c r="F297" s="687"/>
      <c r="G297" s="775"/>
      <c r="H297" s="777"/>
      <c r="I297" s="687"/>
      <c r="J297" s="764"/>
      <c r="K297" s="838"/>
      <c r="L297" s="687"/>
      <c r="M297" s="775"/>
      <c r="N297" s="689"/>
      <c r="O297" s="764"/>
    </row>
    <row r="298">
      <c r="A298" s="764"/>
      <c r="B298" s="775"/>
      <c r="C298" s="764"/>
      <c r="D298" s="764"/>
      <c r="E298" s="839"/>
      <c r="F298" s="687"/>
      <c r="G298" s="775"/>
      <c r="H298" s="777"/>
      <c r="I298" s="687"/>
      <c r="J298" s="764"/>
      <c r="K298" s="838"/>
      <c r="L298" s="687"/>
      <c r="M298" s="775"/>
      <c r="N298" s="689"/>
      <c r="O298" s="764"/>
    </row>
    <row r="299">
      <c r="A299" s="764"/>
      <c r="B299" s="775"/>
      <c r="C299" s="764"/>
      <c r="D299" s="764"/>
      <c r="E299" s="839"/>
      <c r="F299" s="687"/>
      <c r="G299" s="775"/>
      <c r="H299" s="777"/>
      <c r="I299" s="687"/>
      <c r="J299" s="764"/>
      <c r="K299" s="838"/>
      <c r="L299" s="687"/>
      <c r="M299" s="775"/>
      <c r="N299" s="689"/>
      <c r="O299" s="764"/>
    </row>
    <row r="300">
      <c r="A300" s="764"/>
      <c r="B300" s="775"/>
      <c r="C300" s="764"/>
      <c r="D300" s="764"/>
      <c r="E300" s="839"/>
      <c r="F300" s="687"/>
      <c r="G300" s="775"/>
      <c r="H300" s="777"/>
      <c r="I300" s="687"/>
      <c r="J300" s="764"/>
      <c r="K300" s="838"/>
      <c r="L300" s="687"/>
      <c r="M300" s="775"/>
      <c r="N300" s="689"/>
      <c r="O300" s="764"/>
    </row>
    <row r="301">
      <c r="A301" s="764"/>
      <c r="B301" s="775"/>
      <c r="C301" s="764"/>
      <c r="D301" s="764"/>
      <c r="E301" s="839"/>
      <c r="F301" s="687"/>
      <c r="G301" s="775"/>
      <c r="H301" s="777"/>
      <c r="I301" s="687"/>
      <c r="J301" s="764"/>
      <c r="K301" s="838"/>
      <c r="L301" s="687"/>
      <c r="M301" s="775"/>
      <c r="N301" s="689"/>
      <c r="O301" s="764"/>
    </row>
    <row r="302">
      <c r="A302" s="764"/>
      <c r="B302" s="775"/>
      <c r="C302" s="764"/>
      <c r="D302" s="764"/>
      <c r="E302" s="839"/>
      <c r="F302" s="687"/>
      <c r="G302" s="775"/>
      <c r="H302" s="777"/>
      <c r="I302" s="687"/>
      <c r="J302" s="764"/>
      <c r="K302" s="838"/>
      <c r="L302" s="687"/>
      <c r="M302" s="775"/>
      <c r="N302" s="689"/>
      <c r="O302" s="764"/>
    </row>
    <row r="303">
      <c r="A303" s="764"/>
      <c r="B303" s="775"/>
      <c r="C303" s="764"/>
      <c r="D303" s="764"/>
      <c r="E303" s="839"/>
      <c r="F303" s="687"/>
      <c r="G303" s="775"/>
      <c r="H303" s="777"/>
      <c r="I303" s="687"/>
      <c r="J303" s="764"/>
      <c r="K303" s="838"/>
      <c r="L303" s="687"/>
      <c r="M303" s="775"/>
      <c r="N303" s="689"/>
      <c r="O303" s="764"/>
    </row>
    <row r="304">
      <c r="A304" s="764"/>
      <c r="B304" s="775"/>
      <c r="C304" s="764"/>
      <c r="D304" s="764"/>
      <c r="E304" s="839"/>
      <c r="F304" s="687"/>
      <c r="G304" s="775"/>
      <c r="H304" s="777"/>
      <c r="I304" s="687"/>
      <c r="J304" s="764"/>
      <c r="K304" s="838"/>
      <c r="L304" s="687"/>
      <c r="M304" s="775"/>
      <c r="N304" s="689"/>
      <c r="O304" s="764"/>
    </row>
    <row r="305">
      <c r="A305" s="764"/>
      <c r="B305" s="775"/>
      <c r="C305" s="764"/>
      <c r="D305" s="764"/>
      <c r="E305" s="839"/>
      <c r="F305" s="687"/>
      <c r="G305" s="775"/>
      <c r="H305" s="777"/>
      <c r="I305" s="687"/>
      <c r="J305" s="764"/>
      <c r="K305" s="838"/>
      <c r="L305" s="687"/>
      <c r="M305" s="775"/>
      <c r="N305" s="689"/>
      <c r="O305" s="764"/>
    </row>
    <row r="306">
      <c r="A306" s="764"/>
      <c r="B306" s="775"/>
      <c r="C306" s="764"/>
      <c r="D306" s="764"/>
      <c r="E306" s="839"/>
      <c r="F306" s="687"/>
      <c r="G306" s="775"/>
      <c r="H306" s="777"/>
      <c r="I306" s="687"/>
      <c r="J306" s="764"/>
      <c r="K306" s="838"/>
      <c r="L306" s="687"/>
      <c r="M306" s="775"/>
      <c r="N306" s="689"/>
      <c r="O306" s="764"/>
    </row>
    <row r="307">
      <c r="A307" s="764"/>
      <c r="B307" s="775"/>
      <c r="C307" s="764"/>
      <c r="D307" s="764"/>
      <c r="E307" s="839"/>
      <c r="F307" s="687"/>
      <c r="G307" s="775"/>
      <c r="H307" s="777"/>
      <c r="I307" s="687"/>
      <c r="J307" s="764"/>
      <c r="K307" s="838"/>
      <c r="L307" s="687"/>
      <c r="M307" s="775"/>
      <c r="N307" s="689"/>
      <c r="O307" s="764"/>
    </row>
    <row r="308">
      <c r="A308" s="764"/>
      <c r="B308" s="775"/>
      <c r="C308" s="764"/>
      <c r="D308" s="764"/>
      <c r="E308" s="839"/>
      <c r="F308" s="687"/>
      <c r="G308" s="775"/>
      <c r="H308" s="777"/>
      <c r="I308" s="687"/>
      <c r="J308" s="764"/>
      <c r="K308" s="838"/>
      <c r="L308" s="687"/>
      <c r="M308" s="775"/>
      <c r="N308" s="689"/>
      <c r="O308" s="764"/>
    </row>
    <row r="309">
      <c r="A309" s="764"/>
      <c r="B309" s="775"/>
      <c r="C309" s="764"/>
      <c r="D309" s="764"/>
      <c r="E309" s="839"/>
      <c r="F309" s="687"/>
      <c r="G309" s="775"/>
      <c r="H309" s="777"/>
      <c r="I309" s="687"/>
      <c r="J309" s="764"/>
      <c r="K309" s="838"/>
      <c r="L309" s="687"/>
      <c r="M309" s="775"/>
      <c r="N309" s="689"/>
      <c r="O309" s="764"/>
    </row>
    <row r="310">
      <c r="A310" s="764"/>
      <c r="B310" s="775"/>
      <c r="C310" s="764"/>
      <c r="D310" s="764"/>
      <c r="E310" s="839"/>
      <c r="F310" s="687"/>
      <c r="G310" s="775"/>
      <c r="H310" s="777"/>
      <c r="I310" s="687"/>
      <c r="J310" s="764"/>
      <c r="K310" s="838"/>
      <c r="L310" s="687"/>
      <c r="M310" s="775"/>
      <c r="N310" s="689"/>
      <c r="O310" s="764"/>
    </row>
    <row r="311">
      <c r="A311" s="764"/>
      <c r="B311" s="775"/>
      <c r="C311" s="764"/>
      <c r="D311" s="764"/>
      <c r="E311" s="839"/>
      <c r="F311" s="687"/>
      <c r="G311" s="775"/>
      <c r="H311" s="777"/>
      <c r="I311" s="687"/>
      <c r="J311" s="764"/>
      <c r="K311" s="838"/>
      <c r="L311" s="687"/>
      <c r="M311" s="775"/>
      <c r="N311" s="689"/>
      <c r="O311" s="764"/>
    </row>
    <row r="312">
      <c r="A312" s="764"/>
      <c r="B312" s="775"/>
      <c r="C312" s="764"/>
      <c r="D312" s="764"/>
      <c r="E312" s="839"/>
      <c r="F312" s="687"/>
      <c r="G312" s="775"/>
      <c r="H312" s="777"/>
      <c r="I312" s="687"/>
      <c r="J312" s="764"/>
      <c r="K312" s="838"/>
      <c r="L312" s="687"/>
      <c r="M312" s="775"/>
      <c r="N312" s="689"/>
      <c r="O312" s="764"/>
    </row>
    <row r="313">
      <c r="A313" s="764"/>
      <c r="B313" s="775"/>
      <c r="C313" s="764"/>
      <c r="D313" s="764"/>
      <c r="E313" s="839"/>
      <c r="F313" s="687"/>
      <c r="G313" s="775"/>
      <c r="H313" s="777"/>
      <c r="I313" s="687"/>
      <c r="J313" s="764"/>
      <c r="K313" s="838"/>
      <c r="L313" s="687"/>
      <c r="M313" s="775"/>
      <c r="N313" s="689"/>
      <c r="O313" s="764"/>
    </row>
    <row r="314">
      <c r="A314" s="764"/>
      <c r="B314" s="775"/>
      <c r="C314" s="764"/>
      <c r="D314" s="764"/>
      <c r="E314" s="839"/>
      <c r="F314" s="687"/>
      <c r="G314" s="775"/>
      <c r="H314" s="777"/>
      <c r="I314" s="687"/>
      <c r="J314" s="764"/>
      <c r="K314" s="838"/>
      <c r="L314" s="687"/>
      <c r="M314" s="775"/>
      <c r="N314" s="689"/>
      <c r="O314" s="764"/>
    </row>
    <row r="315">
      <c r="A315" s="764"/>
      <c r="B315" s="775"/>
      <c r="C315" s="764"/>
      <c r="D315" s="764"/>
      <c r="E315" s="839"/>
      <c r="F315" s="687"/>
      <c r="G315" s="775"/>
      <c r="H315" s="777"/>
      <c r="I315" s="687"/>
      <c r="J315" s="764"/>
      <c r="K315" s="838"/>
      <c r="L315" s="687"/>
      <c r="M315" s="775"/>
      <c r="N315" s="689"/>
      <c r="O315" s="764"/>
    </row>
    <row r="316">
      <c r="A316" s="764"/>
      <c r="B316" s="775"/>
      <c r="C316" s="764"/>
      <c r="D316" s="764"/>
      <c r="E316" s="839"/>
      <c r="F316" s="687"/>
      <c r="G316" s="775"/>
      <c r="H316" s="777"/>
      <c r="I316" s="687"/>
      <c r="J316" s="764"/>
      <c r="K316" s="838"/>
      <c r="L316" s="687"/>
      <c r="M316" s="775"/>
      <c r="N316" s="689"/>
      <c r="O316" s="764"/>
    </row>
    <row r="317">
      <c r="A317" s="764"/>
      <c r="B317" s="775"/>
      <c r="C317" s="764"/>
      <c r="D317" s="764"/>
      <c r="E317" s="839"/>
      <c r="F317" s="687"/>
      <c r="G317" s="775"/>
      <c r="H317" s="777"/>
      <c r="I317" s="687"/>
      <c r="J317" s="764"/>
      <c r="K317" s="838"/>
      <c r="L317" s="687"/>
      <c r="M317" s="775"/>
      <c r="N317" s="689"/>
      <c r="O317" s="764"/>
    </row>
    <row r="318">
      <c r="A318" s="764"/>
      <c r="B318" s="775"/>
      <c r="C318" s="764"/>
      <c r="D318" s="764"/>
      <c r="E318" s="839"/>
      <c r="F318" s="687"/>
      <c r="G318" s="775"/>
      <c r="H318" s="777"/>
      <c r="I318" s="687"/>
      <c r="J318" s="764"/>
      <c r="K318" s="838"/>
      <c r="L318" s="687"/>
      <c r="M318" s="775"/>
      <c r="N318" s="689"/>
      <c r="O318" s="764"/>
    </row>
    <row r="319">
      <c r="A319" s="764"/>
      <c r="B319" s="775"/>
      <c r="C319" s="764"/>
      <c r="D319" s="764"/>
      <c r="E319" s="839"/>
      <c r="F319" s="687"/>
      <c r="G319" s="775"/>
      <c r="H319" s="777"/>
      <c r="I319" s="687"/>
      <c r="J319" s="764"/>
      <c r="K319" s="838"/>
      <c r="L319" s="687"/>
      <c r="M319" s="775"/>
      <c r="N319" s="689"/>
      <c r="O319" s="764"/>
    </row>
    <row r="320">
      <c r="A320" s="764"/>
      <c r="B320" s="775"/>
      <c r="C320" s="764"/>
      <c r="D320" s="764"/>
      <c r="E320" s="839"/>
      <c r="F320" s="687"/>
      <c r="G320" s="775"/>
      <c r="H320" s="777"/>
      <c r="I320" s="687"/>
      <c r="J320" s="764"/>
      <c r="K320" s="838"/>
      <c r="L320" s="687"/>
      <c r="M320" s="775"/>
      <c r="N320" s="689"/>
      <c r="O320" s="764"/>
    </row>
    <row r="321">
      <c r="A321" s="764"/>
      <c r="B321" s="775"/>
      <c r="C321" s="764"/>
      <c r="D321" s="764"/>
      <c r="E321" s="839"/>
      <c r="F321" s="687"/>
      <c r="G321" s="775"/>
      <c r="H321" s="777"/>
      <c r="I321" s="687"/>
      <c r="J321" s="764"/>
      <c r="K321" s="838"/>
      <c r="L321" s="687"/>
      <c r="M321" s="775"/>
      <c r="N321" s="689"/>
      <c r="O321" s="764"/>
    </row>
    <row r="322">
      <c r="A322" s="764"/>
      <c r="B322" s="775"/>
      <c r="C322" s="764"/>
      <c r="D322" s="764"/>
      <c r="E322" s="839"/>
      <c r="F322" s="687"/>
      <c r="G322" s="775"/>
      <c r="H322" s="777"/>
      <c r="I322" s="687"/>
      <c r="J322" s="764"/>
      <c r="K322" s="838"/>
      <c r="L322" s="687"/>
      <c r="M322" s="775"/>
      <c r="N322" s="689"/>
      <c r="O322" s="764"/>
    </row>
    <row r="323">
      <c r="A323" s="764"/>
      <c r="B323" s="775"/>
      <c r="C323" s="764"/>
      <c r="D323" s="764"/>
      <c r="E323" s="839"/>
      <c r="F323" s="687"/>
      <c r="G323" s="775"/>
      <c r="H323" s="777"/>
      <c r="I323" s="687"/>
      <c r="J323" s="764"/>
      <c r="K323" s="838"/>
      <c r="L323" s="687"/>
      <c r="M323" s="775"/>
      <c r="N323" s="689"/>
      <c r="O323" s="764"/>
    </row>
    <row r="324">
      <c r="A324" s="764"/>
      <c r="B324" s="775"/>
      <c r="C324" s="764"/>
      <c r="D324" s="764"/>
      <c r="E324" s="839"/>
      <c r="F324" s="687"/>
      <c r="G324" s="775"/>
      <c r="H324" s="777"/>
      <c r="I324" s="687"/>
      <c r="J324" s="764"/>
      <c r="K324" s="838"/>
      <c r="L324" s="687"/>
      <c r="M324" s="775"/>
      <c r="N324" s="689"/>
      <c r="O324" s="764"/>
    </row>
    <row r="325">
      <c r="A325" s="764"/>
      <c r="B325" s="775"/>
      <c r="C325" s="764"/>
      <c r="D325" s="764"/>
      <c r="E325" s="839"/>
      <c r="F325" s="687"/>
      <c r="G325" s="775"/>
      <c r="H325" s="777"/>
      <c r="I325" s="687"/>
      <c r="J325" s="764"/>
      <c r="K325" s="838"/>
      <c r="L325" s="687"/>
      <c r="M325" s="775"/>
      <c r="N325" s="689"/>
      <c r="O325" s="764"/>
    </row>
    <row r="326">
      <c r="A326" s="764"/>
      <c r="B326" s="775"/>
      <c r="C326" s="764"/>
      <c r="D326" s="764"/>
      <c r="E326" s="839"/>
      <c r="F326" s="687"/>
      <c r="G326" s="775"/>
      <c r="H326" s="777"/>
      <c r="I326" s="687"/>
      <c r="J326" s="764"/>
      <c r="K326" s="838"/>
      <c r="L326" s="687"/>
      <c r="M326" s="775"/>
      <c r="N326" s="689"/>
      <c r="O326" s="764"/>
    </row>
    <row r="327">
      <c r="A327" s="764"/>
      <c r="B327" s="775"/>
      <c r="C327" s="764"/>
      <c r="D327" s="764"/>
      <c r="E327" s="839"/>
      <c r="F327" s="687"/>
      <c r="G327" s="775"/>
      <c r="H327" s="777"/>
      <c r="I327" s="687"/>
      <c r="J327" s="764"/>
      <c r="K327" s="838"/>
      <c r="L327" s="687"/>
      <c r="M327" s="775"/>
      <c r="N327" s="689"/>
      <c r="O327" s="764"/>
    </row>
    <row r="328">
      <c r="A328" s="764"/>
      <c r="B328" s="775"/>
      <c r="C328" s="764"/>
      <c r="D328" s="764"/>
      <c r="E328" s="839"/>
      <c r="F328" s="687"/>
      <c r="G328" s="775"/>
      <c r="H328" s="777"/>
      <c r="I328" s="687"/>
      <c r="J328" s="764"/>
      <c r="K328" s="838"/>
      <c r="L328" s="687"/>
      <c r="M328" s="775"/>
      <c r="N328" s="689"/>
      <c r="O328" s="764"/>
    </row>
    <row r="329">
      <c r="A329" s="764"/>
      <c r="B329" s="775"/>
      <c r="C329" s="764"/>
      <c r="D329" s="764"/>
      <c r="E329" s="839"/>
      <c r="F329" s="687"/>
      <c r="G329" s="775"/>
      <c r="H329" s="777"/>
      <c r="I329" s="687"/>
      <c r="J329" s="764"/>
      <c r="K329" s="838"/>
      <c r="L329" s="687"/>
      <c r="M329" s="775"/>
      <c r="N329" s="689"/>
      <c r="O329" s="764"/>
    </row>
    <row r="330">
      <c r="A330" s="764"/>
      <c r="B330" s="775"/>
      <c r="C330" s="764"/>
      <c r="D330" s="764"/>
      <c r="E330" s="839"/>
      <c r="F330" s="687"/>
      <c r="G330" s="775"/>
      <c r="H330" s="777"/>
      <c r="I330" s="687"/>
      <c r="J330" s="764"/>
      <c r="K330" s="838"/>
      <c r="L330" s="687"/>
      <c r="M330" s="775"/>
      <c r="N330" s="689"/>
      <c r="O330" s="764"/>
    </row>
    <row r="331">
      <c r="A331" s="764"/>
      <c r="B331" s="775"/>
      <c r="C331" s="764"/>
      <c r="D331" s="764"/>
      <c r="E331" s="839"/>
      <c r="F331" s="687"/>
      <c r="G331" s="775"/>
      <c r="H331" s="777"/>
      <c r="I331" s="687"/>
      <c r="J331" s="764"/>
      <c r="K331" s="838"/>
      <c r="L331" s="687"/>
      <c r="M331" s="775"/>
      <c r="N331" s="689"/>
      <c r="O331" s="764"/>
    </row>
    <row r="332">
      <c r="A332" s="764"/>
      <c r="B332" s="775"/>
      <c r="C332" s="764"/>
      <c r="D332" s="764"/>
      <c r="E332" s="839"/>
      <c r="F332" s="687"/>
      <c r="G332" s="775"/>
      <c r="H332" s="777"/>
      <c r="I332" s="687"/>
      <c r="J332" s="764"/>
      <c r="K332" s="838"/>
      <c r="L332" s="687"/>
      <c r="M332" s="775"/>
      <c r="N332" s="689"/>
      <c r="O332" s="764"/>
    </row>
    <row r="333">
      <c r="A333" s="764"/>
      <c r="B333" s="775"/>
      <c r="C333" s="764"/>
      <c r="D333" s="764"/>
      <c r="E333" s="839"/>
      <c r="F333" s="687"/>
      <c r="G333" s="775"/>
      <c r="H333" s="777"/>
      <c r="I333" s="687"/>
      <c r="J333" s="764"/>
      <c r="K333" s="838"/>
      <c r="L333" s="687"/>
      <c r="M333" s="775"/>
      <c r="N333" s="689"/>
      <c r="O333" s="764"/>
    </row>
    <row r="334">
      <c r="A334" s="764"/>
      <c r="B334" s="775"/>
      <c r="C334" s="764"/>
      <c r="D334" s="764"/>
      <c r="E334" s="839"/>
      <c r="F334" s="687"/>
      <c r="G334" s="775"/>
      <c r="H334" s="777"/>
      <c r="I334" s="687"/>
      <c r="J334" s="764"/>
      <c r="K334" s="838"/>
      <c r="L334" s="687"/>
      <c r="M334" s="775"/>
      <c r="N334" s="689"/>
      <c r="O334" s="764"/>
    </row>
    <row r="335">
      <c r="A335" s="764"/>
      <c r="B335" s="775"/>
      <c r="C335" s="764"/>
      <c r="D335" s="764"/>
      <c r="E335" s="839"/>
      <c r="F335" s="687"/>
      <c r="G335" s="775"/>
      <c r="H335" s="777"/>
      <c r="I335" s="687"/>
      <c r="J335" s="764"/>
      <c r="K335" s="838"/>
      <c r="L335" s="687"/>
      <c r="M335" s="775"/>
      <c r="N335" s="689"/>
      <c r="O335" s="764"/>
    </row>
    <row r="336">
      <c r="A336" s="764"/>
      <c r="B336" s="775"/>
      <c r="C336" s="764"/>
      <c r="D336" s="764"/>
      <c r="E336" s="839"/>
      <c r="F336" s="687"/>
      <c r="G336" s="775"/>
      <c r="H336" s="777"/>
      <c r="I336" s="687"/>
      <c r="J336" s="764"/>
      <c r="K336" s="838"/>
      <c r="L336" s="687"/>
      <c r="M336" s="775"/>
      <c r="N336" s="689"/>
      <c r="O336" s="764"/>
    </row>
    <row r="337">
      <c r="A337" s="764"/>
      <c r="B337" s="775"/>
      <c r="C337" s="764"/>
      <c r="D337" s="764"/>
      <c r="E337" s="839"/>
      <c r="F337" s="687"/>
      <c r="G337" s="775"/>
      <c r="H337" s="777"/>
      <c r="I337" s="687"/>
      <c r="J337" s="764"/>
      <c r="K337" s="838"/>
      <c r="L337" s="687"/>
      <c r="M337" s="775"/>
      <c r="N337" s="689"/>
      <c r="O337" s="764"/>
    </row>
    <row r="338">
      <c r="A338" s="764"/>
      <c r="B338" s="775"/>
      <c r="C338" s="764"/>
      <c r="D338" s="764"/>
      <c r="E338" s="839"/>
      <c r="F338" s="687"/>
      <c r="G338" s="775"/>
      <c r="H338" s="777"/>
      <c r="I338" s="687"/>
      <c r="J338" s="764"/>
      <c r="K338" s="838"/>
      <c r="L338" s="687"/>
      <c r="M338" s="775"/>
      <c r="N338" s="689"/>
      <c r="O338" s="764"/>
    </row>
    <row r="339">
      <c r="A339" s="764"/>
      <c r="B339" s="775"/>
      <c r="C339" s="764"/>
      <c r="D339" s="764"/>
      <c r="E339" s="839"/>
      <c r="F339" s="687"/>
      <c r="G339" s="775"/>
      <c r="H339" s="777"/>
      <c r="I339" s="687"/>
      <c r="J339" s="764"/>
      <c r="K339" s="838"/>
      <c r="L339" s="687"/>
      <c r="M339" s="775"/>
      <c r="N339" s="689"/>
      <c r="O339" s="764"/>
    </row>
    <row r="340">
      <c r="A340" s="764"/>
      <c r="B340" s="775"/>
      <c r="C340" s="764"/>
      <c r="D340" s="764"/>
      <c r="E340" s="839"/>
      <c r="F340" s="687"/>
      <c r="G340" s="775"/>
      <c r="H340" s="777"/>
      <c r="I340" s="687"/>
      <c r="J340" s="764"/>
      <c r="K340" s="838"/>
      <c r="L340" s="687"/>
      <c r="M340" s="775"/>
      <c r="N340" s="689"/>
      <c r="O340" s="764"/>
    </row>
    <row r="341">
      <c r="A341" s="764"/>
      <c r="B341" s="775"/>
      <c r="C341" s="764"/>
      <c r="D341" s="764"/>
      <c r="E341" s="839"/>
      <c r="F341" s="687"/>
      <c r="G341" s="775"/>
      <c r="H341" s="777"/>
      <c r="I341" s="687"/>
      <c r="J341" s="764"/>
      <c r="K341" s="838"/>
      <c r="L341" s="687"/>
      <c r="M341" s="775"/>
      <c r="N341" s="689"/>
      <c r="O341" s="764"/>
    </row>
    <row r="342">
      <c r="A342" s="764"/>
      <c r="B342" s="775"/>
      <c r="C342" s="764"/>
      <c r="D342" s="764"/>
      <c r="E342" s="839"/>
      <c r="F342" s="687"/>
      <c r="G342" s="775"/>
      <c r="H342" s="777"/>
      <c r="I342" s="687"/>
      <c r="J342" s="764"/>
      <c r="K342" s="838"/>
      <c r="L342" s="687"/>
      <c r="M342" s="775"/>
      <c r="N342" s="689"/>
      <c r="O342" s="764"/>
    </row>
    <row r="343">
      <c r="A343" s="764"/>
      <c r="B343" s="775"/>
      <c r="C343" s="764"/>
      <c r="D343" s="764"/>
      <c r="E343" s="839"/>
      <c r="F343" s="687"/>
      <c r="G343" s="775"/>
      <c r="H343" s="777"/>
      <c r="I343" s="687"/>
      <c r="J343" s="764"/>
      <c r="K343" s="838"/>
      <c r="L343" s="687"/>
      <c r="M343" s="775"/>
      <c r="N343" s="689"/>
      <c r="O343" s="764"/>
    </row>
    <row r="344">
      <c r="A344" s="764"/>
      <c r="B344" s="775"/>
      <c r="C344" s="764"/>
      <c r="D344" s="764"/>
      <c r="E344" s="839"/>
      <c r="F344" s="687"/>
      <c r="G344" s="775"/>
      <c r="H344" s="777"/>
      <c r="I344" s="687"/>
      <c r="J344" s="764"/>
      <c r="K344" s="838"/>
      <c r="L344" s="687"/>
      <c r="M344" s="775"/>
      <c r="N344" s="689"/>
      <c r="O344" s="764"/>
    </row>
    <row r="345">
      <c r="A345" s="764"/>
      <c r="B345" s="775"/>
      <c r="C345" s="764"/>
      <c r="D345" s="764"/>
      <c r="E345" s="839"/>
      <c r="F345" s="687"/>
      <c r="G345" s="775"/>
      <c r="H345" s="777"/>
      <c r="I345" s="687"/>
      <c r="J345" s="764"/>
      <c r="K345" s="838"/>
      <c r="L345" s="687"/>
      <c r="M345" s="775"/>
      <c r="N345" s="689"/>
      <c r="O345" s="764"/>
    </row>
    <row r="346">
      <c r="A346" s="764"/>
      <c r="B346" s="775"/>
      <c r="C346" s="764"/>
      <c r="D346" s="764"/>
      <c r="E346" s="839"/>
      <c r="F346" s="687"/>
      <c r="G346" s="775"/>
      <c r="H346" s="777"/>
      <c r="I346" s="687"/>
      <c r="J346" s="764"/>
      <c r="K346" s="838"/>
      <c r="L346" s="687"/>
      <c r="M346" s="775"/>
      <c r="N346" s="689"/>
      <c r="O346" s="764"/>
    </row>
    <row r="347">
      <c r="A347" s="764"/>
      <c r="B347" s="775"/>
      <c r="C347" s="764"/>
      <c r="D347" s="764"/>
      <c r="E347" s="839"/>
      <c r="F347" s="687"/>
      <c r="G347" s="775"/>
      <c r="H347" s="777"/>
      <c r="I347" s="687"/>
      <c r="J347" s="764"/>
      <c r="K347" s="838"/>
      <c r="L347" s="687"/>
      <c r="M347" s="775"/>
      <c r="N347" s="689"/>
      <c r="O347" s="764"/>
    </row>
    <row r="348">
      <c r="A348" s="764"/>
      <c r="B348" s="775"/>
      <c r="C348" s="764"/>
      <c r="D348" s="764"/>
      <c r="E348" s="839"/>
      <c r="F348" s="687"/>
      <c r="G348" s="775"/>
      <c r="H348" s="777"/>
      <c r="I348" s="687"/>
      <c r="J348" s="764"/>
      <c r="K348" s="838"/>
      <c r="L348" s="687"/>
      <c r="M348" s="775"/>
      <c r="N348" s="689"/>
      <c r="O348" s="764"/>
    </row>
    <row r="349">
      <c r="A349" s="764"/>
      <c r="B349" s="775"/>
      <c r="C349" s="764"/>
      <c r="D349" s="764"/>
      <c r="E349" s="839"/>
      <c r="F349" s="687"/>
      <c r="G349" s="775"/>
      <c r="H349" s="777"/>
      <c r="I349" s="687"/>
      <c r="J349" s="764"/>
      <c r="K349" s="838"/>
      <c r="L349" s="687"/>
      <c r="M349" s="775"/>
      <c r="N349" s="689"/>
      <c r="O349" s="764"/>
    </row>
    <row r="350">
      <c r="A350" s="764"/>
      <c r="B350" s="775"/>
      <c r="C350" s="764"/>
      <c r="D350" s="764"/>
      <c r="E350" s="839"/>
      <c r="F350" s="687"/>
      <c r="G350" s="775"/>
      <c r="H350" s="777"/>
      <c r="I350" s="687"/>
      <c r="J350" s="764"/>
      <c r="K350" s="838"/>
      <c r="L350" s="687"/>
      <c r="M350" s="775"/>
      <c r="N350" s="689"/>
      <c r="O350" s="764"/>
    </row>
    <row r="351">
      <c r="A351" s="764"/>
      <c r="B351" s="775"/>
      <c r="C351" s="764"/>
      <c r="D351" s="764"/>
      <c r="E351" s="839"/>
      <c r="F351" s="687"/>
      <c r="G351" s="775"/>
      <c r="H351" s="777"/>
      <c r="I351" s="687"/>
      <c r="J351" s="764"/>
      <c r="K351" s="838"/>
      <c r="L351" s="687"/>
      <c r="M351" s="775"/>
      <c r="N351" s="689"/>
      <c r="O351" s="764"/>
    </row>
    <row r="352">
      <c r="A352" s="764"/>
      <c r="B352" s="775"/>
      <c r="C352" s="764"/>
      <c r="D352" s="764"/>
      <c r="E352" s="839"/>
      <c r="F352" s="687"/>
      <c r="G352" s="775"/>
      <c r="H352" s="777"/>
      <c r="I352" s="687"/>
      <c r="J352" s="764"/>
      <c r="K352" s="838"/>
      <c r="L352" s="687"/>
      <c r="M352" s="775"/>
      <c r="N352" s="689"/>
      <c r="O352" s="764"/>
    </row>
    <row r="353">
      <c r="A353" s="764"/>
      <c r="B353" s="775"/>
      <c r="C353" s="764"/>
      <c r="D353" s="764"/>
      <c r="E353" s="839"/>
      <c r="F353" s="687"/>
      <c r="G353" s="775"/>
      <c r="H353" s="777"/>
      <c r="I353" s="687"/>
      <c r="J353" s="764"/>
      <c r="K353" s="838"/>
      <c r="L353" s="687"/>
      <c r="M353" s="775"/>
      <c r="N353" s="689"/>
      <c r="O353" s="764"/>
    </row>
    <row r="354">
      <c r="A354" s="764"/>
      <c r="B354" s="775"/>
      <c r="C354" s="764"/>
      <c r="D354" s="764"/>
      <c r="E354" s="839"/>
      <c r="F354" s="687"/>
      <c r="G354" s="775"/>
      <c r="H354" s="777"/>
      <c r="I354" s="687"/>
      <c r="J354" s="764"/>
      <c r="K354" s="838"/>
      <c r="L354" s="687"/>
      <c r="M354" s="775"/>
      <c r="N354" s="689"/>
      <c r="O354" s="764"/>
    </row>
    <row r="355">
      <c r="A355" s="764"/>
      <c r="B355" s="775"/>
      <c r="C355" s="764"/>
      <c r="D355" s="764"/>
      <c r="E355" s="839"/>
      <c r="F355" s="687"/>
      <c r="G355" s="775"/>
      <c r="H355" s="777"/>
      <c r="I355" s="687"/>
      <c r="J355" s="764"/>
      <c r="K355" s="838"/>
      <c r="L355" s="687"/>
      <c r="M355" s="775"/>
      <c r="N355" s="689"/>
      <c r="O355" s="764"/>
    </row>
    <row r="356">
      <c r="A356" s="764"/>
      <c r="B356" s="775"/>
      <c r="C356" s="764"/>
      <c r="D356" s="764"/>
      <c r="E356" s="839"/>
      <c r="F356" s="687"/>
      <c r="G356" s="775"/>
      <c r="H356" s="777"/>
      <c r="I356" s="687"/>
      <c r="J356" s="764"/>
      <c r="K356" s="838"/>
      <c r="L356" s="687"/>
      <c r="M356" s="775"/>
      <c r="N356" s="689"/>
      <c r="O356" s="764"/>
    </row>
    <row r="357">
      <c r="A357" s="764"/>
      <c r="B357" s="775"/>
      <c r="C357" s="764"/>
      <c r="D357" s="764"/>
      <c r="E357" s="839"/>
      <c r="F357" s="687"/>
      <c r="G357" s="775"/>
      <c r="H357" s="777"/>
      <c r="I357" s="687"/>
      <c r="J357" s="764"/>
      <c r="K357" s="838"/>
      <c r="L357" s="687"/>
      <c r="M357" s="775"/>
      <c r="N357" s="689"/>
      <c r="O357" s="764"/>
    </row>
    <row r="358">
      <c r="A358" s="764"/>
      <c r="B358" s="775"/>
      <c r="C358" s="764"/>
      <c r="D358" s="764"/>
      <c r="E358" s="839"/>
      <c r="F358" s="687"/>
      <c r="G358" s="775"/>
      <c r="H358" s="777"/>
      <c r="I358" s="687"/>
      <c r="J358" s="764"/>
      <c r="K358" s="838"/>
      <c r="L358" s="687"/>
      <c r="M358" s="775"/>
      <c r="N358" s="689"/>
      <c r="O358" s="764"/>
    </row>
    <row r="359">
      <c r="A359" s="764"/>
      <c r="B359" s="775"/>
      <c r="C359" s="764"/>
      <c r="D359" s="764"/>
      <c r="E359" s="839"/>
      <c r="F359" s="687"/>
      <c r="G359" s="775"/>
      <c r="H359" s="777"/>
      <c r="I359" s="687"/>
      <c r="J359" s="764"/>
      <c r="K359" s="838"/>
      <c r="L359" s="687"/>
      <c r="M359" s="775"/>
      <c r="N359" s="689"/>
      <c r="O359" s="764"/>
    </row>
    <row r="360">
      <c r="A360" s="764"/>
      <c r="B360" s="775"/>
      <c r="C360" s="764"/>
      <c r="D360" s="764"/>
      <c r="E360" s="839"/>
      <c r="F360" s="687"/>
      <c r="G360" s="775"/>
      <c r="H360" s="777"/>
      <c r="I360" s="687"/>
      <c r="J360" s="764"/>
      <c r="K360" s="838"/>
      <c r="L360" s="687"/>
      <c r="M360" s="775"/>
      <c r="N360" s="689"/>
      <c r="O360" s="764"/>
    </row>
    <row r="361">
      <c r="A361" s="764"/>
      <c r="B361" s="775"/>
      <c r="C361" s="764"/>
      <c r="D361" s="764"/>
      <c r="E361" s="839"/>
      <c r="F361" s="687"/>
      <c r="G361" s="775"/>
      <c r="H361" s="777"/>
      <c r="I361" s="687"/>
      <c r="J361" s="764"/>
      <c r="K361" s="838"/>
      <c r="L361" s="687"/>
      <c r="M361" s="775"/>
      <c r="N361" s="689"/>
      <c r="O361" s="764"/>
    </row>
    <row r="362">
      <c r="A362" s="764"/>
      <c r="B362" s="775"/>
      <c r="C362" s="764"/>
      <c r="D362" s="764"/>
      <c r="E362" s="839"/>
      <c r="F362" s="687"/>
      <c r="G362" s="775"/>
      <c r="H362" s="777"/>
      <c r="I362" s="687"/>
      <c r="J362" s="764"/>
      <c r="K362" s="838"/>
      <c r="L362" s="687"/>
      <c r="M362" s="775"/>
      <c r="N362" s="689"/>
      <c r="O362" s="764"/>
    </row>
    <row r="363">
      <c r="A363" s="764"/>
      <c r="B363" s="775"/>
      <c r="C363" s="764"/>
      <c r="D363" s="764"/>
      <c r="E363" s="839"/>
      <c r="F363" s="687"/>
      <c r="G363" s="775"/>
      <c r="H363" s="777"/>
      <c r="I363" s="687"/>
      <c r="J363" s="764"/>
      <c r="K363" s="838"/>
      <c r="L363" s="687"/>
      <c r="M363" s="775"/>
      <c r="N363" s="689"/>
      <c r="O363" s="764"/>
    </row>
    <row r="364">
      <c r="A364" s="764"/>
      <c r="B364" s="775"/>
      <c r="C364" s="764"/>
      <c r="D364" s="764"/>
      <c r="E364" s="839"/>
      <c r="F364" s="687"/>
      <c r="G364" s="775"/>
      <c r="H364" s="777"/>
      <c r="I364" s="687"/>
      <c r="J364" s="764"/>
      <c r="K364" s="838"/>
      <c r="L364" s="687"/>
      <c r="M364" s="775"/>
      <c r="N364" s="689"/>
      <c r="O364" s="764"/>
    </row>
    <row r="365">
      <c r="A365" s="764"/>
      <c r="B365" s="775"/>
      <c r="C365" s="764"/>
      <c r="D365" s="764"/>
      <c r="E365" s="839"/>
      <c r="F365" s="687"/>
      <c r="G365" s="775"/>
      <c r="H365" s="777"/>
      <c r="I365" s="687"/>
      <c r="J365" s="764"/>
      <c r="K365" s="838"/>
      <c r="L365" s="687"/>
      <c r="M365" s="775"/>
      <c r="N365" s="689"/>
      <c r="O365" s="764"/>
    </row>
    <row r="366">
      <c r="A366" s="764"/>
      <c r="B366" s="775"/>
      <c r="C366" s="764"/>
      <c r="D366" s="764"/>
      <c r="E366" s="839"/>
      <c r="F366" s="687"/>
      <c r="G366" s="775"/>
      <c r="H366" s="777"/>
      <c r="I366" s="687"/>
      <c r="J366" s="764"/>
      <c r="K366" s="838"/>
      <c r="L366" s="687"/>
      <c r="M366" s="775"/>
      <c r="N366" s="689"/>
      <c r="O366" s="764"/>
    </row>
    <row r="367">
      <c r="A367" s="764"/>
      <c r="B367" s="775"/>
      <c r="C367" s="764"/>
      <c r="D367" s="764"/>
      <c r="E367" s="839"/>
      <c r="F367" s="687"/>
      <c r="G367" s="775"/>
      <c r="H367" s="777"/>
      <c r="I367" s="687"/>
      <c r="J367" s="764"/>
      <c r="K367" s="838"/>
      <c r="L367" s="687"/>
      <c r="M367" s="775"/>
      <c r="N367" s="689"/>
      <c r="O367" s="764"/>
    </row>
    <row r="368">
      <c r="A368" s="764"/>
      <c r="B368" s="775"/>
      <c r="C368" s="764"/>
      <c r="D368" s="764"/>
      <c r="E368" s="839"/>
      <c r="F368" s="687"/>
      <c r="G368" s="775"/>
      <c r="H368" s="777"/>
      <c r="I368" s="687"/>
      <c r="J368" s="764"/>
      <c r="K368" s="838"/>
      <c r="L368" s="687"/>
      <c r="M368" s="775"/>
      <c r="N368" s="689"/>
      <c r="O368" s="764"/>
    </row>
    <row r="369">
      <c r="A369" s="764"/>
      <c r="B369" s="775"/>
      <c r="C369" s="764"/>
      <c r="D369" s="764"/>
      <c r="E369" s="839"/>
      <c r="F369" s="687"/>
      <c r="G369" s="775"/>
      <c r="H369" s="777"/>
      <c r="I369" s="687"/>
      <c r="J369" s="764"/>
      <c r="K369" s="838"/>
      <c r="L369" s="687"/>
      <c r="M369" s="775"/>
      <c r="N369" s="689"/>
      <c r="O369" s="764"/>
    </row>
    <row r="370">
      <c r="A370" s="764"/>
      <c r="B370" s="775"/>
      <c r="C370" s="764"/>
      <c r="D370" s="764"/>
      <c r="E370" s="839"/>
      <c r="F370" s="687"/>
      <c r="G370" s="775"/>
      <c r="H370" s="777"/>
      <c r="I370" s="687"/>
      <c r="J370" s="764"/>
      <c r="K370" s="838"/>
      <c r="L370" s="687"/>
      <c r="M370" s="775"/>
      <c r="N370" s="689"/>
      <c r="O370" s="764"/>
    </row>
    <row r="371">
      <c r="A371" s="764"/>
      <c r="B371" s="775"/>
      <c r="C371" s="764"/>
      <c r="D371" s="764"/>
      <c r="E371" s="839"/>
      <c r="F371" s="687"/>
      <c r="G371" s="775"/>
      <c r="H371" s="777"/>
      <c r="I371" s="687"/>
      <c r="J371" s="764"/>
      <c r="K371" s="838"/>
      <c r="L371" s="687"/>
      <c r="M371" s="775"/>
      <c r="N371" s="689"/>
      <c r="O371" s="764"/>
    </row>
    <row r="372">
      <c r="A372" s="764"/>
      <c r="B372" s="775"/>
      <c r="C372" s="764"/>
      <c r="D372" s="764"/>
      <c r="E372" s="839"/>
      <c r="F372" s="687"/>
      <c r="G372" s="775"/>
      <c r="H372" s="777"/>
      <c r="I372" s="687"/>
      <c r="J372" s="764"/>
      <c r="K372" s="838"/>
      <c r="L372" s="687"/>
      <c r="M372" s="775"/>
      <c r="N372" s="689"/>
      <c r="O372" s="764"/>
    </row>
    <row r="373">
      <c r="A373" s="764"/>
      <c r="B373" s="775"/>
      <c r="C373" s="764"/>
      <c r="D373" s="764"/>
      <c r="E373" s="839"/>
      <c r="F373" s="687"/>
      <c r="G373" s="775"/>
      <c r="H373" s="777"/>
      <c r="I373" s="687"/>
      <c r="J373" s="764"/>
      <c r="K373" s="838"/>
      <c r="L373" s="687"/>
      <c r="M373" s="775"/>
      <c r="N373" s="689"/>
      <c r="O373" s="764"/>
    </row>
    <row r="374">
      <c r="A374" s="764"/>
      <c r="B374" s="775"/>
      <c r="C374" s="764"/>
      <c r="D374" s="764"/>
      <c r="E374" s="839"/>
      <c r="F374" s="687"/>
      <c r="G374" s="775"/>
      <c r="H374" s="777"/>
      <c r="I374" s="687"/>
      <c r="J374" s="764"/>
      <c r="K374" s="838"/>
      <c r="L374" s="687"/>
      <c r="M374" s="775"/>
      <c r="N374" s="689"/>
      <c r="O374" s="764"/>
    </row>
    <row r="375">
      <c r="A375" s="764"/>
      <c r="B375" s="775"/>
      <c r="C375" s="764"/>
      <c r="D375" s="764"/>
      <c r="E375" s="839"/>
      <c r="F375" s="687"/>
      <c r="G375" s="775"/>
      <c r="H375" s="777"/>
      <c r="I375" s="687"/>
      <c r="J375" s="764"/>
      <c r="K375" s="838"/>
      <c r="L375" s="687"/>
      <c r="M375" s="775"/>
      <c r="N375" s="689"/>
      <c r="O375" s="764"/>
    </row>
    <row r="376">
      <c r="A376" s="764"/>
      <c r="B376" s="775"/>
      <c r="C376" s="764"/>
      <c r="D376" s="764"/>
      <c r="E376" s="839"/>
      <c r="F376" s="687"/>
      <c r="G376" s="775"/>
      <c r="H376" s="777"/>
      <c r="I376" s="687"/>
      <c r="J376" s="764"/>
      <c r="K376" s="838"/>
      <c r="L376" s="687"/>
      <c r="M376" s="775"/>
      <c r="N376" s="689"/>
      <c r="O376" s="764"/>
    </row>
    <row r="377">
      <c r="A377" s="764"/>
      <c r="B377" s="775"/>
      <c r="C377" s="764"/>
      <c r="D377" s="764"/>
      <c r="E377" s="839"/>
      <c r="F377" s="687"/>
      <c r="G377" s="775"/>
      <c r="H377" s="777"/>
      <c r="I377" s="687"/>
      <c r="J377" s="764"/>
      <c r="K377" s="838"/>
      <c r="L377" s="687"/>
      <c r="M377" s="775"/>
      <c r="N377" s="689"/>
      <c r="O377" s="764"/>
    </row>
    <row r="378">
      <c r="A378" s="764"/>
      <c r="B378" s="775"/>
      <c r="C378" s="764"/>
      <c r="D378" s="764"/>
      <c r="E378" s="839"/>
      <c r="F378" s="687"/>
      <c r="G378" s="775"/>
      <c r="H378" s="777"/>
      <c r="I378" s="687"/>
      <c r="J378" s="764"/>
      <c r="K378" s="838"/>
      <c r="L378" s="687"/>
      <c r="M378" s="775"/>
      <c r="N378" s="689"/>
      <c r="O378" s="764"/>
    </row>
    <row r="379">
      <c r="A379" s="764"/>
      <c r="B379" s="775"/>
      <c r="C379" s="764"/>
      <c r="D379" s="764"/>
      <c r="E379" s="839"/>
      <c r="F379" s="687"/>
      <c r="G379" s="775"/>
      <c r="H379" s="777"/>
      <c r="I379" s="687"/>
      <c r="J379" s="764"/>
      <c r="K379" s="838"/>
      <c r="L379" s="687"/>
      <c r="M379" s="775"/>
      <c r="N379" s="689"/>
      <c r="O379" s="764"/>
    </row>
    <row r="380">
      <c r="A380" s="764"/>
      <c r="B380" s="775"/>
      <c r="C380" s="764"/>
      <c r="D380" s="764"/>
      <c r="E380" s="839"/>
      <c r="F380" s="687"/>
      <c r="G380" s="775"/>
      <c r="H380" s="777"/>
      <c r="I380" s="687"/>
      <c r="J380" s="764"/>
      <c r="K380" s="838"/>
      <c r="L380" s="687"/>
      <c r="M380" s="775"/>
      <c r="N380" s="689"/>
      <c r="O380" s="764"/>
    </row>
    <row r="381">
      <c r="A381" s="764"/>
      <c r="B381" s="775"/>
      <c r="C381" s="764"/>
      <c r="D381" s="764"/>
      <c r="E381" s="839"/>
      <c r="F381" s="687"/>
      <c r="G381" s="775"/>
      <c r="H381" s="777"/>
      <c r="I381" s="687"/>
      <c r="J381" s="764"/>
      <c r="K381" s="838"/>
      <c r="L381" s="687"/>
      <c r="M381" s="775"/>
      <c r="N381" s="689"/>
      <c r="O381" s="764"/>
    </row>
    <row r="382">
      <c r="A382" s="764"/>
      <c r="B382" s="775"/>
      <c r="C382" s="764"/>
      <c r="D382" s="764"/>
      <c r="E382" s="839"/>
      <c r="F382" s="687"/>
      <c r="G382" s="775"/>
      <c r="H382" s="777"/>
      <c r="I382" s="687"/>
      <c r="J382" s="764"/>
      <c r="K382" s="838"/>
      <c r="L382" s="687"/>
      <c r="M382" s="775"/>
      <c r="N382" s="689"/>
      <c r="O382" s="764"/>
    </row>
    <row r="383">
      <c r="A383" s="764"/>
      <c r="B383" s="775"/>
      <c r="C383" s="764"/>
      <c r="D383" s="764"/>
      <c r="E383" s="839"/>
      <c r="F383" s="687"/>
      <c r="G383" s="775"/>
      <c r="H383" s="777"/>
      <c r="I383" s="687"/>
      <c r="J383" s="764"/>
      <c r="K383" s="838"/>
      <c r="L383" s="687"/>
      <c r="M383" s="775"/>
      <c r="N383" s="689"/>
      <c r="O383" s="764"/>
    </row>
    <row r="384">
      <c r="A384" s="764"/>
      <c r="B384" s="775"/>
      <c r="C384" s="764"/>
      <c r="D384" s="764"/>
      <c r="E384" s="839"/>
      <c r="F384" s="687"/>
      <c r="G384" s="775"/>
      <c r="H384" s="777"/>
      <c r="I384" s="687"/>
      <c r="J384" s="764"/>
      <c r="K384" s="838"/>
      <c r="L384" s="687"/>
      <c r="M384" s="775"/>
      <c r="N384" s="689"/>
      <c r="O384" s="764"/>
    </row>
    <row r="385">
      <c r="A385" s="764"/>
      <c r="B385" s="775"/>
      <c r="C385" s="764"/>
      <c r="D385" s="764"/>
      <c r="E385" s="839"/>
      <c r="F385" s="687"/>
      <c r="G385" s="775"/>
      <c r="H385" s="777"/>
      <c r="I385" s="687"/>
      <c r="J385" s="764"/>
      <c r="K385" s="838"/>
      <c r="L385" s="687"/>
      <c r="M385" s="775"/>
      <c r="N385" s="689"/>
      <c r="O385" s="764"/>
    </row>
    <row r="386">
      <c r="A386" s="764"/>
      <c r="B386" s="775"/>
      <c r="C386" s="764"/>
      <c r="D386" s="764"/>
      <c r="E386" s="839"/>
      <c r="F386" s="687"/>
      <c r="G386" s="775"/>
      <c r="H386" s="777"/>
      <c r="I386" s="687"/>
      <c r="J386" s="764"/>
      <c r="K386" s="838"/>
      <c r="L386" s="687"/>
      <c r="M386" s="775"/>
      <c r="N386" s="689"/>
      <c r="O386" s="764"/>
    </row>
    <row r="387">
      <c r="A387" s="764"/>
      <c r="B387" s="775"/>
      <c r="C387" s="764"/>
      <c r="D387" s="764"/>
      <c r="E387" s="839"/>
      <c r="F387" s="687"/>
      <c r="G387" s="775"/>
      <c r="H387" s="777"/>
      <c r="I387" s="687"/>
      <c r="J387" s="764"/>
      <c r="K387" s="838"/>
      <c r="L387" s="687"/>
      <c r="M387" s="775"/>
      <c r="N387" s="689"/>
      <c r="O387" s="764"/>
    </row>
    <row r="388">
      <c r="A388" s="764"/>
      <c r="B388" s="775"/>
      <c r="C388" s="764"/>
      <c r="D388" s="764"/>
      <c r="E388" s="839"/>
      <c r="F388" s="687"/>
      <c r="G388" s="775"/>
      <c r="H388" s="777"/>
      <c r="I388" s="687"/>
      <c r="J388" s="764"/>
      <c r="K388" s="838"/>
      <c r="L388" s="687"/>
      <c r="M388" s="775"/>
      <c r="N388" s="689"/>
      <c r="O388" s="764"/>
    </row>
    <row r="389">
      <c r="A389" s="764"/>
      <c r="B389" s="775"/>
      <c r="C389" s="764"/>
      <c r="D389" s="764"/>
      <c r="E389" s="839"/>
      <c r="F389" s="687"/>
      <c r="G389" s="775"/>
      <c r="H389" s="777"/>
      <c r="I389" s="687"/>
      <c r="J389" s="764"/>
      <c r="K389" s="838"/>
      <c r="L389" s="687"/>
      <c r="M389" s="775"/>
      <c r="N389" s="689"/>
      <c r="O389" s="764"/>
    </row>
    <row r="390">
      <c r="A390" s="764"/>
      <c r="B390" s="775"/>
      <c r="C390" s="764"/>
      <c r="D390" s="764"/>
      <c r="E390" s="839"/>
      <c r="F390" s="687"/>
      <c r="G390" s="775"/>
      <c r="H390" s="777"/>
      <c r="I390" s="687"/>
      <c r="J390" s="764"/>
      <c r="K390" s="838"/>
      <c r="L390" s="687"/>
      <c r="M390" s="775"/>
      <c r="N390" s="689"/>
      <c r="O390" s="764"/>
    </row>
    <row r="391">
      <c r="A391" s="764"/>
      <c r="B391" s="775"/>
      <c r="C391" s="764"/>
      <c r="D391" s="764"/>
      <c r="E391" s="839"/>
      <c r="F391" s="687"/>
      <c r="G391" s="775"/>
      <c r="H391" s="777"/>
      <c r="I391" s="687"/>
      <c r="J391" s="764"/>
      <c r="K391" s="838"/>
      <c r="L391" s="687"/>
      <c r="M391" s="775"/>
      <c r="N391" s="689"/>
      <c r="O391" s="764"/>
    </row>
    <row r="392">
      <c r="A392" s="764"/>
      <c r="B392" s="775"/>
      <c r="C392" s="764"/>
      <c r="D392" s="764"/>
      <c r="E392" s="839"/>
      <c r="F392" s="687"/>
      <c r="G392" s="775"/>
      <c r="H392" s="777"/>
      <c r="I392" s="687"/>
      <c r="J392" s="764"/>
      <c r="K392" s="838"/>
      <c r="L392" s="687"/>
      <c r="M392" s="775"/>
      <c r="N392" s="689"/>
      <c r="O392" s="764"/>
    </row>
    <row r="393">
      <c r="A393" s="764"/>
      <c r="B393" s="775"/>
      <c r="C393" s="764"/>
      <c r="D393" s="764"/>
      <c r="E393" s="839"/>
      <c r="F393" s="687"/>
      <c r="G393" s="775"/>
      <c r="H393" s="777"/>
      <c r="I393" s="687"/>
      <c r="J393" s="764"/>
      <c r="K393" s="838"/>
      <c r="L393" s="687"/>
      <c r="M393" s="775"/>
      <c r="N393" s="689"/>
      <c r="O393" s="764"/>
    </row>
    <row r="394">
      <c r="A394" s="764"/>
      <c r="B394" s="775"/>
      <c r="C394" s="764"/>
      <c r="D394" s="764"/>
      <c r="E394" s="839"/>
      <c r="F394" s="687"/>
      <c r="G394" s="775"/>
      <c r="H394" s="777"/>
      <c r="I394" s="687"/>
      <c r="J394" s="764"/>
      <c r="K394" s="838"/>
      <c r="L394" s="687"/>
      <c r="M394" s="775"/>
      <c r="N394" s="689"/>
      <c r="O394" s="764"/>
    </row>
    <row r="395">
      <c r="A395" s="764"/>
      <c r="B395" s="775"/>
      <c r="C395" s="764"/>
      <c r="D395" s="764"/>
      <c r="E395" s="839"/>
      <c r="F395" s="687"/>
      <c r="G395" s="775"/>
      <c r="H395" s="777"/>
      <c r="I395" s="687"/>
      <c r="J395" s="764"/>
      <c r="K395" s="838"/>
      <c r="L395" s="687"/>
      <c r="M395" s="775"/>
      <c r="N395" s="689"/>
      <c r="O395" s="764"/>
    </row>
    <row r="396">
      <c r="A396" s="764"/>
      <c r="B396" s="775"/>
      <c r="C396" s="764"/>
      <c r="D396" s="764"/>
      <c r="E396" s="839"/>
      <c r="F396" s="687"/>
      <c r="G396" s="775"/>
      <c r="H396" s="777"/>
      <c r="I396" s="687"/>
      <c r="J396" s="764"/>
      <c r="K396" s="838"/>
      <c r="L396" s="687"/>
      <c r="M396" s="775"/>
      <c r="N396" s="689"/>
      <c r="O396" s="764"/>
    </row>
    <row r="397">
      <c r="A397" s="764"/>
      <c r="B397" s="775"/>
      <c r="C397" s="764"/>
      <c r="D397" s="764"/>
      <c r="E397" s="839"/>
      <c r="F397" s="687"/>
      <c r="G397" s="775"/>
      <c r="H397" s="777"/>
      <c r="I397" s="687"/>
      <c r="J397" s="764"/>
      <c r="K397" s="838"/>
      <c r="L397" s="687"/>
      <c r="M397" s="775"/>
      <c r="N397" s="689"/>
      <c r="O397" s="764"/>
    </row>
    <row r="398">
      <c r="A398" s="764"/>
      <c r="B398" s="775"/>
      <c r="C398" s="764"/>
      <c r="D398" s="764"/>
      <c r="E398" s="839"/>
      <c r="F398" s="687"/>
      <c r="G398" s="775"/>
      <c r="H398" s="777"/>
      <c r="I398" s="687"/>
      <c r="J398" s="764"/>
      <c r="K398" s="838"/>
      <c r="L398" s="687"/>
      <c r="M398" s="775"/>
      <c r="N398" s="689"/>
      <c r="O398" s="764"/>
    </row>
    <row r="399">
      <c r="A399" s="764"/>
      <c r="B399" s="775"/>
      <c r="C399" s="764"/>
      <c r="D399" s="764"/>
      <c r="E399" s="839"/>
      <c r="F399" s="687"/>
      <c r="G399" s="775"/>
      <c r="H399" s="777"/>
      <c r="I399" s="687"/>
      <c r="J399" s="764"/>
      <c r="K399" s="838"/>
      <c r="L399" s="687"/>
      <c r="M399" s="775"/>
      <c r="N399" s="689"/>
      <c r="O399" s="764"/>
    </row>
    <row r="400">
      <c r="A400" s="764"/>
      <c r="B400" s="775"/>
      <c r="C400" s="764"/>
      <c r="D400" s="764"/>
      <c r="E400" s="839"/>
      <c r="F400" s="687"/>
      <c r="G400" s="775"/>
      <c r="H400" s="777"/>
      <c r="I400" s="687"/>
      <c r="J400" s="764"/>
      <c r="K400" s="838"/>
      <c r="L400" s="687"/>
      <c r="M400" s="775"/>
      <c r="N400" s="689"/>
      <c r="O400" s="764"/>
    </row>
    <row r="401">
      <c r="A401" s="764"/>
      <c r="B401" s="775"/>
      <c r="C401" s="764"/>
      <c r="D401" s="764"/>
      <c r="E401" s="839"/>
      <c r="F401" s="687"/>
      <c r="G401" s="775"/>
      <c r="H401" s="777"/>
      <c r="I401" s="687"/>
      <c r="J401" s="764"/>
      <c r="K401" s="838"/>
      <c r="L401" s="687"/>
      <c r="M401" s="775"/>
      <c r="N401" s="689"/>
      <c r="O401" s="764"/>
    </row>
    <row r="402">
      <c r="A402" s="764"/>
      <c r="B402" s="775"/>
      <c r="C402" s="764"/>
      <c r="D402" s="764"/>
      <c r="E402" s="839"/>
      <c r="F402" s="687"/>
      <c r="G402" s="775"/>
      <c r="H402" s="777"/>
      <c r="I402" s="687"/>
      <c r="J402" s="764"/>
      <c r="K402" s="838"/>
      <c r="L402" s="687"/>
      <c r="M402" s="775"/>
      <c r="N402" s="689"/>
      <c r="O402" s="764"/>
    </row>
    <row r="403">
      <c r="A403" s="764"/>
      <c r="B403" s="775"/>
      <c r="C403" s="764"/>
      <c r="D403" s="764"/>
      <c r="E403" s="839"/>
      <c r="F403" s="687"/>
      <c r="G403" s="775"/>
      <c r="H403" s="777"/>
      <c r="I403" s="687"/>
      <c r="J403" s="764"/>
      <c r="K403" s="838"/>
      <c r="L403" s="687"/>
      <c r="M403" s="775"/>
      <c r="N403" s="689"/>
      <c r="O403" s="764"/>
    </row>
    <row r="404">
      <c r="A404" s="764"/>
      <c r="B404" s="775"/>
      <c r="C404" s="764"/>
      <c r="D404" s="764"/>
      <c r="E404" s="839"/>
      <c r="F404" s="687"/>
      <c r="G404" s="775"/>
      <c r="H404" s="777"/>
      <c r="I404" s="687"/>
      <c r="J404" s="764"/>
      <c r="K404" s="838"/>
      <c r="L404" s="687"/>
      <c r="M404" s="775"/>
      <c r="N404" s="689"/>
      <c r="O404" s="764"/>
    </row>
    <row r="405">
      <c r="A405" s="764"/>
      <c r="B405" s="775"/>
      <c r="C405" s="764"/>
      <c r="D405" s="764"/>
      <c r="E405" s="839"/>
      <c r="F405" s="687"/>
      <c r="G405" s="775"/>
      <c r="H405" s="777"/>
      <c r="I405" s="687"/>
      <c r="J405" s="764"/>
      <c r="K405" s="838"/>
      <c r="L405" s="687"/>
      <c r="M405" s="775"/>
      <c r="N405" s="689"/>
      <c r="O405" s="764"/>
    </row>
    <row r="406">
      <c r="A406" s="764"/>
      <c r="B406" s="775"/>
      <c r="C406" s="764"/>
      <c r="D406" s="764"/>
      <c r="E406" s="839"/>
      <c r="F406" s="687"/>
      <c r="G406" s="775"/>
      <c r="H406" s="777"/>
      <c r="I406" s="687"/>
      <c r="J406" s="764"/>
      <c r="K406" s="838"/>
      <c r="L406" s="687"/>
      <c r="M406" s="775"/>
      <c r="N406" s="689"/>
      <c r="O406" s="764"/>
    </row>
    <row r="407">
      <c r="A407" s="764"/>
      <c r="B407" s="775"/>
      <c r="C407" s="764"/>
      <c r="D407" s="764"/>
      <c r="E407" s="839"/>
      <c r="F407" s="687"/>
      <c r="G407" s="775"/>
      <c r="H407" s="777"/>
      <c r="I407" s="687"/>
      <c r="J407" s="764"/>
      <c r="K407" s="838"/>
      <c r="L407" s="687"/>
      <c r="M407" s="775"/>
      <c r="N407" s="689"/>
      <c r="O407" s="764"/>
    </row>
    <row r="408">
      <c r="A408" s="764"/>
      <c r="B408" s="775"/>
      <c r="C408" s="764"/>
      <c r="D408" s="764"/>
      <c r="E408" s="839"/>
      <c r="F408" s="687"/>
      <c r="G408" s="775"/>
      <c r="H408" s="777"/>
      <c r="I408" s="687"/>
      <c r="J408" s="764"/>
      <c r="K408" s="838"/>
      <c r="L408" s="687"/>
      <c r="M408" s="775"/>
      <c r="N408" s="689"/>
      <c r="O408" s="764"/>
    </row>
    <row r="409">
      <c r="A409" s="764"/>
      <c r="B409" s="775"/>
      <c r="C409" s="764"/>
      <c r="D409" s="764"/>
      <c r="E409" s="839"/>
      <c r="F409" s="687"/>
      <c r="G409" s="775"/>
      <c r="H409" s="777"/>
      <c r="I409" s="687"/>
      <c r="J409" s="764"/>
      <c r="K409" s="838"/>
      <c r="L409" s="687"/>
      <c r="M409" s="775"/>
      <c r="N409" s="689"/>
      <c r="O409" s="764"/>
    </row>
    <row r="410">
      <c r="A410" s="764"/>
      <c r="B410" s="775"/>
      <c r="C410" s="764"/>
      <c r="D410" s="764"/>
      <c r="E410" s="839"/>
      <c r="F410" s="687"/>
      <c r="G410" s="775"/>
      <c r="H410" s="777"/>
      <c r="I410" s="687"/>
      <c r="J410" s="764"/>
      <c r="K410" s="838"/>
      <c r="L410" s="687"/>
      <c r="M410" s="775"/>
      <c r="N410" s="689"/>
      <c r="O410" s="764"/>
    </row>
    <row r="411">
      <c r="A411" s="764"/>
      <c r="B411" s="775"/>
      <c r="C411" s="764"/>
      <c r="D411" s="764"/>
      <c r="E411" s="839"/>
      <c r="F411" s="687"/>
      <c r="G411" s="775"/>
      <c r="H411" s="777"/>
      <c r="I411" s="687"/>
      <c r="J411" s="764"/>
      <c r="K411" s="838"/>
      <c r="L411" s="687"/>
      <c r="M411" s="775"/>
      <c r="N411" s="689"/>
      <c r="O411" s="764"/>
    </row>
    <row r="412">
      <c r="A412" s="764"/>
      <c r="B412" s="775"/>
      <c r="C412" s="764"/>
      <c r="D412" s="764"/>
      <c r="E412" s="839"/>
      <c r="F412" s="687"/>
      <c r="G412" s="775"/>
      <c r="H412" s="777"/>
      <c r="I412" s="687"/>
      <c r="J412" s="764"/>
      <c r="K412" s="838"/>
      <c r="L412" s="687"/>
      <c r="M412" s="775"/>
      <c r="N412" s="689"/>
      <c r="O412" s="764"/>
    </row>
    <row r="413">
      <c r="A413" s="764"/>
      <c r="B413" s="775"/>
      <c r="C413" s="764"/>
      <c r="D413" s="764"/>
      <c r="E413" s="839"/>
      <c r="F413" s="687"/>
      <c r="G413" s="775"/>
      <c r="H413" s="777"/>
      <c r="I413" s="687"/>
      <c r="J413" s="764"/>
      <c r="K413" s="838"/>
      <c r="L413" s="687"/>
      <c r="M413" s="775"/>
      <c r="N413" s="689"/>
      <c r="O413" s="764"/>
    </row>
    <row r="414">
      <c r="A414" s="764"/>
      <c r="B414" s="775"/>
      <c r="C414" s="764"/>
      <c r="D414" s="764"/>
      <c r="E414" s="839"/>
      <c r="F414" s="687"/>
      <c r="G414" s="775"/>
      <c r="H414" s="777"/>
      <c r="I414" s="687"/>
      <c r="J414" s="764"/>
      <c r="K414" s="838"/>
      <c r="L414" s="687"/>
      <c r="M414" s="775"/>
      <c r="N414" s="689"/>
      <c r="O414" s="764"/>
    </row>
    <row r="415">
      <c r="A415" s="764"/>
      <c r="B415" s="775"/>
      <c r="C415" s="764"/>
      <c r="D415" s="764"/>
      <c r="E415" s="839"/>
      <c r="F415" s="687"/>
      <c r="G415" s="775"/>
      <c r="H415" s="777"/>
      <c r="I415" s="687"/>
      <c r="J415" s="764"/>
      <c r="K415" s="838"/>
      <c r="L415" s="687"/>
      <c r="M415" s="775"/>
      <c r="N415" s="689"/>
      <c r="O415" s="764"/>
    </row>
    <row r="416">
      <c r="A416" s="764"/>
      <c r="B416" s="775"/>
      <c r="C416" s="764"/>
      <c r="D416" s="764"/>
      <c r="E416" s="839"/>
      <c r="F416" s="687"/>
      <c r="G416" s="775"/>
      <c r="H416" s="777"/>
      <c r="I416" s="687"/>
      <c r="J416" s="764"/>
      <c r="K416" s="838"/>
      <c r="L416" s="687"/>
      <c r="M416" s="775"/>
      <c r="N416" s="689"/>
      <c r="O416" s="764"/>
    </row>
    <row r="417">
      <c r="A417" s="764"/>
      <c r="B417" s="775"/>
      <c r="C417" s="764"/>
      <c r="D417" s="764"/>
      <c r="E417" s="839"/>
      <c r="F417" s="687"/>
      <c r="G417" s="775"/>
      <c r="H417" s="777"/>
      <c r="I417" s="687"/>
      <c r="J417" s="764"/>
      <c r="K417" s="838"/>
      <c r="L417" s="687"/>
      <c r="M417" s="775"/>
      <c r="N417" s="689"/>
      <c r="O417" s="764"/>
    </row>
    <row r="418">
      <c r="A418" s="764"/>
      <c r="B418" s="775"/>
      <c r="C418" s="764"/>
      <c r="D418" s="764"/>
      <c r="E418" s="839"/>
      <c r="F418" s="687"/>
      <c r="G418" s="775"/>
      <c r="H418" s="777"/>
      <c r="I418" s="687"/>
      <c r="J418" s="764"/>
      <c r="K418" s="838"/>
      <c r="L418" s="687"/>
      <c r="M418" s="775"/>
      <c r="N418" s="689"/>
      <c r="O418" s="764"/>
    </row>
    <row r="419">
      <c r="A419" s="764"/>
      <c r="B419" s="775"/>
      <c r="C419" s="764"/>
      <c r="D419" s="764"/>
      <c r="E419" s="839"/>
      <c r="F419" s="687"/>
      <c r="G419" s="775"/>
      <c r="H419" s="777"/>
      <c r="I419" s="687"/>
      <c r="J419" s="764"/>
      <c r="K419" s="838"/>
      <c r="L419" s="687"/>
      <c r="M419" s="775"/>
      <c r="N419" s="689"/>
      <c r="O419" s="764"/>
    </row>
    <row r="420">
      <c r="A420" s="764"/>
      <c r="B420" s="775"/>
      <c r="C420" s="764"/>
      <c r="D420" s="764"/>
      <c r="E420" s="839"/>
      <c r="F420" s="687"/>
      <c r="G420" s="775"/>
      <c r="H420" s="777"/>
      <c r="I420" s="687"/>
      <c r="J420" s="764"/>
      <c r="K420" s="838"/>
      <c r="L420" s="687"/>
      <c r="M420" s="775"/>
      <c r="N420" s="689"/>
      <c r="O420" s="764"/>
    </row>
    <row r="421">
      <c r="A421" s="764"/>
      <c r="B421" s="775"/>
      <c r="C421" s="764"/>
      <c r="D421" s="764"/>
      <c r="E421" s="839"/>
      <c r="F421" s="687"/>
      <c r="G421" s="775"/>
      <c r="H421" s="777"/>
      <c r="I421" s="687"/>
      <c r="J421" s="764"/>
      <c r="K421" s="838"/>
      <c r="L421" s="687"/>
      <c r="M421" s="775"/>
      <c r="N421" s="689"/>
      <c r="O421" s="764"/>
    </row>
    <row r="422">
      <c r="A422" s="764"/>
      <c r="B422" s="775"/>
      <c r="C422" s="764"/>
      <c r="D422" s="764"/>
      <c r="E422" s="839"/>
      <c r="F422" s="687"/>
      <c r="G422" s="775"/>
      <c r="H422" s="777"/>
      <c r="I422" s="687"/>
      <c r="J422" s="764"/>
      <c r="K422" s="838"/>
      <c r="L422" s="687"/>
      <c r="M422" s="775"/>
      <c r="N422" s="689"/>
      <c r="O422" s="764"/>
    </row>
    <row r="423">
      <c r="A423" s="764"/>
      <c r="B423" s="775"/>
      <c r="C423" s="764"/>
      <c r="D423" s="764"/>
      <c r="E423" s="839"/>
      <c r="F423" s="687"/>
      <c r="G423" s="775"/>
      <c r="H423" s="777"/>
      <c r="I423" s="687"/>
      <c r="J423" s="764"/>
      <c r="K423" s="838"/>
      <c r="L423" s="687"/>
      <c r="M423" s="775"/>
      <c r="N423" s="689"/>
      <c r="O423" s="764"/>
    </row>
    <row r="424">
      <c r="A424" s="764"/>
      <c r="B424" s="775"/>
      <c r="C424" s="764"/>
      <c r="D424" s="764"/>
      <c r="E424" s="839"/>
      <c r="F424" s="687"/>
      <c r="G424" s="775"/>
      <c r="H424" s="777"/>
      <c r="I424" s="687"/>
      <c r="J424" s="764"/>
      <c r="K424" s="838"/>
      <c r="L424" s="687"/>
      <c r="M424" s="775"/>
      <c r="N424" s="689"/>
      <c r="O424" s="764"/>
    </row>
    <row r="425">
      <c r="A425" s="764"/>
      <c r="B425" s="775"/>
      <c r="C425" s="764"/>
      <c r="D425" s="764"/>
      <c r="E425" s="839"/>
      <c r="F425" s="687"/>
      <c r="G425" s="775"/>
      <c r="H425" s="777"/>
      <c r="I425" s="687"/>
      <c r="J425" s="764"/>
      <c r="K425" s="838"/>
      <c r="L425" s="687"/>
      <c r="M425" s="775"/>
      <c r="N425" s="689"/>
      <c r="O425" s="764"/>
    </row>
    <row r="426">
      <c r="A426" s="764"/>
      <c r="B426" s="775"/>
      <c r="C426" s="764"/>
      <c r="D426" s="764"/>
      <c r="E426" s="839"/>
      <c r="F426" s="687"/>
      <c r="G426" s="775"/>
      <c r="H426" s="777"/>
      <c r="I426" s="687"/>
      <c r="J426" s="764"/>
      <c r="K426" s="838"/>
      <c r="L426" s="687"/>
      <c r="M426" s="775"/>
      <c r="N426" s="689"/>
      <c r="O426" s="764"/>
    </row>
    <row r="427">
      <c r="A427" s="764"/>
      <c r="B427" s="775"/>
      <c r="C427" s="764"/>
      <c r="D427" s="764"/>
      <c r="E427" s="839"/>
      <c r="F427" s="687"/>
      <c r="G427" s="775"/>
      <c r="H427" s="777"/>
      <c r="I427" s="687"/>
      <c r="J427" s="764"/>
      <c r="K427" s="838"/>
      <c r="L427" s="687"/>
      <c r="M427" s="775"/>
      <c r="N427" s="689"/>
      <c r="O427" s="764"/>
    </row>
    <row r="428">
      <c r="A428" s="764"/>
      <c r="B428" s="775"/>
      <c r="C428" s="764"/>
      <c r="D428" s="764"/>
      <c r="E428" s="839"/>
      <c r="F428" s="687"/>
      <c r="G428" s="775"/>
      <c r="H428" s="777"/>
      <c r="I428" s="687"/>
      <c r="J428" s="764"/>
      <c r="K428" s="838"/>
      <c r="L428" s="687"/>
      <c r="M428" s="775"/>
      <c r="N428" s="689"/>
      <c r="O428" s="764"/>
    </row>
    <row r="429">
      <c r="A429" s="764"/>
      <c r="B429" s="775"/>
      <c r="C429" s="764"/>
      <c r="D429" s="764"/>
      <c r="E429" s="839"/>
      <c r="F429" s="687"/>
      <c r="G429" s="775"/>
      <c r="H429" s="777"/>
      <c r="I429" s="687"/>
      <c r="J429" s="764"/>
      <c r="K429" s="838"/>
      <c r="L429" s="687"/>
      <c r="M429" s="775"/>
      <c r="N429" s="689"/>
      <c r="O429" s="764"/>
    </row>
    <row r="430">
      <c r="A430" s="764"/>
      <c r="B430" s="775"/>
      <c r="C430" s="764"/>
      <c r="D430" s="764"/>
      <c r="E430" s="839"/>
      <c r="F430" s="687"/>
      <c r="G430" s="775"/>
      <c r="H430" s="777"/>
      <c r="I430" s="687"/>
      <c r="J430" s="764"/>
      <c r="K430" s="838"/>
      <c r="L430" s="687"/>
      <c r="M430" s="775"/>
      <c r="N430" s="689"/>
      <c r="O430" s="764"/>
    </row>
    <row r="431">
      <c r="A431" s="764"/>
      <c r="B431" s="775"/>
      <c r="C431" s="764"/>
      <c r="D431" s="764"/>
      <c r="E431" s="839"/>
      <c r="F431" s="687"/>
      <c r="G431" s="775"/>
      <c r="H431" s="777"/>
      <c r="I431" s="687"/>
      <c r="J431" s="764"/>
      <c r="K431" s="838"/>
      <c r="L431" s="687"/>
      <c r="M431" s="775"/>
      <c r="N431" s="689"/>
      <c r="O431" s="764"/>
    </row>
    <row r="432">
      <c r="A432" s="764"/>
      <c r="B432" s="775"/>
      <c r="C432" s="764"/>
      <c r="D432" s="764"/>
      <c r="E432" s="839"/>
      <c r="F432" s="687"/>
      <c r="G432" s="775"/>
      <c r="H432" s="777"/>
      <c r="I432" s="687"/>
      <c r="J432" s="764"/>
      <c r="K432" s="838"/>
      <c r="L432" s="687"/>
      <c r="M432" s="775"/>
      <c r="N432" s="689"/>
      <c r="O432" s="764"/>
    </row>
    <row r="433">
      <c r="A433" s="764"/>
      <c r="B433" s="775"/>
      <c r="C433" s="764"/>
      <c r="D433" s="764"/>
      <c r="E433" s="839"/>
      <c r="F433" s="687"/>
      <c r="G433" s="775"/>
      <c r="H433" s="777"/>
      <c r="I433" s="687"/>
      <c r="J433" s="764"/>
      <c r="K433" s="838"/>
      <c r="L433" s="687"/>
      <c r="M433" s="775"/>
      <c r="N433" s="689"/>
      <c r="O433" s="764"/>
    </row>
    <row r="434">
      <c r="A434" s="764"/>
      <c r="B434" s="775"/>
      <c r="C434" s="764"/>
      <c r="D434" s="764"/>
      <c r="E434" s="839"/>
      <c r="F434" s="687"/>
      <c r="G434" s="775"/>
      <c r="H434" s="777"/>
      <c r="I434" s="687"/>
      <c r="J434" s="764"/>
      <c r="K434" s="838"/>
      <c r="L434" s="687"/>
      <c r="M434" s="775"/>
      <c r="N434" s="689"/>
      <c r="O434" s="764"/>
    </row>
    <row r="435">
      <c r="A435" s="764"/>
      <c r="B435" s="775"/>
      <c r="C435" s="764"/>
      <c r="D435" s="764"/>
      <c r="E435" s="839"/>
      <c r="F435" s="687"/>
      <c r="G435" s="775"/>
      <c r="H435" s="777"/>
      <c r="I435" s="687"/>
      <c r="J435" s="764"/>
      <c r="K435" s="838"/>
      <c r="L435" s="687"/>
      <c r="M435" s="775"/>
      <c r="N435" s="689"/>
      <c r="O435" s="764"/>
    </row>
    <row r="436">
      <c r="A436" s="764"/>
      <c r="B436" s="775"/>
      <c r="C436" s="764"/>
      <c r="D436" s="764"/>
      <c r="E436" s="839"/>
      <c r="F436" s="687"/>
      <c r="G436" s="775"/>
      <c r="H436" s="777"/>
      <c r="I436" s="687"/>
      <c r="J436" s="764"/>
      <c r="K436" s="838"/>
      <c r="L436" s="687"/>
      <c r="M436" s="775"/>
      <c r="N436" s="689"/>
      <c r="O436" s="764"/>
    </row>
    <row r="437">
      <c r="A437" s="764"/>
      <c r="B437" s="775"/>
      <c r="C437" s="764"/>
      <c r="D437" s="764"/>
      <c r="E437" s="839"/>
      <c r="F437" s="687"/>
      <c r="G437" s="775"/>
      <c r="H437" s="777"/>
      <c r="I437" s="687"/>
      <c r="J437" s="764"/>
      <c r="K437" s="838"/>
      <c r="L437" s="687"/>
      <c r="M437" s="775"/>
      <c r="N437" s="689"/>
      <c r="O437" s="764"/>
    </row>
    <row r="438">
      <c r="A438" s="764"/>
      <c r="B438" s="775"/>
      <c r="C438" s="764"/>
      <c r="D438" s="764"/>
      <c r="E438" s="839"/>
      <c r="F438" s="687"/>
      <c r="G438" s="775"/>
      <c r="H438" s="777"/>
      <c r="I438" s="687"/>
      <c r="J438" s="764"/>
      <c r="K438" s="838"/>
      <c r="L438" s="687"/>
      <c r="M438" s="775"/>
      <c r="N438" s="689"/>
      <c r="O438" s="764"/>
    </row>
    <row r="439">
      <c r="A439" s="764"/>
      <c r="B439" s="775"/>
      <c r="C439" s="764"/>
      <c r="D439" s="764"/>
      <c r="E439" s="839"/>
      <c r="F439" s="687"/>
      <c r="G439" s="775"/>
      <c r="H439" s="777"/>
      <c r="I439" s="687"/>
      <c r="J439" s="764"/>
      <c r="K439" s="838"/>
      <c r="L439" s="687"/>
      <c r="M439" s="775"/>
      <c r="N439" s="689"/>
      <c r="O439" s="764"/>
    </row>
    <row r="440">
      <c r="A440" s="764"/>
      <c r="B440" s="775"/>
      <c r="C440" s="764"/>
      <c r="D440" s="764"/>
      <c r="E440" s="839"/>
      <c r="F440" s="687"/>
      <c r="G440" s="775"/>
      <c r="H440" s="777"/>
      <c r="I440" s="687"/>
      <c r="J440" s="764"/>
      <c r="K440" s="838"/>
      <c r="L440" s="687"/>
      <c r="M440" s="775"/>
      <c r="N440" s="689"/>
      <c r="O440" s="764"/>
    </row>
    <row r="441">
      <c r="A441" s="764"/>
      <c r="B441" s="775"/>
      <c r="C441" s="764"/>
      <c r="D441" s="764"/>
      <c r="E441" s="839"/>
      <c r="F441" s="687"/>
      <c r="G441" s="775"/>
      <c r="H441" s="777"/>
      <c r="I441" s="687"/>
      <c r="J441" s="764"/>
      <c r="K441" s="838"/>
      <c r="L441" s="687"/>
      <c r="M441" s="775"/>
      <c r="N441" s="689"/>
      <c r="O441" s="764"/>
    </row>
    <row r="442">
      <c r="A442" s="764"/>
      <c r="B442" s="775"/>
      <c r="C442" s="764"/>
      <c r="D442" s="764"/>
      <c r="E442" s="839"/>
      <c r="F442" s="687"/>
      <c r="G442" s="775"/>
      <c r="H442" s="777"/>
      <c r="I442" s="687"/>
      <c r="J442" s="764"/>
      <c r="K442" s="838"/>
      <c r="L442" s="687"/>
      <c r="M442" s="775"/>
      <c r="N442" s="689"/>
      <c r="O442" s="764"/>
    </row>
    <row r="443">
      <c r="A443" s="764"/>
      <c r="B443" s="775"/>
      <c r="C443" s="764"/>
      <c r="D443" s="764"/>
      <c r="E443" s="839"/>
      <c r="F443" s="687"/>
      <c r="G443" s="775"/>
      <c r="H443" s="777"/>
      <c r="I443" s="687"/>
      <c r="J443" s="764"/>
      <c r="K443" s="838"/>
      <c r="L443" s="687"/>
      <c r="M443" s="775"/>
      <c r="N443" s="689"/>
      <c r="O443" s="764"/>
    </row>
    <row r="444">
      <c r="A444" s="764"/>
      <c r="B444" s="775"/>
      <c r="C444" s="764"/>
      <c r="D444" s="764"/>
      <c r="E444" s="839"/>
      <c r="F444" s="687"/>
      <c r="G444" s="775"/>
      <c r="H444" s="777"/>
      <c r="I444" s="687"/>
      <c r="J444" s="764"/>
      <c r="K444" s="838"/>
      <c r="L444" s="687"/>
      <c r="M444" s="775"/>
      <c r="N444" s="689"/>
      <c r="O444" s="764"/>
    </row>
    <row r="445">
      <c r="A445" s="764"/>
      <c r="B445" s="775"/>
      <c r="C445" s="764"/>
      <c r="D445" s="764"/>
      <c r="E445" s="839"/>
      <c r="F445" s="687"/>
      <c r="G445" s="775"/>
      <c r="H445" s="777"/>
      <c r="I445" s="687"/>
      <c r="J445" s="764"/>
      <c r="K445" s="838"/>
      <c r="L445" s="687"/>
      <c r="M445" s="775"/>
      <c r="N445" s="689"/>
      <c r="O445" s="764"/>
    </row>
    <row r="446">
      <c r="A446" s="764"/>
      <c r="B446" s="775"/>
      <c r="C446" s="764"/>
      <c r="D446" s="764"/>
      <c r="E446" s="839"/>
      <c r="F446" s="687"/>
      <c r="G446" s="775"/>
      <c r="H446" s="777"/>
      <c r="I446" s="687"/>
      <c r="J446" s="764"/>
      <c r="K446" s="838"/>
      <c r="L446" s="687"/>
      <c r="M446" s="775"/>
      <c r="N446" s="689"/>
      <c r="O446" s="764"/>
    </row>
    <row r="447">
      <c r="A447" s="764"/>
      <c r="B447" s="775"/>
      <c r="C447" s="764"/>
      <c r="D447" s="764"/>
      <c r="E447" s="839"/>
      <c r="F447" s="687"/>
      <c r="G447" s="775"/>
      <c r="H447" s="777"/>
      <c r="I447" s="687"/>
      <c r="J447" s="764"/>
      <c r="K447" s="838"/>
      <c r="L447" s="687"/>
      <c r="M447" s="775"/>
      <c r="N447" s="689"/>
      <c r="O447" s="764"/>
    </row>
    <row r="448">
      <c r="A448" s="764"/>
      <c r="B448" s="775"/>
      <c r="C448" s="764"/>
      <c r="D448" s="764"/>
      <c r="E448" s="839"/>
      <c r="F448" s="687"/>
      <c r="G448" s="775"/>
      <c r="H448" s="777"/>
      <c r="I448" s="687"/>
      <c r="J448" s="764"/>
      <c r="K448" s="838"/>
      <c r="L448" s="687"/>
      <c r="M448" s="775"/>
      <c r="N448" s="689"/>
      <c r="O448" s="764"/>
    </row>
    <row r="449">
      <c r="A449" s="764"/>
      <c r="B449" s="775"/>
      <c r="C449" s="764"/>
      <c r="D449" s="764"/>
      <c r="E449" s="839"/>
      <c r="F449" s="687"/>
      <c r="G449" s="775"/>
      <c r="H449" s="777"/>
      <c r="I449" s="687"/>
      <c r="J449" s="764"/>
      <c r="K449" s="838"/>
      <c r="L449" s="687"/>
      <c r="M449" s="775"/>
      <c r="N449" s="689"/>
      <c r="O449" s="764"/>
    </row>
    <row r="450">
      <c r="A450" s="764"/>
      <c r="B450" s="775"/>
      <c r="C450" s="764"/>
      <c r="D450" s="764"/>
      <c r="E450" s="839"/>
      <c r="F450" s="687"/>
      <c r="G450" s="775"/>
      <c r="H450" s="777"/>
      <c r="I450" s="687"/>
      <c r="J450" s="764"/>
      <c r="K450" s="838"/>
      <c r="L450" s="687"/>
      <c r="M450" s="775"/>
      <c r="N450" s="689"/>
      <c r="O450" s="764"/>
    </row>
    <row r="451">
      <c r="A451" s="764"/>
      <c r="B451" s="775"/>
      <c r="C451" s="764"/>
      <c r="D451" s="764"/>
      <c r="E451" s="839"/>
      <c r="F451" s="687"/>
      <c r="G451" s="775"/>
      <c r="H451" s="777"/>
      <c r="I451" s="687"/>
      <c r="J451" s="764"/>
      <c r="K451" s="838"/>
      <c r="L451" s="687"/>
      <c r="M451" s="775"/>
      <c r="N451" s="689"/>
      <c r="O451" s="764"/>
    </row>
    <row r="452">
      <c r="A452" s="764"/>
      <c r="B452" s="775"/>
      <c r="C452" s="764"/>
      <c r="D452" s="764"/>
      <c r="E452" s="839"/>
      <c r="F452" s="687"/>
      <c r="G452" s="775"/>
      <c r="H452" s="777"/>
      <c r="I452" s="687"/>
      <c r="J452" s="764"/>
      <c r="K452" s="838"/>
      <c r="L452" s="687"/>
      <c r="M452" s="775"/>
      <c r="N452" s="689"/>
      <c r="O452" s="764"/>
    </row>
    <row r="453">
      <c r="A453" s="764"/>
      <c r="B453" s="775"/>
      <c r="C453" s="764"/>
      <c r="D453" s="764"/>
      <c r="E453" s="839"/>
      <c r="F453" s="687"/>
      <c r="G453" s="775"/>
      <c r="H453" s="777"/>
      <c r="I453" s="687"/>
      <c r="J453" s="764"/>
      <c r="K453" s="838"/>
      <c r="L453" s="687"/>
      <c r="M453" s="775"/>
      <c r="N453" s="689"/>
      <c r="O453" s="764"/>
    </row>
    <row r="454">
      <c r="A454" s="764"/>
      <c r="B454" s="775"/>
      <c r="C454" s="764"/>
      <c r="D454" s="764"/>
      <c r="E454" s="839"/>
      <c r="F454" s="687"/>
      <c r="G454" s="775"/>
      <c r="H454" s="777"/>
      <c r="I454" s="687"/>
      <c r="J454" s="764"/>
      <c r="K454" s="838"/>
      <c r="L454" s="687"/>
      <c r="M454" s="775"/>
      <c r="N454" s="689"/>
      <c r="O454" s="764"/>
    </row>
    <row r="455">
      <c r="A455" s="764"/>
      <c r="B455" s="775"/>
      <c r="C455" s="764"/>
      <c r="D455" s="764"/>
      <c r="E455" s="839"/>
      <c r="F455" s="687"/>
      <c r="G455" s="775"/>
      <c r="H455" s="777"/>
      <c r="I455" s="687"/>
      <c r="J455" s="764"/>
      <c r="K455" s="838"/>
      <c r="L455" s="687"/>
      <c r="M455" s="775"/>
      <c r="N455" s="689"/>
      <c r="O455" s="764"/>
    </row>
    <row r="456">
      <c r="A456" s="764"/>
      <c r="B456" s="775"/>
      <c r="C456" s="764"/>
      <c r="D456" s="764"/>
      <c r="E456" s="839"/>
      <c r="F456" s="687"/>
      <c r="G456" s="775"/>
      <c r="H456" s="777"/>
      <c r="I456" s="687"/>
      <c r="J456" s="764"/>
      <c r="K456" s="838"/>
      <c r="L456" s="687"/>
      <c r="M456" s="775"/>
      <c r="N456" s="689"/>
      <c r="O456" s="764"/>
    </row>
    <row r="457">
      <c r="A457" s="764"/>
      <c r="B457" s="775"/>
      <c r="C457" s="764"/>
      <c r="D457" s="764"/>
      <c r="E457" s="839"/>
      <c r="F457" s="687"/>
      <c r="G457" s="775"/>
      <c r="H457" s="777"/>
      <c r="I457" s="687"/>
      <c r="J457" s="764"/>
      <c r="K457" s="838"/>
      <c r="L457" s="687"/>
      <c r="M457" s="775"/>
      <c r="N457" s="689"/>
      <c r="O457" s="764"/>
    </row>
    <row r="458">
      <c r="A458" s="764"/>
      <c r="B458" s="775"/>
      <c r="C458" s="764"/>
      <c r="D458" s="764"/>
      <c r="E458" s="839"/>
      <c r="F458" s="687"/>
      <c r="G458" s="775"/>
      <c r="H458" s="777"/>
      <c r="I458" s="687"/>
      <c r="J458" s="764"/>
      <c r="K458" s="838"/>
      <c r="L458" s="687"/>
      <c r="M458" s="775"/>
      <c r="N458" s="689"/>
      <c r="O458" s="764"/>
    </row>
    <row r="459">
      <c r="A459" s="764"/>
      <c r="B459" s="775"/>
      <c r="C459" s="764"/>
      <c r="D459" s="764"/>
      <c r="E459" s="839"/>
      <c r="F459" s="687"/>
      <c r="G459" s="775"/>
      <c r="H459" s="777"/>
      <c r="I459" s="687"/>
      <c r="J459" s="764"/>
      <c r="K459" s="838"/>
      <c r="L459" s="687"/>
      <c r="M459" s="775"/>
      <c r="N459" s="689"/>
      <c r="O459" s="764"/>
    </row>
    <row r="460">
      <c r="A460" s="764"/>
      <c r="B460" s="775"/>
      <c r="C460" s="764"/>
      <c r="D460" s="764"/>
      <c r="E460" s="839"/>
      <c r="F460" s="687"/>
      <c r="G460" s="775"/>
      <c r="H460" s="777"/>
      <c r="I460" s="687"/>
      <c r="J460" s="764"/>
      <c r="K460" s="838"/>
      <c r="L460" s="687"/>
      <c r="M460" s="775"/>
      <c r="N460" s="689"/>
      <c r="O460" s="764"/>
    </row>
    <row r="461">
      <c r="A461" s="764"/>
      <c r="B461" s="775"/>
      <c r="C461" s="764"/>
      <c r="D461" s="764"/>
      <c r="E461" s="839"/>
      <c r="F461" s="687"/>
      <c r="G461" s="775"/>
      <c r="H461" s="777"/>
      <c r="I461" s="687"/>
      <c r="J461" s="764"/>
      <c r="K461" s="838"/>
      <c r="L461" s="687"/>
      <c r="M461" s="775"/>
      <c r="N461" s="689"/>
      <c r="O461" s="764"/>
    </row>
    <row r="462">
      <c r="A462" s="764"/>
      <c r="B462" s="775"/>
      <c r="C462" s="764"/>
      <c r="D462" s="764"/>
      <c r="E462" s="839"/>
      <c r="F462" s="687"/>
      <c r="G462" s="775"/>
      <c r="H462" s="777"/>
      <c r="I462" s="687"/>
      <c r="J462" s="764"/>
      <c r="K462" s="838"/>
      <c r="L462" s="687"/>
      <c r="M462" s="775"/>
      <c r="N462" s="689"/>
      <c r="O462" s="764"/>
    </row>
    <row r="463">
      <c r="A463" s="764"/>
      <c r="B463" s="775"/>
      <c r="C463" s="764"/>
      <c r="D463" s="764"/>
      <c r="E463" s="839"/>
      <c r="F463" s="687"/>
      <c r="G463" s="775"/>
      <c r="H463" s="777"/>
      <c r="I463" s="687"/>
      <c r="J463" s="764"/>
      <c r="K463" s="838"/>
      <c r="L463" s="687"/>
      <c r="M463" s="775"/>
      <c r="N463" s="689"/>
      <c r="O463" s="764"/>
    </row>
    <row r="464">
      <c r="A464" s="764"/>
      <c r="B464" s="775"/>
      <c r="C464" s="764"/>
      <c r="D464" s="764"/>
      <c r="E464" s="839"/>
      <c r="F464" s="687"/>
      <c r="G464" s="775"/>
      <c r="H464" s="777"/>
      <c r="I464" s="687"/>
      <c r="J464" s="764"/>
      <c r="K464" s="838"/>
      <c r="L464" s="687"/>
      <c r="M464" s="775"/>
      <c r="N464" s="689"/>
      <c r="O464" s="764"/>
    </row>
    <row r="465">
      <c r="A465" s="764"/>
      <c r="B465" s="775"/>
      <c r="C465" s="764"/>
      <c r="D465" s="764"/>
      <c r="E465" s="839"/>
      <c r="F465" s="687"/>
      <c r="G465" s="775"/>
      <c r="H465" s="777"/>
      <c r="I465" s="687"/>
      <c r="J465" s="764"/>
      <c r="K465" s="838"/>
      <c r="L465" s="687"/>
      <c r="M465" s="775"/>
      <c r="N465" s="689"/>
      <c r="O465" s="764"/>
    </row>
    <row r="466">
      <c r="A466" s="764"/>
      <c r="B466" s="775"/>
      <c r="C466" s="764"/>
      <c r="D466" s="764"/>
      <c r="E466" s="839"/>
      <c r="F466" s="687"/>
      <c r="G466" s="775"/>
      <c r="H466" s="777"/>
      <c r="I466" s="687"/>
      <c r="J466" s="764"/>
      <c r="K466" s="838"/>
      <c r="L466" s="687"/>
      <c r="M466" s="775"/>
      <c r="N466" s="689"/>
      <c r="O466" s="764"/>
    </row>
    <row r="467">
      <c r="A467" s="764"/>
      <c r="B467" s="775"/>
      <c r="C467" s="764"/>
      <c r="D467" s="764"/>
      <c r="E467" s="839"/>
      <c r="F467" s="687"/>
      <c r="G467" s="775"/>
      <c r="H467" s="777"/>
      <c r="I467" s="687"/>
      <c r="J467" s="764"/>
      <c r="K467" s="838"/>
      <c r="L467" s="687"/>
      <c r="M467" s="775"/>
      <c r="N467" s="689"/>
      <c r="O467" s="764"/>
    </row>
    <row r="468">
      <c r="A468" s="764"/>
      <c r="B468" s="775"/>
      <c r="C468" s="764"/>
      <c r="D468" s="764"/>
      <c r="E468" s="839"/>
      <c r="F468" s="687"/>
      <c r="G468" s="775"/>
      <c r="H468" s="777"/>
      <c r="I468" s="687"/>
      <c r="J468" s="764"/>
      <c r="K468" s="838"/>
      <c r="L468" s="687"/>
      <c r="M468" s="775"/>
      <c r="N468" s="689"/>
      <c r="O468" s="764"/>
    </row>
    <row r="469">
      <c r="A469" s="764"/>
      <c r="B469" s="775"/>
      <c r="C469" s="764"/>
      <c r="D469" s="764"/>
      <c r="E469" s="839"/>
      <c r="F469" s="687"/>
      <c r="G469" s="775"/>
      <c r="H469" s="777"/>
      <c r="I469" s="687"/>
      <c r="J469" s="764"/>
      <c r="K469" s="838"/>
      <c r="L469" s="687"/>
      <c r="M469" s="775"/>
      <c r="N469" s="689"/>
      <c r="O469" s="764"/>
    </row>
    <row r="470">
      <c r="A470" s="764"/>
      <c r="B470" s="775"/>
      <c r="C470" s="764"/>
      <c r="D470" s="764"/>
      <c r="E470" s="839"/>
      <c r="F470" s="687"/>
      <c r="G470" s="775"/>
      <c r="H470" s="777"/>
      <c r="I470" s="687"/>
      <c r="J470" s="764"/>
      <c r="K470" s="838"/>
      <c r="L470" s="687"/>
      <c r="M470" s="775"/>
      <c r="N470" s="689"/>
      <c r="O470" s="764"/>
    </row>
    <row r="471">
      <c r="A471" s="764"/>
      <c r="B471" s="775"/>
      <c r="C471" s="764"/>
      <c r="D471" s="764"/>
      <c r="E471" s="839"/>
      <c r="F471" s="687"/>
      <c r="G471" s="775"/>
      <c r="H471" s="777"/>
      <c r="I471" s="687"/>
      <c r="J471" s="764"/>
      <c r="K471" s="838"/>
      <c r="L471" s="687"/>
      <c r="M471" s="775"/>
      <c r="N471" s="689"/>
      <c r="O471" s="764"/>
    </row>
    <row r="472">
      <c r="A472" s="764"/>
      <c r="B472" s="775"/>
      <c r="C472" s="764"/>
      <c r="D472" s="764"/>
      <c r="E472" s="839"/>
      <c r="F472" s="687"/>
      <c r="G472" s="775"/>
      <c r="H472" s="777"/>
      <c r="I472" s="687"/>
      <c r="J472" s="764"/>
      <c r="K472" s="838"/>
      <c r="L472" s="687"/>
      <c r="M472" s="775"/>
      <c r="N472" s="689"/>
      <c r="O472" s="764"/>
    </row>
    <row r="473">
      <c r="A473" s="764"/>
      <c r="B473" s="775"/>
      <c r="C473" s="764"/>
      <c r="D473" s="764"/>
      <c r="E473" s="839"/>
      <c r="F473" s="687"/>
      <c r="G473" s="775"/>
      <c r="H473" s="777"/>
      <c r="I473" s="687"/>
      <c r="J473" s="764"/>
      <c r="K473" s="838"/>
      <c r="L473" s="687"/>
      <c r="M473" s="775"/>
      <c r="N473" s="689"/>
      <c r="O473" s="764"/>
    </row>
    <row r="474">
      <c r="A474" s="764"/>
      <c r="B474" s="775"/>
      <c r="C474" s="764"/>
      <c r="D474" s="764"/>
      <c r="E474" s="839"/>
      <c r="F474" s="687"/>
      <c r="G474" s="775"/>
      <c r="H474" s="777"/>
      <c r="I474" s="687"/>
      <c r="J474" s="764"/>
      <c r="K474" s="838"/>
      <c r="L474" s="687"/>
      <c r="M474" s="775"/>
      <c r="N474" s="689"/>
      <c r="O474" s="764"/>
    </row>
    <row r="475">
      <c r="A475" s="764"/>
      <c r="B475" s="775"/>
      <c r="C475" s="764"/>
      <c r="D475" s="764"/>
      <c r="E475" s="839"/>
      <c r="F475" s="687"/>
      <c r="G475" s="775"/>
      <c r="H475" s="777"/>
      <c r="I475" s="687"/>
      <c r="J475" s="764"/>
      <c r="K475" s="838"/>
      <c r="L475" s="687"/>
      <c r="M475" s="775"/>
      <c r="N475" s="689"/>
      <c r="O475" s="764"/>
    </row>
    <row r="476">
      <c r="A476" s="764"/>
      <c r="B476" s="775"/>
      <c r="C476" s="764"/>
      <c r="D476" s="764"/>
      <c r="E476" s="839"/>
      <c r="F476" s="687"/>
      <c r="G476" s="775"/>
      <c r="H476" s="777"/>
      <c r="I476" s="687"/>
      <c r="J476" s="764"/>
      <c r="K476" s="838"/>
      <c r="L476" s="687"/>
      <c r="M476" s="775"/>
      <c r="N476" s="689"/>
      <c r="O476" s="764"/>
    </row>
    <row r="477">
      <c r="A477" s="764"/>
      <c r="B477" s="775"/>
      <c r="C477" s="764"/>
      <c r="D477" s="764"/>
      <c r="E477" s="839"/>
      <c r="F477" s="687"/>
      <c r="G477" s="775"/>
      <c r="H477" s="777"/>
      <c r="I477" s="687"/>
      <c r="J477" s="764"/>
      <c r="K477" s="838"/>
      <c r="L477" s="687"/>
      <c r="M477" s="775"/>
      <c r="N477" s="689"/>
      <c r="O477" s="764"/>
    </row>
    <row r="478">
      <c r="A478" s="764"/>
      <c r="B478" s="775"/>
      <c r="C478" s="764"/>
      <c r="D478" s="764"/>
      <c r="E478" s="839"/>
      <c r="F478" s="687"/>
      <c r="G478" s="775"/>
      <c r="H478" s="777"/>
      <c r="I478" s="687"/>
      <c r="J478" s="764"/>
      <c r="K478" s="838"/>
      <c r="L478" s="687"/>
      <c r="M478" s="775"/>
      <c r="N478" s="689"/>
      <c r="O478" s="764"/>
    </row>
    <row r="479">
      <c r="A479" s="764"/>
      <c r="B479" s="775"/>
      <c r="C479" s="764"/>
      <c r="D479" s="764"/>
      <c r="E479" s="839"/>
      <c r="F479" s="687"/>
      <c r="G479" s="775"/>
      <c r="H479" s="777"/>
      <c r="I479" s="687"/>
      <c r="J479" s="764"/>
      <c r="K479" s="838"/>
      <c r="L479" s="687"/>
      <c r="M479" s="775"/>
      <c r="N479" s="689"/>
      <c r="O479" s="764"/>
    </row>
    <row r="480">
      <c r="A480" s="764"/>
      <c r="B480" s="775"/>
      <c r="C480" s="764"/>
      <c r="D480" s="764"/>
      <c r="E480" s="839"/>
      <c r="F480" s="687"/>
      <c r="G480" s="775"/>
      <c r="H480" s="777"/>
      <c r="I480" s="687"/>
      <c r="J480" s="764"/>
      <c r="K480" s="838"/>
      <c r="L480" s="687"/>
      <c r="M480" s="775"/>
      <c r="N480" s="689"/>
      <c r="O480" s="764"/>
    </row>
    <row r="481">
      <c r="A481" s="764"/>
      <c r="B481" s="775"/>
      <c r="C481" s="764"/>
      <c r="D481" s="764"/>
      <c r="E481" s="839"/>
      <c r="F481" s="687"/>
      <c r="G481" s="775"/>
      <c r="H481" s="777"/>
      <c r="I481" s="687"/>
      <c r="J481" s="764"/>
      <c r="K481" s="838"/>
      <c r="L481" s="687"/>
      <c r="M481" s="775"/>
      <c r="N481" s="689"/>
      <c r="O481" s="764"/>
    </row>
    <row r="482">
      <c r="A482" s="764"/>
      <c r="B482" s="775"/>
      <c r="C482" s="764"/>
      <c r="D482" s="764"/>
      <c r="E482" s="839"/>
      <c r="F482" s="687"/>
      <c r="G482" s="775"/>
      <c r="H482" s="777"/>
      <c r="I482" s="687"/>
      <c r="J482" s="764"/>
      <c r="K482" s="838"/>
      <c r="L482" s="687"/>
      <c r="M482" s="775"/>
      <c r="N482" s="689"/>
      <c r="O482" s="764"/>
    </row>
    <row r="483">
      <c r="A483" s="764"/>
      <c r="B483" s="775"/>
      <c r="C483" s="764"/>
      <c r="D483" s="764"/>
      <c r="E483" s="839"/>
      <c r="F483" s="687"/>
      <c r="G483" s="775"/>
      <c r="H483" s="777"/>
      <c r="I483" s="687"/>
      <c r="J483" s="764"/>
      <c r="K483" s="838"/>
      <c r="L483" s="687"/>
      <c r="M483" s="775"/>
      <c r="N483" s="689"/>
      <c r="O483" s="764"/>
    </row>
    <row r="484">
      <c r="A484" s="764"/>
      <c r="B484" s="775"/>
      <c r="C484" s="764"/>
      <c r="D484" s="764"/>
      <c r="E484" s="839"/>
      <c r="F484" s="687"/>
      <c r="G484" s="775"/>
      <c r="H484" s="777"/>
      <c r="I484" s="687"/>
      <c r="J484" s="764"/>
      <c r="K484" s="838"/>
      <c r="L484" s="687"/>
      <c r="M484" s="775"/>
      <c r="N484" s="689"/>
      <c r="O484" s="764"/>
    </row>
    <row r="485">
      <c r="A485" s="764"/>
      <c r="B485" s="775"/>
      <c r="C485" s="764"/>
      <c r="D485" s="764"/>
      <c r="E485" s="839"/>
      <c r="F485" s="687"/>
      <c r="G485" s="775"/>
      <c r="H485" s="777"/>
      <c r="I485" s="687"/>
      <c r="J485" s="764"/>
      <c r="K485" s="838"/>
      <c r="L485" s="687"/>
      <c r="M485" s="775"/>
      <c r="N485" s="689"/>
      <c r="O485" s="764"/>
    </row>
    <row r="486">
      <c r="A486" s="764"/>
      <c r="B486" s="775"/>
      <c r="C486" s="764"/>
      <c r="D486" s="764"/>
      <c r="E486" s="839"/>
      <c r="F486" s="687"/>
      <c r="G486" s="775"/>
      <c r="H486" s="777"/>
      <c r="I486" s="687"/>
      <c r="J486" s="764"/>
      <c r="K486" s="838"/>
      <c r="L486" s="687"/>
      <c r="M486" s="775"/>
      <c r="N486" s="689"/>
      <c r="O486" s="764"/>
    </row>
    <row r="487">
      <c r="A487" s="764"/>
      <c r="B487" s="775"/>
      <c r="C487" s="764"/>
      <c r="D487" s="764"/>
      <c r="E487" s="839"/>
      <c r="F487" s="687"/>
      <c r="G487" s="775"/>
      <c r="H487" s="777"/>
      <c r="I487" s="687"/>
      <c r="J487" s="764"/>
      <c r="K487" s="838"/>
      <c r="L487" s="687"/>
      <c r="M487" s="775"/>
      <c r="N487" s="689"/>
      <c r="O487" s="764"/>
    </row>
    <row r="488">
      <c r="A488" s="764"/>
      <c r="B488" s="775"/>
      <c r="C488" s="764"/>
      <c r="D488" s="764"/>
      <c r="E488" s="839"/>
      <c r="F488" s="687"/>
      <c r="G488" s="775"/>
      <c r="H488" s="777"/>
      <c r="I488" s="687"/>
      <c r="J488" s="764"/>
      <c r="K488" s="838"/>
      <c r="L488" s="687"/>
      <c r="M488" s="775"/>
      <c r="N488" s="689"/>
      <c r="O488" s="764"/>
    </row>
    <row r="489">
      <c r="A489" s="764"/>
      <c r="B489" s="775"/>
      <c r="C489" s="764"/>
      <c r="D489" s="764"/>
      <c r="E489" s="839"/>
      <c r="F489" s="687"/>
      <c r="G489" s="775"/>
      <c r="H489" s="777"/>
      <c r="I489" s="687"/>
      <c r="J489" s="764"/>
      <c r="K489" s="838"/>
      <c r="L489" s="687"/>
      <c r="M489" s="775"/>
      <c r="N489" s="689"/>
      <c r="O489" s="764"/>
    </row>
    <row r="490">
      <c r="A490" s="764"/>
      <c r="B490" s="775"/>
      <c r="C490" s="764"/>
      <c r="D490" s="764"/>
      <c r="E490" s="839"/>
      <c r="F490" s="687"/>
      <c r="G490" s="775"/>
      <c r="H490" s="777"/>
      <c r="I490" s="687"/>
      <c r="J490" s="764"/>
      <c r="K490" s="838"/>
      <c r="L490" s="687"/>
      <c r="M490" s="775"/>
      <c r="N490" s="689"/>
      <c r="O490" s="764"/>
    </row>
    <row r="491">
      <c r="A491" s="764"/>
      <c r="B491" s="775"/>
      <c r="C491" s="764"/>
      <c r="D491" s="764"/>
      <c r="E491" s="839"/>
      <c r="F491" s="687"/>
      <c r="G491" s="775"/>
      <c r="H491" s="777"/>
      <c r="I491" s="687"/>
      <c r="J491" s="764"/>
      <c r="K491" s="838"/>
      <c r="L491" s="687"/>
      <c r="M491" s="775"/>
      <c r="N491" s="689"/>
      <c r="O491" s="764"/>
    </row>
    <row r="492">
      <c r="A492" s="764"/>
      <c r="B492" s="775"/>
      <c r="C492" s="764"/>
      <c r="D492" s="764"/>
      <c r="E492" s="839"/>
      <c r="F492" s="687"/>
      <c r="G492" s="775"/>
      <c r="H492" s="777"/>
      <c r="I492" s="687"/>
      <c r="J492" s="764"/>
      <c r="K492" s="838"/>
      <c r="L492" s="687"/>
      <c r="M492" s="775"/>
      <c r="N492" s="689"/>
      <c r="O492" s="764"/>
    </row>
    <row r="493">
      <c r="A493" s="764"/>
      <c r="B493" s="775"/>
      <c r="C493" s="764"/>
      <c r="D493" s="764"/>
      <c r="E493" s="839"/>
      <c r="F493" s="687"/>
      <c r="G493" s="775"/>
      <c r="H493" s="777"/>
      <c r="I493" s="687"/>
      <c r="J493" s="764"/>
      <c r="K493" s="838"/>
      <c r="L493" s="687"/>
      <c r="M493" s="775"/>
      <c r="N493" s="689"/>
      <c r="O493" s="764"/>
    </row>
    <row r="494">
      <c r="A494" s="764"/>
      <c r="B494" s="775"/>
      <c r="C494" s="764"/>
      <c r="D494" s="764"/>
      <c r="E494" s="839"/>
      <c r="F494" s="687"/>
      <c r="G494" s="775"/>
      <c r="H494" s="777"/>
      <c r="I494" s="687"/>
      <c r="J494" s="764"/>
      <c r="K494" s="838"/>
      <c r="L494" s="687"/>
      <c r="M494" s="775"/>
      <c r="N494" s="689"/>
      <c r="O494" s="764"/>
    </row>
    <row r="495">
      <c r="A495" s="764"/>
      <c r="B495" s="775"/>
      <c r="C495" s="764"/>
      <c r="D495" s="764"/>
      <c r="E495" s="839"/>
      <c r="F495" s="687"/>
      <c r="G495" s="775"/>
      <c r="H495" s="777"/>
      <c r="I495" s="687"/>
      <c r="J495" s="764"/>
      <c r="K495" s="838"/>
      <c r="L495" s="687"/>
      <c r="M495" s="775"/>
      <c r="N495" s="689"/>
      <c r="O495" s="764"/>
    </row>
    <row r="496">
      <c r="A496" s="764"/>
      <c r="B496" s="775"/>
      <c r="C496" s="764"/>
      <c r="D496" s="764"/>
      <c r="E496" s="839"/>
      <c r="F496" s="687"/>
      <c r="G496" s="775"/>
      <c r="H496" s="777"/>
      <c r="I496" s="687"/>
      <c r="J496" s="764"/>
      <c r="K496" s="838"/>
      <c r="L496" s="687"/>
      <c r="M496" s="775"/>
      <c r="N496" s="689"/>
      <c r="O496" s="764"/>
    </row>
    <row r="497">
      <c r="A497" s="764"/>
      <c r="B497" s="775"/>
      <c r="C497" s="764"/>
      <c r="D497" s="764"/>
      <c r="E497" s="839"/>
      <c r="F497" s="687"/>
      <c r="G497" s="775"/>
      <c r="H497" s="777"/>
      <c r="I497" s="687"/>
      <c r="J497" s="764"/>
      <c r="K497" s="838"/>
      <c r="L497" s="687"/>
      <c r="M497" s="775"/>
      <c r="N497" s="689"/>
      <c r="O497" s="764"/>
    </row>
    <row r="498">
      <c r="A498" s="764"/>
      <c r="B498" s="775"/>
      <c r="C498" s="764"/>
      <c r="D498" s="764"/>
      <c r="E498" s="839"/>
      <c r="F498" s="687"/>
      <c r="G498" s="775"/>
      <c r="H498" s="777"/>
      <c r="I498" s="687"/>
      <c r="J498" s="764"/>
      <c r="K498" s="838"/>
      <c r="L498" s="687"/>
      <c r="M498" s="775"/>
      <c r="N498" s="689"/>
      <c r="O498" s="764"/>
    </row>
    <row r="499">
      <c r="A499" s="764"/>
      <c r="B499" s="775"/>
      <c r="C499" s="764"/>
      <c r="D499" s="764"/>
      <c r="E499" s="839"/>
      <c r="F499" s="687"/>
      <c r="G499" s="775"/>
      <c r="H499" s="777"/>
      <c r="I499" s="687"/>
      <c r="J499" s="764"/>
      <c r="K499" s="838"/>
      <c r="L499" s="687"/>
      <c r="M499" s="775"/>
      <c r="N499" s="689"/>
      <c r="O499" s="764"/>
    </row>
    <row r="500">
      <c r="A500" s="764"/>
      <c r="B500" s="775"/>
      <c r="C500" s="764"/>
      <c r="D500" s="764"/>
      <c r="E500" s="839"/>
      <c r="F500" s="687"/>
      <c r="G500" s="775"/>
      <c r="H500" s="777"/>
      <c r="I500" s="687"/>
      <c r="J500" s="764"/>
      <c r="K500" s="838"/>
      <c r="L500" s="687"/>
      <c r="M500" s="775"/>
      <c r="N500" s="689"/>
      <c r="O500" s="764"/>
    </row>
    <row r="501">
      <c r="A501" s="764"/>
      <c r="B501" s="775"/>
      <c r="C501" s="764"/>
      <c r="D501" s="764"/>
      <c r="E501" s="839"/>
      <c r="F501" s="687"/>
      <c r="G501" s="775"/>
      <c r="H501" s="777"/>
      <c r="I501" s="687"/>
      <c r="J501" s="764"/>
      <c r="K501" s="838"/>
      <c r="L501" s="687"/>
      <c r="M501" s="775"/>
      <c r="N501" s="689"/>
      <c r="O501" s="764"/>
    </row>
    <row r="502">
      <c r="A502" s="764"/>
      <c r="B502" s="775"/>
      <c r="C502" s="764"/>
      <c r="D502" s="764"/>
      <c r="E502" s="839"/>
      <c r="F502" s="687"/>
      <c r="G502" s="775"/>
      <c r="H502" s="777"/>
      <c r="I502" s="687"/>
      <c r="J502" s="764"/>
      <c r="K502" s="838"/>
      <c r="L502" s="687"/>
      <c r="M502" s="775"/>
      <c r="N502" s="689"/>
      <c r="O502" s="764"/>
    </row>
    <row r="503">
      <c r="A503" s="764"/>
      <c r="B503" s="775"/>
      <c r="C503" s="764"/>
      <c r="D503" s="764"/>
      <c r="E503" s="839"/>
      <c r="F503" s="687"/>
      <c r="G503" s="775"/>
      <c r="H503" s="777"/>
      <c r="I503" s="687"/>
      <c r="J503" s="764"/>
      <c r="K503" s="838"/>
      <c r="L503" s="687"/>
      <c r="M503" s="775"/>
      <c r="N503" s="689"/>
      <c r="O503" s="764"/>
    </row>
    <row r="504">
      <c r="A504" s="764"/>
      <c r="B504" s="775"/>
      <c r="C504" s="764"/>
      <c r="D504" s="764"/>
      <c r="E504" s="839"/>
      <c r="F504" s="687"/>
      <c r="G504" s="775"/>
      <c r="H504" s="777"/>
      <c r="I504" s="687"/>
      <c r="J504" s="764"/>
      <c r="K504" s="838"/>
      <c r="L504" s="687"/>
      <c r="M504" s="775"/>
      <c r="N504" s="689"/>
      <c r="O504" s="764"/>
    </row>
    <row r="505">
      <c r="A505" s="764"/>
      <c r="B505" s="775"/>
      <c r="C505" s="764"/>
      <c r="D505" s="764"/>
      <c r="E505" s="839"/>
      <c r="F505" s="687"/>
      <c r="G505" s="775"/>
      <c r="H505" s="777"/>
      <c r="I505" s="687"/>
      <c r="J505" s="764"/>
      <c r="K505" s="838"/>
      <c r="L505" s="687"/>
      <c r="M505" s="775"/>
      <c r="N505" s="689"/>
      <c r="O505" s="764"/>
    </row>
    <row r="506">
      <c r="A506" s="764"/>
      <c r="B506" s="775"/>
      <c r="C506" s="764"/>
      <c r="D506" s="764"/>
      <c r="E506" s="839"/>
      <c r="F506" s="687"/>
      <c r="G506" s="775"/>
      <c r="H506" s="777"/>
      <c r="I506" s="687"/>
      <c r="J506" s="764"/>
      <c r="K506" s="838"/>
      <c r="L506" s="687"/>
      <c r="M506" s="775"/>
      <c r="N506" s="689"/>
      <c r="O506" s="764"/>
    </row>
    <row r="507">
      <c r="A507" s="764"/>
      <c r="B507" s="775"/>
      <c r="C507" s="764"/>
      <c r="D507" s="764"/>
      <c r="E507" s="839"/>
      <c r="F507" s="687"/>
      <c r="G507" s="775"/>
      <c r="H507" s="777"/>
      <c r="I507" s="687"/>
      <c r="J507" s="764"/>
      <c r="K507" s="838"/>
      <c r="L507" s="687"/>
      <c r="M507" s="775"/>
      <c r="N507" s="689"/>
      <c r="O507" s="764"/>
    </row>
    <row r="508">
      <c r="A508" s="764"/>
      <c r="B508" s="775"/>
      <c r="C508" s="764"/>
      <c r="D508" s="764"/>
      <c r="E508" s="839"/>
      <c r="F508" s="687"/>
      <c r="G508" s="775"/>
      <c r="H508" s="777"/>
      <c r="I508" s="687"/>
      <c r="J508" s="764"/>
      <c r="K508" s="838"/>
      <c r="L508" s="687"/>
      <c r="M508" s="775"/>
      <c r="N508" s="689"/>
      <c r="O508" s="764"/>
    </row>
    <row r="509">
      <c r="A509" s="764"/>
      <c r="B509" s="775"/>
      <c r="C509" s="764"/>
      <c r="D509" s="764"/>
      <c r="E509" s="839"/>
      <c r="F509" s="687"/>
      <c r="G509" s="775"/>
      <c r="H509" s="777"/>
      <c r="I509" s="687"/>
      <c r="J509" s="764"/>
      <c r="K509" s="838"/>
      <c r="L509" s="687"/>
      <c r="M509" s="775"/>
      <c r="N509" s="689"/>
      <c r="O509" s="764"/>
    </row>
    <row r="510">
      <c r="A510" s="764"/>
      <c r="B510" s="775"/>
      <c r="C510" s="764"/>
      <c r="D510" s="764"/>
      <c r="E510" s="839"/>
      <c r="F510" s="687"/>
      <c r="G510" s="775"/>
      <c r="H510" s="777"/>
      <c r="I510" s="687"/>
      <c r="J510" s="764"/>
      <c r="K510" s="838"/>
      <c r="L510" s="687"/>
      <c r="M510" s="775"/>
      <c r="N510" s="689"/>
      <c r="O510" s="764"/>
    </row>
    <row r="511">
      <c r="A511" s="764"/>
      <c r="B511" s="775"/>
      <c r="C511" s="764"/>
      <c r="D511" s="764"/>
      <c r="E511" s="839"/>
      <c r="F511" s="687"/>
      <c r="G511" s="775"/>
      <c r="H511" s="777"/>
      <c r="I511" s="687"/>
      <c r="J511" s="764"/>
      <c r="K511" s="838"/>
      <c r="L511" s="687"/>
      <c r="M511" s="775"/>
      <c r="N511" s="689"/>
      <c r="O511" s="764"/>
    </row>
    <row r="512">
      <c r="A512" s="764"/>
      <c r="B512" s="775"/>
      <c r="C512" s="764"/>
      <c r="D512" s="764"/>
      <c r="E512" s="839"/>
      <c r="F512" s="687"/>
      <c r="G512" s="775"/>
      <c r="H512" s="777"/>
      <c r="I512" s="687"/>
      <c r="J512" s="764"/>
      <c r="K512" s="838"/>
      <c r="L512" s="687"/>
      <c r="M512" s="775"/>
      <c r="N512" s="689"/>
      <c r="O512" s="764"/>
    </row>
    <row r="513">
      <c r="A513" s="764"/>
      <c r="B513" s="775"/>
      <c r="C513" s="764"/>
      <c r="D513" s="764"/>
      <c r="E513" s="839"/>
      <c r="F513" s="687"/>
      <c r="G513" s="775"/>
      <c r="H513" s="777"/>
      <c r="I513" s="687"/>
      <c r="J513" s="764"/>
      <c r="K513" s="838"/>
      <c r="L513" s="687"/>
      <c r="M513" s="775"/>
      <c r="N513" s="689"/>
      <c r="O513" s="764"/>
    </row>
    <row r="514">
      <c r="A514" s="764"/>
      <c r="B514" s="775"/>
      <c r="C514" s="764"/>
      <c r="D514" s="764"/>
      <c r="E514" s="839"/>
      <c r="F514" s="687"/>
      <c r="G514" s="775"/>
      <c r="H514" s="777"/>
      <c r="I514" s="687"/>
      <c r="J514" s="764"/>
      <c r="K514" s="838"/>
      <c r="L514" s="687"/>
      <c r="M514" s="775"/>
      <c r="N514" s="689"/>
      <c r="O514" s="764"/>
    </row>
    <row r="515">
      <c r="A515" s="764"/>
      <c r="B515" s="775"/>
      <c r="C515" s="764"/>
      <c r="D515" s="764"/>
      <c r="E515" s="839"/>
      <c r="F515" s="687"/>
      <c r="G515" s="775"/>
      <c r="H515" s="777"/>
      <c r="I515" s="687"/>
      <c r="J515" s="764"/>
      <c r="K515" s="838"/>
      <c r="L515" s="687"/>
      <c r="M515" s="775"/>
      <c r="N515" s="689"/>
      <c r="O515" s="764"/>
    </row>
    <row r="516">
      <c r="A516" s="764"/>
      <c r="B516" s="775"/>
      <c r="C516" s="764"/>
      <c r="D516" s="764"/>
      <c r="E516" s="839"/>
      <c r="F516" s="687"/>
      <c r="G516" s="775"/>
      <c r="H516" s="777"/>
      <c r="I516" s="687"/>
      <c r="J516" s="764"/>
      <c r="K516" s="838"/>
      <c r="L516" s="687"/>
      <c r="M516" s="775"/>
      <c r="N516" s="689"/>
      <c r="O516" s="764"/>
    </row>
    <row r="517">
      <c r="A517" s="764"/>
      <c r="B517" s="775"/>
      <c r="C517" s="764"/>
      <c r="D517" s="764"/>
      <c r="E517" s="839"/>
      <c r="F517" s="687"/>
      <c r="G517" s="775"/>
      <c r="H517" s="777"/>
      <c r="I517" s="687"/>
      <c r="J517" s="764"/>
      <c r="K517" s="838"/>
      <c r="L517" s="687"/>
      <c r="M517" s="775"/>
      <c r="N517" s="689"/>
      <c r="O517" s="764"/>
    </row>
    <row r="518">
      <c r="A518" s="764"/>
      <c r="B518" s="775"/>
      <c r="C518" s="764"/>
      <c r="D518" s="764"/>
      <c r="E518" s="839"/>
      <c r="F518" s="687"/>
      <c r="G518" s="775"/>
      <c r="H518" s="777"/>
      <c r="I518" s="687"/>
      <c r="J518" s="764"/>
      <c r="K518" s="838"/>
      <c r="L518" s="687"/>
      <c r="M518" s="775"/>
      <c r="N518" s="689"/>
      <c r="O518" s="764"/>
    </row>
    <row r="519">
      <c r="A519" s="764"/>
      <c r="B519" s="775"/>
      <c r="C519" s="764"/>
      <c r="D519" s="764"/>
      <c r="E519" s="839"/>
      <c r="F519" s="687"/>
      <c r="G519" s="775"/>
      <c r="H519" s="777"/>
      <c r="I519" s="687"/>
      <c r="J519" s="764"/>
      <c r="K519" s="838"/>
      <c r="L519" s="687"/>
      <c r="M519" s="775"/>
      <c r="N519" s="689"/>
      <c r="O519" s="764"/>
    </row>
    <row r="520">
      <c r="A520" s="764"/>
      <c r="B520" s="775"/>
      <c r="C520" s="764"/>
      <c r="D520" s="764"/>
      <c r="E520" s="839"/>
      <c r="F520" s="687"/>
      <c r="G520" s="775"/>
      <c r="H520" s="777"/>
      <c r="I520" s="687"/>
      <c r="J520" s="764"/>
      <c r="K520" s="838"/>
      <c r="L520" s="687"/>
      <c r="M520" s="775"/>
      <c r="N520" s="689"/>
      <c r="O520" s="764"/>
    </row>
    <row r="521">
      <c r="A521" s="764"/>
      <c r="B521" s="775"/>
      <c r="C521" s="764"/>
      <c r="D521" s="764"/>
      <c r="E521" s="839"/>
      <c r="F521" s="687"/>
      <c r="G521" s="775"/>
      <c r="H521" s="777"/>
      <c r="I521" s="687"/>
      <c r="J521" s="764"/>
      <c r="K521" s="838"/>
      <c r="L521" s="687"/>
      <c r="M521" s="775"/>
      <c r="N521" s="689"/>
      <c r="O521" s="764"/>
    </row>
    <row r="522">
      <c r="A522" s="764"/>
      <c r="B522" s="775"/>
      <c r="C522" s="764"/>
      <c r="D522" s="764"/>
      <c r="E522" s="839"/>
      <c r="F522" s="687"/>
      <c r="G522" s="775"/>
      <c r="H522" s="777"/>
      <c r="I522" s="687"/>
      <c r="J522" s="764"/>
      <c r="K522" s="838"/>
      <c r="L522" s="687"/>
      <c r="M522" s="775"/>
      <c r="N522" s="689"/>
      <c r="O522" s="764"/>
    </row>
    <row r="523">
      <c r="A523" s="764"/>
      <c r="B523" s="775"/>
      <c r="C523" s="764"/>
      <c r="D523" s="764"/>
      <c r="E523" s="839"/>
      <c r="F523" s="687"/>
      <c r="G523" s="775"/>
      <c r="H523" s="777"/>
      <c r="I523" s="687"/>
      <c r="J523" s="764"/>
      <c r="K523" s="838"/>
      <c r="L523" s="687"/>
      <c r="M523" s="775"/>
      <c r="N523" s="689"/>
      <c r="O523" s="764"/>
    </row>
    <row r="524">
      <c r="A524" s="764"/>
      <c r="B524" s="775"/>
      <c r="C524" s="764"/>
      <c r="D524" s="764"/>
      <c r="E524" s="839"/>
      <c r="F524" s="687"/>
      <c r="G524" s="775"/>
      <c r="H524" s="777"/>
      <c r="I524" s="687"/>
      <c r="J524" s="764"/>
      <c r="K524" s="838"/>
      <c r="L524" s="687"/>
      <c r="M524" s="775"/>
      <c r="N524" s="689"/>
      <c r="O524" s="764"/>
    </row>
    <row r="525">
      <c r="A525" s="764"/>
      <c r="B525" s="775"/>
      <c r="C525" s="764"/>
      <c r="D525" s="764"/>
      <c r="E525" s="839"/>
      <c r="F525" s="687"/>
      <c r="G525" s="775"/>
      <c r="H525" s="777"/>
      <c r="I525" s="687"/>
      <c r="J525" s="764"/>
      <c r="K525" s="838"/>
      <c r="L525" s="687"/>
      <c r="M525" s="775"/>
      <c r="N525" s="689"/>
      <c r="O525" s="764"/>
    </row>
    <row r="526">
      <c r="A526" s="764"/>
      <c r="B526" s="775"/>
      <c r="C526" s="764"/>
      <c r="D526" s="764"/>
      <c r="E526" s="839"/>
      <c r="F526" s="687"/>
      <c r="G526" s="775"/>
      <c r="H526" s="777"/>
      <c r="I526" s="687"/>
      <c r="J526" s="764"/>
      <c r="K526" s="838"/>
      <c r="L526" s="687"/>
      <c r="M526" s="775"/>
      <c r="N526" s="689"/>
      <c r="O526" s="764"/>
    </row>
    <row r="527">
      <c r="A527" s="764"/>
      <c r="B527" s="775"/>
      <c r="C527" s="764"/>
      <c r="D527" s="764"/>
      <c r="E527" s="839"/>
      <c r="F527" s="687"/>
      <c r="G527" s="775"/>
      <c r="H527" s="777"/>
      <c r="I527" s="687"/>
      <c r="J527" s="764"/>
      <c r="K527" s="838"/>
      <c r="L527" s="687"/>
      <c r="M527" s="775"/>
      <c r="N527" s="689"/>
      <c r="O527" s="764"/>
    </row>
    <row r="528">
      <c r="A528" s="764"/>
      <c r="B528" s="775"/>
      <c r="C528" s="764"/>
      <c r="D528" s="764"/>
      <c r="E528" s="839"/>
      <c r="F528" s="687"/>
      <c r="G528" s="775"/>
      <c r="H528" s="777"/>
      <c r="I528" s="687"/>
      <c r="J528" s="764"/>
      <c r="K528" s="838"/>
      <c r="L528" s="687"/>
      <c r="M528" s="775"/>
      <c r="N528" s="689"/>
      <c r="O528" s="764"/>
    </row>
    <row r="529">
      <c r="A529" s="764"/>
      <c r="B529" s="775"/>
      <c r="C529" s="764"/>
      <c r="D529" s="764"/>
      <c r="E529" s="839"/>
      <c r="F529" s="687"/>
      <c r="G529" s="775"/>
      <c r="H529" s="777"/>
      <c r="I529" s="687"/>
      <c r="J529" s="764"/>
      <c r="K529" s="838"/>
      <c r="L529" s="687"/>
      <c r="M529" s="775"/>
      <c r="N529" s="689"/>
      <c r="O529" s="764"/>
    </row>
    <row r="530">
      <c r="A530" s="764"/>
      <c r="B530" s="775"/>
      <c r="C530" s="764"/>
      <c r="D530" s="764"/>
      <c r="E530" s="839"/>
      <c r="F530" s="687"/>
      <c r="G530" s="775"/>
      <c r="H530" s="777"/>
      <c r="I530" s="687"/>
      <c r="J530" s="764"/>
      <c r="K530" s="838"/>
      <c r="L530" s="687"/>
      <c r="M530" s="775"/>
      <c r="N530" s="689"/>
      <c r="O530" s="764"/>
    </row>
    <row r="531">
      <c r="A531" s="764"/>
      <c r="B531" s="775"/>
      <c r="C531" s="764"/>
      <c r="D531" s="764"/>
      <c r="E531" s="839"/>
      <c r="F531" s="687"/>
      <c r="G531" s="775"/>
      <c r="H531" s="777"/>
      <c r="I531" s="687"/>
      <c r="J531" s="764"/>
      <c r="K531" s="838"/>
      <c r="L531" s="687"/>
      <c r="M531" s="775"/>
      <c r="N531" s="689"/>
      <c r="O531" s="764"/>
    </row>
    <row r="532">
      <c r="A532" s="764"/>
      <c r="B532" s="775"/>
      <c r="C532" s="764"/>
      <c r="D532" s="764"/>
      <c r="E532" s="839"/>
      <c r="F532" s="687"/>
      <c r="G532" s="775"/>
      <c r="H532" s="777"/>
      <c r="I532" s="687"/>
      <c r="J532" s="764"/>
      <c r="K532" s="838"/>
      <c r="L532" s="687"/>
      <c r="M532" s="775"/>
      <c r="N532" s="689"/>
      <c r="O532" s="764"/>
    </row>
    <row r="533">
      <c r="A533" s="764"/>
      <c r="B533" s="775"/>
      <c r="C533" s="764"/>
      <c r="D533" s="764"/>
      <c r="E533" s="839"/>
      <c r="F533" s="687"/>
      <c r="G533" s="775"/>
      <c r="H533" s="777"/>
      <c r="I533" s="687"/>
      <c r="J533" s="764"/>
      <c r="K533" s="838"/>
      <c r="L533" s="687"/>
      <c r="M533" s="775"/>
      <c r="N533" s="689"/>
      <c r="O533" s="764"/>
    </row>
    <row r="534">
      <c r="A534" s="764"/>
      <c r="B534" s="775"/>
      <c r="C534" s="764"/>
      <c r="D534" s="764"/>
      <c r="E534" s="839"/>
      <c r="F534" s="687"/>
      <c r="G534" s="775"/>
      <c r="H534" s="777"/>
      <c r="I534" s="687"/>
      <c r="J534" s="764"/>
      <c r="K534" s="838"/>
      <c r="L534" s="687"/>
      <c r="M534" s="775"/>
      <c r="N534" s="689"/>
      <c r="O534" s="764"/>
    </row>
    <row r="535">
      <c r="A535" s="764"/>
      <c r="B535" s="775"/>
      <c r="C535" s="764"/>
      <c r="D535" s="764"/>
      <c r="E535" s="839"/>
      <c r="F535" s="687"/>
      <c r="G535" s="775"/>
      <c r="H535" s="777"/>
      <c r="I535" s="687"/>
      <c r="J535" s="764"/>
      <c r="K535" s="838"/>
      <c r="L535" s="687"/>
      <c r="M535" s="775"/>
      <c r="N535" s="689"/>
      <c r="O535" s="764"/>
    </row>
    <row r="536">
      <c r="A536" s="764"/>
      <c r="B536" s="775"/>
      <c r="C536" s="764"/>
      <c r="D536" s="764"/>
      <c r="E536" s="839"/>
      <c r="F536" s="687"/>
      <c r="G536" s="775"/>
      <c r="H536" s="777"/>
      <c r="I536" s="687"/>
      <c r="J536" s="764"/>
      <c r="K536" s="838"/>
      <c r="L536" s="687"/>
      <c r="M536" s="775"/>
      <c r="N536" s="689"/>
      <c r="O536" s="764"/>
    </row>
    <row r="537">
      <c r="A537" s="764"/>
      <c r="B537" s="775"/>
      <c r="C537" s="764"/>
      <c r="D537" s="764"/>
      <c r="E537" s="839"/>
      <c r="F537" s="687"/>
      <c r="G537" s="775"/>
      <c r="H537" s="777"/>
      <c r="I537" s="687"/>
      <c r="J537" s="764"/>
      <c r="K537" s="838"/>
      <c r="L537" s="687"/>
      <c r="M537" s="775"/>
      <c r="N537" s="689"/>
      <c r="O537" s="764"/>
    </row>
    <row r="538">
      <c r="A538" s="764"/>
      <c r="B538" s="775"/>
      <c r="C538" s="764"/>
      <c r="D538" s="764"/>
      <c r="E538" s="839"/>
      <c r="F538" s="687"/>
      <c r="G538" s="775"/>
      <c r="H538" s="777"/>
      <c r="I538" s="687"/>
      <c r="J538" s="764"/>
      <c r="K538" s="838"/>
      <c r="L538" s="687"/>
      <c r="M538" s="775"/>
      <c r="N538" s="689"/>
      <c r="O538" s="764"/>
    </row>
    <row r="539">
      <c r="A539" s="764"/>
      <c r="B539" s="775"/>
      <c r="C539" s="764"/>
      <c r="D539" s="764"/>
      <c r="E539" s="839"/>
      <c r="F539" s="687"/>
      <c r="G539" s="775"/>
      <c r="H539" s="777"/>
      <c r="I539" s="687"/>
      <c r="J539" s="764"/>
      <c r="K539" s="838"/>
      <c r="L539" s="687"/>
      <c r="M539" s="775"/>
      <c r="N539" s="689"/>
      <c r="O539" s="764"/>
    </row>
    <row r="540">
      <c r="A540" s="764"/>
      <c r="B540" s="775"/>
      <c r="C540" s="764"/>
      <c r="D540" s="764"/>
      <c r="E540" s="839"/>
      <c r="F540" s="687"/>
      <c r="G540" s="775"/>
      <c r="H540" s="777"/>
      <c r="I540" s="687"/>
      <c r="J540" s="764"/>
      <c r="K540" s="838"/>
      <c r="L540" s="687"/>
      <c r="M540" s="775"/>
      <c r="N540" s="689"/>
      <c r="O540" s="764"/>
    </row>
    <row r="541">
      <c r="A541" s="764"/>
      <c r="B541" s="775"/>
      <c r="C541" s="764"/>
      <c r="D541" s="764"/>
      <c r="E541" s="839"/>
      <c r="F541" s="687"/>
      <c r="G541" s="775"/>
      <c r="H541" s="777"/>
      <c r="I541" s="687"/>
      <c r="J541" s="764"/>
      <c r="K541" s="838"/>
      <c r="L541" s="687"/>
      <c r="M541" s="775"/>
      <c r="N541" s="689"/>
      <c r="O541" s="764"/>
    </row>
    <row r="542">
      <c r="A542" s="764"/>
      <c r="B542" s="775"/>
      <c r="C542" s="764"/>
      <c r="D542" s="764"/>
      <c r="E542" s="839"/>
      <c r="F542" s="687"/>
      <c r="G542" s="775"/>
      <c r="H542" s="777"/>
      <c r="I542" s="687"/>
      <c r="J542" s="764"/>
      <c r="K542" s="838"/>
      <c r="L542" s="687"/>
      <c r="M542" s="775"/>
      <c r="N542" s="689"/>
      <c r="O542" s="764"/>
    </row>
    <row r="543">
      <c r="A543" s="764"/>
      <c r="B543" s="775"/>
      <c r="C543" s="764"/>
      <c r="D543" s="764"/>
      <c r="E543" s="839"/>
      <c r="F543" s="687"/>
      <c r="G543" s="775"/>
      <c r="H543" s="777"/>
      <c r="I543" s="687"/>
      <c r="J543" s="764"/>
      <c r="K543" s="838"/>
      <c r="L543" s="687"/>
      <c r="M543" s="775"/>
      <c r="N543" s="689"/>
      <c r="O543" s="764"/>
    </row>
    <row r="544">
      <c r="A544" s="764"/>
      <c r="B544" s="775"/>
      <c r="C544" s="764"/>
      <c r="D544" s="764"/>
      <c r="E544" s="839"/>
      <c r="F544" s="687"/>
      <c r="G544" s="775"/>
      <c r="H544" s="777"/>
      <c r="I544" s="687"/>
      <c r="J544" s="764"/>
      <c r="K544" s="838"/>
      <c r="L544" s="687"/>
      <c r="M544" s="775"/>
      <c r="N544" s="689"/>
      <c r="O544" s="764"/>
    </row>
    <row r="545">
      <c r="A545" s="764"/>
      <c r="B545" s="775"/>
      <c r="C545" s="764"/>
      <c r="D545" s="764"/>
      <c r="E545" s="839"/>
      <c r="F545" s="687"/>
      <c r="G545" s="775"/>
      <c r="H545" s="777"/>
      <c r="I545" s="687"/>
      <c r="J545" s="764"/>
      <c r="K545" s="838"/>
      <c r="L545" s="687"/>
      <c r="M545" s="775"/>
      <c r="N545" s="689"/>
      <c r="O545" s="764"/>
    </row>
    <row r="546">
      <c r="A546" s="764"/>
      <c r="B546" s="775"/>
      <c r="C546" s="764"/>
      <c r="D546" s="764"/>
      <c r="E546" s="839"/>
      <c r="F546" s="687"/>
      <c r="G546" s="775"/>
      <c r="H546" s="777"/>
      <c r="I546" s="687"/>
      <c r="J546" s="764"/>
      <c r="K546" s="838"/>
      <c r="L546" s="687"/>
      <c r="M546" s="775"/>
      <c r="N546" s="689"/>
      <c r="O546" s="764"/>
    </row>
    <row r="547">
      <c r="A547" s="764"/>
      <c r="B547" s="775"/>
      <c r="C547" s="764"/>
      <c r="D547" s="764"/>
      <c r="E547" s="839"/>
      <c r="F547" s="687"/>
      <c r="G547" s="775"/>
      <c r="H547" s="777"/>
      <c r="I547" s="687"/>
      <c r="J547" s="764"/>
      <c r="K547" s="838"/>
      <c r="L547" s="687"/>
      <c r="M547" s="775"/>
      <c r="N547" s="689"/>
      <c r="O547" s="764"/>
    </row>
    <row r="548">
      <c r="A548" s="764"/>
      <c r="B548" s="775"/>
      <c r="C548" s="764"/>
      <c r="D548" s="764"/>
      <c r="E548" s="839"/>
      <c r="F548" s="687"/>
      <c r="G548" s="775"/>
      <c r="H548" s="777"/>
      <c r="I548" s="687"/>
      <c r="J548" s="764"/>
      <c r="K548" s="838"/>
      <c r="L548" s="687"/>
      <c r="M548" s="775"/>
      <c r="N548" s="689"/>
      <c r="O548" s="764"/>
    </row>
    <row r="549">
      <c r="A549" s="764"/>
      <c r="B549" s="775"/>
      <c r="C549" s="764"/>
      <c r="D549" s="764"/>
      <c r="E549" s="839"/>
      <c r="F549" s="687"/>
      <c r="G549" s="775"/>
      <c r="H549" s="777"/>
      <c r="I549" s="687"/>
      <c r="J549" s="764"/>
      <c r="K549" s="838"/>
      <c r="L549" s="687"/>
      <c r="M549" s="775"/>
      <c r="N549" s="689"/>
      <c r="O549" s="764"/>
    </row>
    <row r="550">
      <c r="A550" s="764"/>
      <c r="B550" s="775"/>
      <c r="C550" s="764"/>
      <c r="D550" s="764"/>
      <c r="E550" s="839"/>
      <c r="F550" s="687"/>
      <c r="G550" s="775"/>
      <c r="H550" s="777"/>
      <c r="I550" s="687"/>
      <c r="J550" s="764"/>
      <c r="K550" s="838"/>
      <c r="L550" s="687"/>
      <c r="M550" s="775"/>
      <c r="N550" s="689"/>
      <c r="O550" s="764"/>
    </row>
    <row r="551">
      <c r="A551" s="764"/>
      <c r="B551" s="775"/>
      <c r="C551" s="764"/>
      <c r="D551" s="764"/>
      <c r="E551" s="839"/>
      <c r="F551" s="687"/>
      <c r="G551" s="775"/>
      <c r="H551" s="777"/>
      <c r="I551" s="687"/>
      <c r="J551" s="764"/>
      <c r="K551" s="838"/>
      <c r="L551" s="687"/>
      <c r="M551" s="775"/>
      <c r="N551" s="689"/>
      <c r="O551" s="764"/>
    </row>
    <row r="552">
      <c r="A552" s="764"/>
      <c r="B552" s="775"/>
      <c r="C552" s="764"/>
      <c r="D552" s="764"/>
      <c r="E552" s="839"/>
      <c r="F552" s="687"/>
      <c r="G552" s="775"/>
      <c r="H552" s="777"/>
      <c r="I552" s="687"/>
      <c r="J552" s="764"/>
      <c r="K552" s="838"/>
      <c r="L552" s="687"/>
      <c r="M552" s="775"/>
      <c r="N552" s="689"/>
      <c r="O552" s="764"/>
    </row>
    <row r="553">
      <c r="A553" s="764"/>
      <c r="B553" s="775"/>
      <c r="C553" s="764"/>
      <c r="D553" s="764"/>
      <c r="E553" s="839"/>
      <c r="F553" s="687"/>
      <c r="G553" s="775"/>
      <c r="H553" s="777"/>
      <c r="I553" s="687"/>
      <c r="J553" s="764"/>
      <c r="K553" s="838"/>
      <c r="L553" s="687"/>
      <c r="M553" s="775"/>
      <c r="N553" s="689"/>
      <c r="O553" s="764"/>
    </row>
    <row r="554">
      <c r="A554" s="764"/>
      <c r="B554" s="775"/>
      <c r="C554" s="764"/>
      <c r="D554" s="764"/>
      <c r="E554" s="839"/>
      <c r="F554" s="687"/>
      <c r="G554" s="775"/>
      <c r="H554" s="777"/>
      <c r="I554" s="687"/>
      <c r="J554" s="764"/>
      <c r="K554" s="838"/>
      <c r="L554" s="687"/>
      <c r="M554" s="775"/>
      <c r="N554" s="689"/>
      <c r="O554" s="764"/>
    </row>
    <row r="555">
      <c r="A555" s="764"/>
      <c r="B555" s="775"/>
      <c r="C555" s="764"/>
      <c r="D555" s="764"/>
      <c r="E555" s="839"/>
      <c r="F555" s="687"/>
      <c r="G555" s="775"/>
      <c r="H555" s="777"/>
      <c r="I555" s="687"/>
      <c r="J555" s="764"/>
      <c r="K555" s="838"/>
      <c r="L555" s="687"/>
      <c r="M555" s="775"/>
      <c r="N555" s="689"/>
      <c r="O555" s="764"/>
    </row>
    <row r="556">
      <c r="A556" s="764"/>
      <c r="B556" s="775"/>
      <c r="C556" s="764"/>
      <c r="D556" s="764"/>
      <c r="E556" s="839"/>
      <c r="F556" s="687"/>
      <c r="G556" s="775"/>
      <c r="H556" s="777"/>
      <c r="I556" s="687"/>
      <c r="J556" s="764"/>
      <c r="K556" s="838"/>
      <c r="L556" s="687"/>
      <c r="M556" s="775"/>
      <c r="N556" s="689"/>
      <c r="O556" s="764"/>
    </row>
    <row r="557">
      <c r="A557" s="764"/>
      <c r="B557" s="775"/>
      <c r="C557" s="764"/>
      <c r="D557" s="764"/>
      <c r="E557" s="839"/>
      <c r="F557" s="687"/>
      <c r="G557" s="775"/>
      <c r="H557" s="777"/>
      <c r="I557" s="687"/>
      <c r="J557" s="764"/>
      <c r="K557" s="838"/>
      <c r="L557" s="687"/>
      <c r="M557" s="775"/>
      <c r="N557" s="689"/>
      <c r="O557" s="764"/>
    </row>
    <row r="558">
      <c r="A558" s="764"/>
      <c r="B558" s="775"/>
      <c r="C558" s="764"/>
      <c r="D558" s="764"/>
      <c r="E558" s="839"/>
      <c r="F558" s="687"/>
      <c r="G558" s="775"/>
      <c r="H558" s="777"/>
      <c r="I558" s="687"/>
      <c r="J558" s="764"/>
      <c r="K558" s="838"/>
      <c r="L558" s="687"/>
      <c r="M558" s="775"/>
      <c r="N558" s="689"/>
      <c r="O558" s="764"/>
    </row>
    <row r="559">
      <c r="A559" s="764"/>
      <c r="B559" s="775"/>
      <c r="C559" s="764"/>
      <c r="D559" s="764"/>
      <c r="E559" s="839"/>
      <c r="F559" s="687"/>
      <c r="G559" s="775"/>
      <c r="H559" s="777"/>
      <c r="I559" s="687"/>
      <c r="J559" s="764"/>
      <c r="K559" s="838"/>
      <c r="L559" s="687"/>
      <c r="M559" s="775"/>
      <c r="N559" s="689"/>
      <c r="O559" s="764"/>
    </row>
    <row r="560">
      <c r="A560" s="764"/>
      <c r="B560" s="775"/>
      <c r="C560" s="764"/>
      <c r="D560" s="764"/>
      <c r="E560" s="839"/>
      <c r="F560" s="687"/>
      <c r="G560" s="775"/>
      <c r="H560" s="777"/>
      <c r="I560" s="687"/>
      <c r="J560" s="764"/>
      <c r="K560" s="838"/>
      <c r="L560" s="687"/>
      <c r="M560" s="775"/>
      <c r="N560" s="689"/>
      <c r="O560" s="764"/>
    </row>
    <row r="561">
      <c r="A561" s="764"/>
      <c r="B561" s="775"/>
      <c r="C561" s="764"/>
      <c r="D561" s="764"/>
      <c r="E561" s="839"/>
      <c r="F561" s="687"/>
      <c r="G561" s="775"/>
      <c r="H561" s="777"/>
      <c r="I561" s="687"/>
      <c r="J561" s="764"/>
      <c r="K561" s="838"/>
      <c r="L561" s="687"/>
      <c r="M561" s="775"/>
      <c r="N561" s="689"/>
      <c r="O561" s="764"/>
    </row>
    <row r="562">
      <c r="A562" s="764"/>
      <c r="B562" s="775"/>
      <c r="C562" s="764"/>
      <c r="D562" s="764"/>
      <c r="E562" s="839"/>
      <c r="F562" s="687"/>
      <c r="G562" s="775"/>
      <c r="H562" s="777"/>
      <c r="I562" s="687"/>
      <c r="J562" s="764"/>
      <c r="K562" s="838"/>
      <c r="L562" s="687"/>
      <c r="M562" s="775"/>
      <c r="N562" s="689"/>
      <c r="O562" s="764"/>
    </row>
    <row r="563">
      <c r="A563" s="764"/>
      <c r="B563" s="775"/>
      <c r="C563" s="764"/>
      <c r="D563" s="764"/>
      <c r="E563" s="839"/>
      <c r="F563" s="687"/>
      <c r="G563" s="775"/>
      <c r="H563" s="777"/>
      <c r="I563" s="687"/>
      <c r="J563" s="764"/>
      <c r="K563" s="838"/>
      <c r="L563" s="687"/>
      <c r="M563" s="775"/>
      <c r="N563" s="689"/>
      <c r="O563" s="764"/>
    </row>
    <row r="564">
      <c r="A564" s="764"/>
      <c r="B564" s="775"/>
      <c r="C564" s="764"/>
      <c r="D564" s="764"/>
      <c r="E564" s="839"/>
      <c r="F564" s="687"/>
      <c r="G564" s="775"/>
      <c r="H564" s="777"/>
      <c r="I564" s="687"/>
      <c r="J564" s="764"/>
      <c r="K564" s="838"/>
      <c r="L564" s="687"/>
      <c r="M564" s="775"/>
      <c r="N564" s="689"/>
      <c r="O564" s="764"/>
    </row>
    <row r="565">
      <c r="A565" s="764"/>
      <c r="B565" s="775"/>
      <c r="C565" s="764"/>
      <c r="D565" s="764"/>
      <c r="E565" s="839"/>
      <c r="F565" s="687"/>
      <c r="G565" s="775"/>
      <c r="H565" s="777"/>
      <c r="I565" s="687"/>
      <c r="J565" s="764"/>
      <c r="K565" s="838"/>
      <c r="L565" s="687"/>
      <c r="M565" s="775"/>
      <c r="N565" s="689"/>
      <c r="O565" s="764"/>
    </row>
    <row r="566">
      <c r="A566" s="764"/>
      <c r="B566" s="775"/>
      <c r="C566" s="764"/>
      <c r="D566" s="764"/>
      <c r="E566" s="839"/>
      <c r="F566" s="687"/>
      <c r="G566" s="775"/>
      <c r="H566" s="777"/>
      <c r="I566" s="687"/>
      <c r="J566" s="764"/>
      <c r="K566" s="838"/>
      <c r="L566" s="687"/>
      <c r="M566" s="775"/>
      <c r="N566" s="689"/>
      <c r="O566" s="764"/>
    </row>
    <row r="567">
      <c r="A567" s="764"/>
      <c r="B567" s="775"/>
      <c r="C567" s="764"/>
      <c r="D567" s="764"/>
      <c r="E567" s="839"/>
      <c r="F567" s="687"/>
      <c r="G567" s="775"/>
      <c r="H567" s="777"/>
      <c r="I567" s="687"/>
      <c r="J567" s="764"/>
      <c r="K567" s="838"/>
      <c r="L567" s="687"/>
      <c r="M567" s="775"/>
      <c r="N567" s="689"/>
      <c r="O567" s="764"/>
    </row>
    <row r="568">
      <c r="A568" s="764"/>
      <c r="B568" s="775"/>
      <c r="C568" s="764"/>
      <c r="D568" s="764"/>
      <c r="E568" s="839"/>
      <c r="F568" s="687"/>
      <c r="G568" s="775"/>
      <c r="H568" s="777"/>
      <c r="I568" s="687"/>
      <c r="J568" s="764"/>
      <c r="K568" s="838"/>
      <c r="L568" s="687"/>
      <c r="M568" s="775"/>
      <c r="N568" s="689"/>
      <c r="O568" s="764"/>
    </row>
    <row r="569">
      <c r="A569" s="764"/>
      <c r="B569" s="775"/>
      <c r="C569" s="764"/>
      <c r="D569" s="764"/>
      <c r="E569" s="839"/>
      <c r="F569" s="687"/>
      <c r="G569" s="775"/>
      <c r="H569" s="777"/>
      <c r="I569" s="687"/>
      <c r="J569" s="764"/>
      <c r="K569" s="838"/>
      <c r="L569" s="687"/>
      <c r="M569" s="775"/>
      <c r="N569" s="689"/>
      <c r="O569" s="764"/>
    </row>
    <row r="570">
      <c r="A570" s="764"/>
      <c r="B570" s="775"/>
      <c r="C570" s="764"/>
      <c r="D570" s="764"/>
      <c r="E570" s="839"/>
      <c r="F570" s="687"/>
      <c r="G570" s="775"/>
      <c r="H570" s="777"/>
      <c r="I570" s="687"/>
      <c r="J570" s="764"/>
      <c r="K570" s="838"/>
      <c r="L570" s="687"/>
      <c r="M570" s="775"/>
      <c r="N570" s="689"/>
      <c r="O570" s="764"/>
    </row>
    <row r="571">
      <c r="A571" s="764"/>
      <c r="B571" s="775"/>
      <c r="C571" s="764"/>
      <c r="D571" s="764"/>
      <c r="E571" s="839"/>
      <c r="F571" s="687"/>
      <c r="G571" s="775"/>
      <c r="H571" s="777"/>
      <c r="I571" s="687"/>
      <c r="J571" s="764"/>
      <c r="K571" s="838"/>
      <c r="L571" s="687"/>
      <c r="M571" s="775"/>
      <c r="N571" s="689"/>
      <c r="O571" s="764"/>
    </row>
    <row r="572">
      <c r="A572" s="764"/>
      <c r="B572" s="775"/>
      <c r="C572" s="764"/>
      <c r="D572" s="764"/>
      <c r="E572" s="839"/>
      <c r="F572" s="687"/>
      <c r="G572" s="775"/>
      <c r="H572" s="777"/>
      <c r="I572" s="687"/>
      <c r="J572" s="764"/>
      <c r="K572" s="838"/>
      <c r="L572" s="687"/>
      <c r="M572" s="775"/>
      <c r="N572" s="689"/>
      <c r="O572" s="764"/>
    </row>
    <row r="573">
      <c r="A573" s="764"/>
      <c r="B573" s="775"/>
      <c r="C573" s="764"/>
      <c r="D573" s="764"/>
      <c r="E573" s="839"/>
      <c r="F573" s="687"/>
      <c r="G573" s="775"/>
      <c r="H573" s="777"/>
      <c r="I573" s="687"/>
      <c r="J573" s="764"/>
      <c r="K573" s="838"/>
      <c r="L573" s="687"/>
      <c r="M573" s="775"/>
      <c r="N573" s="689"/>
      <c r="O573" s="764"/>
    </row>
    <row r="574">
      <c r="A574" s="764"/>
      <c r="B574" s="775"/>
      <c r="C574" s="764"/>
      <c r="D574" s="764"/>
      <c r="E574" s="839"/>
      <c r="F574" s="687"/>
      <c r="G574" s="775"/>
      <c r="H574" s="777"/>
      <c r="I574" s="687"/>
      <c r="J574" s="764"/>
      <c r="K574" s="838"/>
      <c r="L574" s="687"/>
      <c r="M574" s="775"/>
      <c r="N574" s="689"/>
      <c r="O574" s="764"/>
    </row>
    <row r="575">
      <c r="A575" s="764"/>
      <c r="B575" s="775"/>
      <c r="C575" s="764"/>
      <c r="D575" s="764"/>
      <c r="E575" s="839"/>
      <c r="F575" s="687"/>
      <c r="G575" s="775"/>
      <c r="H575" s="777"/>
      <c r="I575" s="687"/>
      <c r="J575" s="764"/>
      <c r="K575" s="838"/>
      <c r="L575" s="687"/>
      <c r="M575" s="775"/>
      <c r="N575" s="689"/>
      <c r="O575" s="764"/>
    </row>
    <row r="576">
      <c r="A576" s="764"/>
      <c r="B576" s="775"/>
      <c r="C576" s="764"/>
      <c r="D576" s="764"/>
      <c r="E576" s="839"/>
      <c r="F576" s="687"/>
      <c r="G576" s="775"/>
      <c r="H576" s="777"/>
      <c r="I576" s="687"/>
      <c r="J576" s="764"/>
      <c r="K576" s="838"/>
      <c r="L576" s="687"/>
      <c r="M576" s="775"/>
      <c r="N576" s="689"/>
      <c r="O576" s="764"/>
    </row>
    <row r="577">
      <c r="A577" s="764"/>
      <c r="B577" s="775"/>
      <c r="C577" s="764"/>
      <c r="D577" s="764"/>
      <c r="E577" s="839"/>
      <c r="F577" s="687"/>
      <c r="G577" s="775"/>
      <c r="H577" s="777"/>
      <c r="I577" s="687"/>
      <c r="J577" s="764"/>
      <c r="K577" s="838"/>
      <c r="L577" s="687"/>
      <c r="M577" s="775"/>
      <c r="N577" s="689"/>
      <c r="O577" s="764"/>
    </row>
    <row r="578">
      <c r="A578" s="764"/>
      <c r="B578" s="775"/>
      <c r="C578" s="764"/>
      <c r="D578" s="764"/>
      <c r="E578" s="839"/>
      <c r="F578" s="687"/>
      <c r="G578" s="775"/>
      <c r="H578" s="777"/>
      <c r="I578" s="687"/>
      <c r="J578" s="764"/>
      <c r="K578" s="838"/>
      <c r="L578" s="687"/>
      <c r="M578" s="775"/>
      <c r="N578" s="689"/>
      <c r="O578" s="764"/>
    </row>
    <row r="579">
      <c r="A579" s="764"/>
      <c r="B579" s="775"/>
      <c r="C579" s="764"/>
      <c r="D579" s="764"/>
      <c r="E579" s="839"/>
      <c r="F579" s="687"/>
      <c r="G579" s="775"/>
      <c r="H579" s="777"/>
      <c r="I579" s="687"/>
      <c r="J579" s="764"/>
      <c r="K579" s="838"/>
      <c r="L579" s="687"/>
      <c r="M579" s="775"/>
      <c r="N579" s="689"/>
      <c r="O579" s="764"/>
    </row>
    <row r="580">
      <c r="A580" s="764"/>
      <c r="B580" s="775"/>
      <c r="C580" s="764"/>
      <c r="D580" s="764"/>
      <c r="E580" s="839"/>
      <c r="F580" s="687"/>
      <c r="G580" s="775"/>
      <c r="H580" s="777"/>
      <c r="I580" s="687"/>
      <c r="J580" s="764"/>
      <c r="K580" s="838"/>
      <c r="L580" s="687"/>
      <c r="M580" s="775"/>
      <c r="N580" s="689"/>
      <c r="O580" s="764"/>
    </row>
    <row r="581">
      <c r="A581" s="764"/>
      <c r="B581" s="775"/>
      <c r="C581" s="764"/>
      <c r="D581" s="764"/>
      <c r="E581" s="839"/>
      <c r="F581" s="687"/>
      <c r="G581" s="775"/>
      <c r="H581" s="777"/>
      <c r="I581" s="687"/>
      <c r="J581" s="764"/>
      <c r="K581" s="838"/>
      <c r="L581" s="687"/>
      <c r="M581" s="775"/>
      <c r="N581" s="689"/>
      <c r="O581" s="764"/>
    </row>
    <row r="582">
      <c r="A582" s="764"/>
      <c r="B582" s="775"/>
      <c r="C582" s="764"/>
      <c r="D582" s="764"/>
      <c r="E582" s="839"/>
      <c r="F582" s="687"/>
      <c r="G582" s="775"/>
      <c r="H582" s="777"/>
      <c r="I582" s="687"/>
      <c r="J582" s="764"/>
      <c r="K582" s="838"/>
      <c r="L582" s="687"/>
      <c r="M582" s="775"/>
      <c r="N582" s="689"/>
      <c r="O582" s="764"/>
    </row>
    <row r="583">
      <c r="A583" s="764"/>
      <c r="B583" s="775"/>
      <c r="C583" s="764"/>
      <c r="D583" s="764"/>
      <c r="E583" s="839"/>
      <c r="F583" s="687"/>
      <c r="G583" s="775"/>
      <c r="H583" s="777"/>
      <c r="I583" s="687"/>
      <c r="J583" s="764"/>
      <c r="K583" s="838"/>
      <c r="L583" s="687"/>
      <c r="M583" s="775"/>
      <c r="N583" s="689"/>
      <c r="O583" s="764"/>
    </row>
    <row r="584">
      <c r="A584" s="764"/>
      <c r="B584" s="775"/>
      <c r="C584" s="764"/>
      <c r="D584" s="764"/>
      <c r="E584" s="839"/>
      <c r="F584" s="687"/>
      <c r="G584" s="775"/>
      <c r="H584" s="777"/>
      <c r="I584" s="687"/>
      <c r="J584" s="764"/>
      <c r="K584" s="838"/>
      <c r="L584" s="687"/>
      <c r="M584" s="775"/>
      <c r="N584" s="689"/>
      <c r="O584" s="764"/>
    </row>
    <row r="585">
      <c r="A585" s="764"/>
      <c r="B585" s="775"/>
      <c r="C585" s="764"/>
      <c r="D585" s="764"/>
      <c r="E585" s="839"/>
      <c r="F585" s="687"/>
      <c r="G585" s="775"/>
      <c r="H585" s="777"/>
      <c r="I585" s="687"/>
      <c r="J585" s="764"/>
      <c r="K585" s="838"/>
      <c r="L585" s="687"/>
      <c r="M585" s="775"/>
      <c r="N585" s="689"/>
      <c r="O585" s="764"/>
    </row>
    <row r="586">
      <c r="A586" s="764"/>
      <c r="B586" s="775"/>
      <c r="C586" s="764"/>
      <c r="D586" s="764"/>
      <c r="E586" s="839"/>
      <c r="F586" s="687"/>
      <c r="G586" s="775"/>
      <c r="H586" s="777"/>
      <c r="I586" s="687"/>
      <c r="J586" s="764"/>
      <c r="K586" s="838"/>
      <c r="L586" s="687"/>
      <c r="M586" s="775"/>
      <c r="N586" s="689"/>
      <c r="O586" s="764"/>
    </row>
    <row r="587">
      <c r="A587" s="764"/>
      <c r="B587" s="775"/>
      <c r="C587" s="764"/>
      <c r="D587" s="764"/>
      <c r="E587" s="839"/>
      <c r="F587" s="687"/>
      <c r="G587" s="775"/>
      <c r="H587" s="777"/>
      <c r="I587" s="687"/>
      <c r="J587" s="764"/>
      <c r="K587" s="838"/>
      <c r="L587" s="687"/>
      <c r="M587" s="775"/>
      <c r="N587" s="689"/>
      <c r="O587" s="764"/>
    </row>
    <row r="588">
      <c r="A588" s="764"/>
      <c r="B588" s="775"/>
      <c r="C588" s="764"/>
      <c r="D588" s="764"/>
      <c r="E588" s="839"/>
      <c r="F588" s="687"/>
      <c r="G588" s="775"/>
      <c r="H588" s="777"/>
      <c r="I588" s="687"/>
      <c r="J588" s="764"/>
      <c r="K588" s="838"/>
      <c r="L588" s="687"/>
      <c r="M588" s="775"/>
      <c r="N588" s="689"/>
      <c r="O588" s="764"/>
    </row>
    <row r="589">
      <c r="A589" s="764"/>
      <c r="B589" s="775"/>
      <c r="C589" s="764"/>
      <c r="D589" s="764"/>
      <c r="E589" s="839"/>
      <c r="F589" s="687"/>
      <c r="G589" s="775"/>
      <c r="H589" s="777"/>
      <c r="I589" s="687"/>
      <c r="J589" s="764"/>
      <c r="K589" s="838"/>
      <c r="L589" s="687"/>
      <c r="M589" s="775"/>
      <c r="N589" s="689"/>
      <c r="O589" s="764"/>
    </row>
    <row r="590">
      <c r="A590" s="764"/>
      <c r="B590" s="775"/>
      <c r="C590" s="764"/>
      <c r="D590" s="764"/>
      <c r="E590" s="839"/>
      <c r="F590" s="687"/>
      <c r="G590" s="775"/>
      <c r="H590" s="777"/>
      <c r="I590" s="687"/>
      <c r="J590" s="764"/>
      <c r="K590" s="838"/>
      <c r="L590" s="687"/>
      <c r="M590" s="775"/>
      <c r="N590" s="689"/>
      <c r="O590" s="764"/>
    </row>
    <row r="591">
      <c r="A591" s="764"/>
      <c r="B591" s="775"/>
      <c r="C591" s="764"/>
      <c r="D591" s="764"/>
      <c r="E591" s="839"/>
      <c r="F591" s="687"/>
      <c r="G591" s="775"/>
      <c r="H591" s="777"/>
      <c r="I591" s="687"/>
      <c r="J591" s="764"/>
      <c r="K591" s="838"/>
      <c r="L591" s="687"/>
      <c r="M591" s="775"/>
      <c r="N591" s="689"/>
      <c r="O591" s="764"/>
    </row>
    <row r="592">
      <c r="A592" s="764"/>
      <c r="B592" s="775"/>
      <c r="C592" s="764"/>
      <c r="D592" s="764"/>
      <c r="E592" s="839"/>
      <c r="F592" s="687"/>
      <c r="G592" s="775"/>
      <c r="H592" s="777"/>
      <c r="I592" s="687"/>
      <c r="J592" s="764"/>
      <c r="K592" s="838"/>
      <c r="L592" s="687"/>
      <c r="M592" s="775"/>
      <c r="N592" s="689"/>
      <c r="O592" s="764"/>
    </row>
    <row r="593">
      <c r="A593" s="764"/>
      <c r="B593" s="775"/>
      <c r="C593" s="764"/>
      <c r="D593" s="764"/>
      <c r="E593" s="839"/>
      <c r="F593" s="687"/>
      <c r="G593" s="775"/>
      <c r="H593" s="777"/>
      <c r="I593" s="687"/>
      <c r="J593" s="764"/>
      <c r="K593" s="838"/>
      <c r="L593" s="687"/>
      <c r="M593" s="775"/>
      <c r="N593" s="689"/>
      <c r="O593" s="764"/>
    </row>
    <row r="594">
      <c r="A594" s="764"/>
      <c r="B594" s="775"/>
      <c r="C594" s="764"/>
      <c r="D594" s="764"/>
      <c r="E594" s="839"/>
      <c r="F594" s="687"/>
      <c r="G594" s="775"/>
      <c r="H594" s="777"/>
      <c r="I594" s="687"/>
      <c r="J594" s="764"/>
      <c r="K594" s="838"/>
      <c r="L594" s="687"/>
      <c r="M594" s="775"/>
      <c r="N594" s="689"/>
      <c r="O594" s="764"/>
    </row>
    <row r="595">
      <c r="A595" s="764"/>
      <c r="B595" s="775"/>
      <c r="C595" s="764"/>
      <c r="D595" s="764"/>
      <c r="E595" s="839"/>
      <c r="F595" s="687"/>
      <c r="G595" s="775"/>
      <c r="H595" s="777"/>
      <c r="I595" s="687"/>
      <c r="J595" s="764"/>
      <c r="K595" s="838"/>
      <c r="L595" s="687"/>
      <c r="M595" s="775"/>
      <c r="N595" s="689"/>
      <c r="O595" s="764"/>
    </row>
    <row r="596">
      <c r="A596" s="764"/>
      <c r="B596" s="775"/>
      <c r="C596" s="764"/>
      <c r="D596" s="764"/>
      <c r="E596" s="839"/>
      <c r="F596" s="687"/>
      <c r="G596" s="775"/>
      <c r="H596" s="777"/>
      <c r="I596" s="687"/>
      <c r="J596" s="764"/>
      <c r="K596" s="838"/>
      <c r="L596" s="687"/>
      <c r="M596" s="775"/>
      <c r="N596" s="689"/>
      <c r="O596" s="764"/>
    </row>
    <row r="597">
      <c r="A597" s="764"/>
      <c r="B597" s="775"/>
      <c r="C597" s="764"/>
      <c r="D597" s="764"/>
      <c r="E597" s="839"/>
      <c r="F597" s="687"/>
      <c r="G597" s="775"/>
      <c r="H597" s="777"/>
      <c r="I597" s="687"/>
      <c r="J597" s="764"/>
      <c r="K597" s="838"/>
      <c r="L597" s="687"/>
      <c r="M597" s="775"/>
      <c r="N597" s="689"/>
      <c r="O597" s="764"/>
    </row>
    <row r="598">
      <c r="A598" s="764"/>
      <c r="B598" s="775"/>
      <c r="C598" s="764"/>
      <c r="D598" s="764"/>
      <c r="E598" s="839"/>
      <c r="F598" s="687"/>
      <c r="G598" s="775"/>
      <c r="H598" s="777"/>
      <c r="I598" s="687"/>
      <c r="J598" s="764"/>
      <c r="K598" s="838"/>
      <c r="L598" s="687"/>
      <c r="M598" s="775"/>
      <c r="N598" s="689"/>
      <c r="O598" s="764"/>
    </row>
    <row r="599">
      <c r="A599" s="764"/>
      <c r="B599" s="775"/>
      <c r="C599" s="764"/>
      <c r="D599" s="764"/>
      <c r="E599" s="839"/>
      <c r="F599" s="687"/>
      <c r="G599" s="775"/>
      <c r="H599" s="777"/>
      <c r="I599" s="687"/>
      <c r="J599" s="764"/>
      <c r="K599" s="838"/>
      <c r="L599" s="687"/>
      <c r="M599" s="775"/>
      <c r="N599" s="689"/>
      <c r="O599" s="764"/>
    </row>
    <row r="600">
      <c r="A600" s="764"/>
      <c r="B600" s="775"/>
      <c r="C600" s="764"/>
      <c r="D600" s="764"/>
      <c r="E600" s="839"/>
      <c r="F600" s="687"/>
      <c r="G600" s="775"/>
      <c r="H600" s="777"/>
      <c r="I600" s="687"/>
      <c r="J600" s="764"/>
      <c r="K600" s="838"/>
      <c r="L600" s="687"/>
      <c r="M600" s="775"/>
      <c r="N600" s="689"/>
      <c r="O600" s="764"/>
    </row>
    <row r="601">
      <c r="A601" s="764"/>
      <c r="B601" s="775"/>
      <c r="C601" s="764"/>
      <c r="D601" s="764"/>
      <c r="E601" s="839"/>
      <c r="F601" s="687"/>
      <c r="G601" s="775"/>
      <c r="H601" s="777"/>
      <c r="I601" s="687"/>
      <c r="J601" s="764"/>
      <c r="K601" s="838"/>
      <c r="L601" s="687"/>
      <c r="M601" s="775"/>
      <c r="N601" s="689"/>
      <c r="O601" s="764"/>
    </row>
    <row r="602">
      <c r="A602" s="764"/>
      <c r="B602" s="775"/>
      <c r="C602" s="764"/>
      <c r="D602" s="764"/>
      <c r="E602" s="839"/>
      <c r="F602" s="687"/>
      <c r="G602" s="775"/>
      <c r="H602" s="777"/>
      <c r="I602" s="687"/>
      <c r="J602" s="764"/>
      <c r="K602" s="838"/>
      <c r="L602" s="687"/>
      <c r="M602" s="775"/>
      <c r="N602" s="689"/>
      <c r="O602" s="764"/>
    </row>
    <row r="603">
      <c r="A603" s="764"/>
      <c r="B603" s="775"/>
      <c r="C603" s="764"/>
      <c r="D603" s="764"/>
      <c r="E603" s="839"/>
      <c r="F603" s="687"/>
      <c r="G603" s="775"/>
      <c r="H603" s="777"/>
      <c r="I603" s="687"/>
      <c r="J603" s="764"/>
      <c r="K603" s="838"/>
      <c r="L603" s="687"/>
      <c r="M603" s="775"/>
      <c r="N603" s="689"/>
      <c r="O603" s="764"/>
    </row>
    <row r="604">
      <c r="A604" s="764"/>
      <c r="B604" s="775"/>
      <c r="C604" s="764"/>
      <c r="D604" s="764"/>
      <c r="E604" s="839"/>
      <c r="F604" s="687"/>
      <c r="G604" s="775"/>
      <c r="H604" s="777"/>
      <c r="I604" s="687"/>
      <c r="J604" s="764"/>
      <c r="K604" s="838"/>
      <c r="L604" s="687"/>
      <c r="M604" s="775"/>
      <c r="N604" s="689"/>
      <c r="O604" s="764"/>
    </row>
    <row r="605">
      <c r="A605" s="764"/>
      <c r="B605" s="775"/>
      <c r="C605" s="764"/>
      <c r="D605" s="764"/>
      <c r="E605" s="839"/>
      <c r="F605" s="687"/>
      <c r="G605" s="775"/>
      <c r="H605" s="777"/>
      <c r="I605" s="687"/>
      <c r="J605" s="764"/>
      <c r="K605" s="838"/>
      <c r="L605" s="687"/>
      <c r="M605" s="775"/>
      <c r="N605" s="689"/>
      <c r="O605" s="764"/>
    </row>
    <row r="606">
      <c r="A606" s="764"/>
      <c r="B606" s="775"/>
      <c r="C606" s="764"/>
      <c r="D606" s="764"/>
      <c r="E606" s="839"/>
      <c r="F606" s="687"/>
      <c r="G606" s="775"/>
      <c r="H606" s="777"/>
      <c r="I606" s="687"/>
      <c r="J606" s="764"/>
      <c r="K606" s="838"/>
      <c r="L606" s="687"/>
      <c r="M606" s="775"/>
      <c r="N606" s="689"/>
      <c r="O606" s="764"/>
    </row>
    <row r="607">
      <c r="A607" s="764"/>
      <c r="B607" s="775"/>
      <c r="C607" s="764"/>
      <c r="D607" s="764"/>
      <c r="E607" s="839"/>
      <c r="F607" s="687"/>
      <c r="G607" s="775"/>
      <c r="H607" s="777"/>
      <c r="I607" s="687"/>
      <c r="J607" s="764"/>
      <c r="K607" s="838"/>
      <c r="L607" s="687"/>
      <c r="M607" s="775"/>
      <c r="N607" s="689"/>
      <c r="O607" s="764"/>
    </row>
    <row r="608">
      <c r="A608" s="764"/>
      <c r="B608" s="775"/>
      <c r="C608" s="764"/>
      <c r="D608" s="764"/>
      <c r="E608" s="839"/>
      <c r="F608" s="687"/>
      <c r="G608" s="775"/>
      <c r="H608" s="777"/>
      <c r="I608" s="687"/>
      <c r="J608" s="764"/>
      <c r="K608" s="838"/>
      <c r="L608" s="687"/>
      <c r="M608" s="775"/>
      <c r="N608" s="689"/>
      <c r="O608" s="764"/>
    </row>
    <row r="609">
      <c r="A609" s="764"/>
      <c r="B609" s="775"/>
      <c r="C609" s="764"/>
      <c r="D609" s="764"/>
      <c r="E609" s="839"/>
      <c r="F609" s="687"/>
      <c r="G609" s="775"/>
      <c r="H609" s="777"/>
      <c r="I609" s="687"/>
      <c r="J609" s="764"/>
      <c r="K609" s="838"/>
      <c r="L609" s="687"/>
      <c r="M609" s="775"/>
      <c r="N609" s="689"/>
      <c r="O609" s="764"/>
    </row>
    <row r="610">
      <c r="A610" s="764"/>
      <c r="B610" s="775"/>
      <c r="C610" s="764"/>
      <c r="D610" s="764"/>
      <c r="E610" s="839"/>
      <c r="F610" s="687"/>
      <c r="G610" s="775"/>
      <c r="H610" s="777"/>
      <c r="I610" s="687"/>
      <c r="J610" s="764"/>
      <c r="K610" s="838"/>
      <c r="L610" s="687"/>
      <c r="M610" s="775"/>
      <c r="N610" s="689"/>
      <c r="O610" s="764"/>
    </row>
    <row r="611">
      <c r="A611" s="764"/>
      <c r="B611" s="775"/>
      <c r="C611" s="764"/>
      <c r="D611" s="764"/>
      <c r="E611" s="839"/>
      <c r="F611" s="687"/>
      <c r="G611" s="775"/>
      <c r="H611" s="777"/>
      <c r="I611" s="687"/>
      <c r="J611" s="764"/>
      <c r="K611" s="838"/>
      <c r="L611" s="687"/>
      <c r="M611" s="775"/>
      <c r="N611" s="689"/>
      <c r="O611" s="764"/>
    </row>
    <row r="612">
      <c r="A612" s="764"/>
      <c r="B612" s="775"/>
      <c r="C612" s="764"/>
      <c r="D612" s="764"/>
      <c r="E612" s="839"/>
      <c r="F612" s="687"/>
      <c r="G612" s="775"/>
      <c r="H612" s="777"/>
      <c r="I612" s="687"/>
      <c r="J612" s="764"/>
      <c r="K612" s="838"/>
      <c r="L612" s="687"/>
      <c r="M612" s="775"/>
      <c r="N612" s="689"/>
      <c r="O612" s="764"/>
    </row>
    <row r="613">
      <c r="A613" s="764"/>
      <c r="B613" s="775"/>
      <c r="C613" s="764"/>
      <c r="D613" s="764"/>
      <c r="E613" s="839"/>
      <c r="F613" s="687"/>
      <c r="G613" s="775"/>
      <c r="H613" s="777"/>
      <c r="I613" s="687"/>
      <c r="J613" s="764"/>
      <c r="K613" s="838"/>
      <c r="L613" s="687"/>
      <c r="M613" s="775"/>
      <c r="N613" s="689"/>
      <c r="O613" s="764"/>
    </row>
    <row r="614">
      <c r="A614" s="764"/>
      <c r="B614" s="775"/>
      <c r="C614" s="764"/>
      <c r="D614" s="764"/>
      <c r="E614" s="839"/>
      <c r="F614" s="687"/>
      <c r="G614" s="775"/>
      <c r="H614" s="777"/>
      <c r="I614" s="687"/>
      <c r="J614" s="764"/>
      <c r="K614" s="838"/>
      <c r="L614" s="687"/>
      <c r="M614" s="775"/>
      <c r="N614" s="689"/>
      <c r="O614" s="764"/>
    </row>
    <row r="615">
      <c r="A615" s="764"/>
      <c r="B615" s="775"/>
      <c r="C615" s="764"/>
      <c r="D615" s="764"/>
      <c r="E615" s="839"/>
      <c r="F615" s="687"/>
      <c r="G615" s="775"/>
      <c r="H615" s="777"/>
      <c r="I615" s="687"/>
      <c r="J615" s="764"/>
      <c r="K615" s="838"/>
      <c r="L615" s="687"/>
      <c r="M615" s="775"/>
      <c r="N615" s="689"/>
      <c r="O615" s="764"/>
    </row>
    <row r="616">
      <c r="A616" s="764"/>
      <c r="B616" s="775"/>
      <c r="C616" s="764"/>
      <c r="D616" s="764"/>
      <c r="E616" s="839"/>
      <c r="F616" s="687"/>
      <c r="G616" s="775"/>
      <c r="H616" s="777"/>
      <c r="I616" s="687"/>
      <c r="J616" s="764"/>
      <c r="K616" s="838"/>
      <c r="L616" s="687"/>
      <c r="M616" s="775"/>
      <c r="N616" s="689"/>
      <c r="O616" s="764"/>
    </row>
    <row r="617">
      <c r="A617" s="764"/>
      <c r="B617" s="775"/>
      <c r="C617" s="764"/>
      <c r="D617" s="764"/>
      <c r="E617" s="839"/>
      <c r="F617" s="687"/>
      <c r="G617" s="775"/>
      <c r="H617" s="777"/>
      <c r="I617" s="687"/>
      <c r="J617" s="764"/>
      <c r="K617" s="838"/>
      <c r="L617" s="687"/>
      <c r="M617" s="775"/>
      <c r="N617" s="689"/>
      <c r="O617" s="764"/>
    </row>
    <row r="618">
      <c r="A618" s="764"/>
      <c r="B618" s="775"/>
      <c r="C618" s="764"/>
      <c r="D618" s="764"/>
      <c r="E618" s="839"/>
      <c r="F618" s="687"/>
      <c r="G618" s="775"/>
      <c r="H618" s="777"/>
      <c r="I618" s="687"/>
      <c r="J618" s="764"/>
      <c r="K618" s="838"/>
      <c r="L618" s="687"/>
      <c r="M618" s="775"/>
      <c r="N618" s="689"/>
      <c r="O618" s="764"/>
    </row>
    <row r="619">
      <c r="A619" s="764"/>
      <c r="B619" s="775"/>
      <c r="C619" s="764"/>
      <c r="D619" s="764"/>
      <c r="E619" s="839"/>
      <c r="F619" s="687"/>
      <c r="G619" s="775"/>
      <c r="H619" s="777"/>
      <c r="I619" s="687"/>
      <c r="J619" s="764"/>
      <c r="K619" s="838"/>
      <c r="L619" s="687"/>
      <c r="M619" s="775"/>
      <c r="N619" s="689"/>
      <c r="O619" s="764"/>
    </row>
    <row r="620">
      <c r="A620" s="764"/>
      <c r="B620" s="775"/>
      <c r="C620" s="764"/>
      <c r="D620" s="764"/>
      <c r="E620" s="839"/>
      <c r="F620" s="687"/>
      <c r="G620" s="775"/>
      <c r="H620" s="777"/>
      <c r="I620" s="687"/>
      <c r="J620" s="764"/>
      <c r="K620" s="838"/>
      <c r="L620" s="687"/>
      <c r="M620" s="775"/>
      <c r="N620" s="689"/>
      <c r="O620" s="764"/>
    </row>
    <row r="621">
      <c r="A621" s="764"/>
      <c r="B621" s="775"/>
      <c r="C621" s="764"/>
      <c r="D621" s="764"/>
      <c r="E621" s="839"/>
      <c r="F621" s="687"/>
      <c r="G621" s="775"/>
      <c r="H621" s="777"/>
      <c r="I621" s="687"/>
      <c r="J621" s="764"/>
      <c r="K621" s="838"/>
      <c r="L621" s="687"/>
      <c r="M621" s="775"/>
      <c r="N621" s="689"/>
      <c r="O621" s="764"/>
    </row>
    <row r="622">
      <c r="A622" s="764"/>
      <c r="B622" s="775"/>
      <c r="C622" s="764"/>
      <c r="D622" s="764"/>
      <c r="E622" s="839"/>
      <c r="F622" s="687"/>
      <c r="G622" s="775"/>
      <c r="H622" s="777"/>
      <c r="I622" s="687"/>
      <c r="J622" s="764"/>
      <c r="K622" s="838"/>
      <c r="L622" s="687"/>
      <c r="M622" s="775"/>
      <c r="N622" s="689"/>
      <c r="O622" s="764"/>
    </row>
    <row r="623">
      <c r="A623" s="764"/>
      <c r="B623" s="775"/>
      <c r="C623" s="764"/>
      <c r="D623" s="764"/>
      <c r="E623" s="839"/>
      <c r="F623" s="687"/>
      <c r="G623" s="775"/>
      <c r="H623" s="777"/>
      <c r="I623" s="687"/>
      <c r="J623" s="764"/>
      <c r="K623" s="838"/>
      <c r="L623" s="687"/>
      <c r="M623" s="775"/>
      <c r="N623" s="689"/>
      <c r="O623" s="764"/>
    </row>
    <row r="624">
      <c r="A624" s="764"/>
      <c r="B624" s="775"/>
      <c r="C624" s="764"/>
      <c r="D624" s="764"/>
      <c r="E624" s="839"/>
      <c r="F624" s="687"/>
      <c r="G624" s="775"/>
      <c r="H624" s="777"/>
      <c r="I624" s="687"/>
      <c r="J624" s="764"/>
      <c r="K624" s="838"/>
      <c r="L624" s="687"/>
      <c r="M624" s="775"/>
      <c r="N624" s="689"/>
      <c r="O624" s="764"/>
    </row>
    <row r="625">
      <c r="A625" s="764"/>
      <c r="B625" s="775"/>
      <c r="C625" s="764"/>
      <c r="D625" s="764"/>
      <c r="E625" s="839"/>
      <c r="F625" s="687"/>
      <c r="G625" s="775"/>
      <c r="H625" s="777"/>
      <c r="I625" s="687"/>
      <c r="J625" s="764"/>
      <c r="K625" s="838"/>
      <c r="L625" s="687"/>
      <c r="M625" s="775"/>
      <c r="N625" s="689"/>
      <c r="O625" s="764"/>
    </row>
    <row r="626">
      <c r="A626" s="764"/>
      <c r="B626" s="775"/>
      <c r="C626" s="764"/>
      <c r="D626" s="764"/>
      <c r="E626" s="839"/>
      <c r="F626" s="687"/>
      <c r="G626" s="775"/>
      <c r="H626" s="777"/>
      <c r="I626" s="687"/>
      <c r="J626" s="764"/>
      <c r="K626" s="838"/>
      <c r="L626" s="687"/>
      <c r="M626" s="775"/>
      <c r="N626" s="689"/>
      <c r="O626" s="764"/>
    </row>
    <row r="627">
      <c r="A627" s="764"/>
      <c r="B627" s="775"/>
      <c r="C627" s="764"/>
      <c r="D627" s="764"/>
      <c r="E627" s="839"/>
      <c r="F627" s="687"/>
      <c r="G627" s="775"/>
      <c r="H627" s="777"/>
      <c r="I627" s="687"/>
      <c r="J627" s="764"/>
      <c r="K627" s="838"/>
      <c r="L627" s="687"/>
      <c r="M627" s="775"/>
      <c r="N627" s="689"/>
      <c r="O627" s="764"/>
    </row>
    <row r="628">
      <c r="A628" s="764"/>
      <c r="B628" s="775"/>
      <c r="C628" s="764"/>
      <c r="D628" s="764"/>
      <c r="E628" s="839"/>
      <c r="F628" s="687"/>
      <c r="G628" s="775"/>
      <c r="H628" s="777"/>
      <c r="I628" s="687"/>
      <c r="J628" s="764"/>
      <c r="K628" s="838"/>
      <c r="L628" s="687"/>
      <c r="M628" s="775"/>
      <c r="N628" s="689"/>
      <c r="O628" s="764"/>
    </row>
    <row r="629">
      <c r="A629" s="764"/>
      <c r="B629" s="775"/>
      <c r="C629" s="764"/>
      <c r="D629" s="764"/>
      <c r="E629" s="839"/>
      <c r="F629" s="687"/>
      <c r="G629" s="775"/>
      <c r="H629" s="777"/>
      <c r="I629" s="687"/>
      <c r="J629" s="764"/>
      <c r="K629" s="838"/>
      <c r="L629" s="687"/>
      <c r="M629" s="775"/>
      <c r="N629" s="689"/>
      <c r="O629" s="764"/>
    </row>
    <row r="630">
      <c r="A630" s="764"/>
      <c r="B630" s="775"/>
      <c r="C630" s="764"/>
      <c r="D630" s="764"/>
      <c r="E630" s="839"/>
      <c r="F630" s="687"/>
      <c r="G630" s="775"/>
      <c r="H630" s="777"/>
      <c r="I630" s="687"/>
      <c r="J630" s="764"/>
      <c r="K630" s="838"/>
      <c r="L630" s="687"/>
      <c r="M630" s="775"/>
      <c r="N630" s="689"/>
      <c r="O630" s="764"/>
    </row>
    <row r="631">
      <c r="A631" s="764"/>
      <c r="B631" s="775"/>
      <c r="C631" s="764"/>
      <c r="D631" s="764"/>
      <c r="E631" s="839"/>
      <c r="F631" s="687"/>
      <c r="G631" s="775"/>
      <c r="H631" s="777"/>
      <c r="I631" s="687"/>
      <c r="J631" s="764"/>
      <c r="K631" s="838"/>
      <c r="L631" s="687"/>
      <c r="M631" s="775"/>
      <c r="N631" s="689"/>
      <c r="O631" s="764"/>
    </row>
    <row r="632">
      <c r="A632" s="764"/>
      <c r="B632" s="775"/>
      <c r="C632" s="764"/>
      <c r="D632" s="764"/>
      <c r="E632" s="839"/>
      <c r="F632" s="687"/>
      <c r="G632" s="775"/>
      <c r="H632" s="777"/>
      <c r="I632" s="687"/>
      <c r="J632" s="764"/>
      <c r="K632" s="838"/>
      <c r="L632" s="687"/>
      <c r="M632" s="775"/>
      <c r="N632" s="689"/>
      <c r="O632" s="764"/>
    </row>
    <row r="633">
      <c r="A633" s="764"/>
      <c r="B633" s="775"/>
      <c r="C633" s="764"/>
      <c r="D633" s="764"/>
      <c r="E633" s="839"/>
      <c r="F633" s="687"/>
      <c r="G633" s="775"/>
      <c r="H633" s="777"/>
      <c r="I633" s="687"/>
      <c r="J633" s="764"/>
      <c r="K633" s="838"/>
      <c r="L633" s="687"/>
      <c r="M633" s="775"/>
      <c r="N633" s="689"/>
      <c r="O633" s="764"/>
    </row>
    <row r="634">
      <c r="A634" s="764"/>
      <c r="B634" s="775"/>
      <c r="C634" s="764"/>
      <c r="D634" s="764"/>
      <c r="E634" s="839"/>
      <c r="F634" s="687"/>
      <c r="G634" s="775"/>
      <c r="H634" s="777"/>
      <c r="I634" s="687"/>
      <c r="J634" s="764"/>
      <c r="K634" s="838"/>
      <c r="L634" s="687"/>
      <c r="M634" s="775"/>
      <c r="N634" s="689"/>
      <c r="O634" s="764"/>
    </row>
    <row r="635">
      <c r="A635" s="764"/>
      <c r="B635" s="775"/>
      <c r="C635" s="764"/>
      <c r="D635" s="764"/>
      <c r="E635" s="839"/>
      <c r="F635" s="687"/>
      <c r="G635" s="775"/>
      <c r="H635" s="777"/>
      <c r="I635" s="687"/>
      <c r="J635" s="764"/>
      <c r="K635" s="838"/>
      <c r="L635" s="687"/>
      <c r="M635" s="775"/>
      <c r="N635" s="689"/>
      <c r="O635" s="764"/>
    </row>
    <row r="636">
      <c r="A636" s="764"/>
      <c r="B636" s="775"/>
      <c r="C636" s="764"/>
      <c r="D636" s="764"/>
      <c r="E636" s="839"/>
      <c r="F636" s="687"/>
      <c r="G636" s="775"/>
      <c r="H636" s="777"/>
      <c r="I636" s="687"/>
      <c r="J636" s="764"/>
      <c r="K636" s="838"/>
      <c r="L636" s="687"/>
      <c r="M636" s="775"/>
      <c r="N636" s="689"/>
      <c r="O636" s="764"/>
    </row>
    <row r="637">
      <c r="A637" s="764"/>
      <c r="B637" s="775"/>
      <c r="C637" s="764"/>
      <c r="D637" s="764"/>
      <c r="E637" s="839"/>
      <c r="F637" s="687"/>
      <c r="G637" s="775"/>
      <c r="H637" s="777"/>
      <c r="I637" s="687"/>
      <c r="J637" s="764"/>
      <c r="K637" s="838"/>
      <c r="L637" s="687"/>
      <c r="M637" s="775"/>
      <c r="N637" s="689"/>
      <c r="O637" s="764"/>
    </row>
    <row r="638">
      <c r="A638" s="764"/>
      <c r="B638" s="775"/>
      <c r="C638" s="764"/>
      <c r="D638" s="764"/>
      <c r="E638" s="839"/>
      <c r="F638" s="687"/>
      <c r="G638" s="775"/>
      <c r="H638" s="777"/>
      <c r="I638" s="687"/>
      <c r="J638" s="764"/>
      <c r="K638" s="838"/>
      <c r="L638" s="687"/>
      <c r="M638" s="775"/>
      <c r="N638" s="689"/>
      <c r="O638" s="764"/>
    </row>
    <row r="639">
      <c r="A639" s="764"/>
      <c r="B639" s="775"/>
      <c r="C639" s="764"/>
      <c r="D639" s="764"/>
      <c r="E639" s="839"/>
      <c r="F639" s="687"/>
      <c r="G639" s="775"/>
      <c r="H639" s="777"/>
      <c r="I639" s="687"/>
      <c r="J639" s="764"/>
      <c r="K639" s="838"/>
      <c r="L639" s="687"/>
      <c r="M639" s="775"/>
      <c r="N639" s="689"/>
      <c r="O639" s="764"/>
    </row>
    <row r="640">
      <c r="A640" s="764"/>
      <c r="B640" s="775"/>
      <c r="C640" s="764"/>
      <c r="D640" s="764"/>
      <c r="E640" s="839"/>
      <c r="F640" s="687"/>
      <c r="G640" s="775"/>
      <c r="H640" s="777"/>
      <c r="I640" s="687"/>
      <c r="J640" s="764"/>
      <c r="K640" s="838"/>
      <c r="L640" s="687"/>
      <c r="M640" s="775"/>
      <c r="N640" s="689"/>
      <c r="O640" s="764"/>
    </row>
    <row r="641">
      <c r="A641" s="764"/>
      <c r="B641" s="775"/>
      <c r="C641" s="764"/>
      <c r="D641" s="764"/>
      <c r="E641" s="839"/>
      <c r="F641" s="687"/>
      <c r="G641" s="775"/>
      <c r="H641" s="777"/>
      <c r="I641" s="687"/>
      <c r="J641" s="764"/>
      <c r="K641" s="838"/>
      <c r="L641" s="687"/>
      <c r="M641" s="775"/>
      <c r="N641" s="689"/>
      <c r="O641" s="764"/>
    </row>
    <row r="642">
      <c r="A642" s="764"/>
      <c r="B642" s="775"/>
      <c r="C642" s="764"/>
      <c r="D642" s="764"/>
      <c r="E642" s="839"/>
      <c r="F642" s="687"/>
      <c r="G642" s="775"/>
      <c r="H642" s="777"/>
      <c r="I642" s="687"/>
      <c r="J642" s="764"/>
      <c r="K642" s="838"/>
      <c r="L642" s="687"/>
      <c r="M642" s="775"/>
      <c r="N642" s="689"/>
      <c r="O642" s="764"/>
    </row>
    <row r="643">
      <c r="A643" s="764"/>
      <c r="B643" s="775"/>
      <c r="C643" s="764"/>
      <c r="D643" s="764"/>
      <c r="E643" s="839"/>
      <c r="F643" s="687"/>
      <c r="G643" s="775"/>
      <c r="H643" s="777"/>
      <c r="I643" s="687"/>
      <c r="J643" s="764"/>
      <c r="K643" s="838"/>
      <c r="L643" s="687"/>
      <c r="M643" s="775"/>
      <c r="N643" s="689"/>
      <c r="O643" s="764"/>
    </row>
    <row r="644">
      <c r="A644" s="764"/>
      <c r="B644" s="775"/>
      <c r="C644" s="764"/>
      <c r="D644" s="764"/>
      <c r="E644" s="839"/>
      <c r="F644" s="687"/>
      <c r="G644" s="775"/>
      <c r="H644" s="777"/>
      <c r="I644" s="687"/>
      <c r="J644" s="764"/>
      <c r="K644" s="838"/>
      <c r="L644" s="687"/>
      <c r="M644" s="775"/>
      <c r="N644" s="689"/>
      <c r="O644" s="764"/>
    </row>
    <row r="645">
      <c r="A645" s="764"/>
      <c r="B645" s="775"/>
      <c r="C645" s="764"/>
      <c r="D645" s="764"/>
      <c r="E645" s="839"/>
      <c r="F645" s="687"/>
      <c r="G645" s="775"/>
      <c r="H645" s="777"/>
      <c r="I645" s="687"/>
      <c r="J645" s="764"/>
      <c r="K645" s="838"/>
      <c r="L645" s="687"/>
      <c r="M645" s="775"/>
      <c r="N645" s="689"/>
      <c r="O645" s="764"/>
    </row>
    <row r="646">
      <c r="A646" s="764"/>
      <c r="B646" s="775"/>
      <c r="C646" s="764"/>
      <c r="D646" s="764"/>
      <c r="E646" s="839"/>
      <c r="F646" s="687"/>
      <c r="G646" s="775"/>
      <c r="H646" s="777"/>
      <c r="I646" s="687"/>
      <c r="J646" s="764"/>
      <c r="K646" s="838"/>
      <c r="L646" s="687"/>
      <c r="M646" s="775"/>
      <c r="N646" s="689"/>
      <c r="O646" s="764"/>
    </row>
    <row r="647">
      <c r="A647" s="764"/>
      <c r="B647" s="775"/>
      <c r="C647" s="764"/>
      <c r="D647" s="764"/>
      <c r="E647" s="839"/>
      <c r="F647" s="687"/>
      <c r="G647" s="775"/>
      <c r="H647" s="777"/>
      <c r="I647" s="687"/>
      <c r="J647" s="764"/>
      <c r="K647" s="838"/>
      <c r="L647" s="687"/>
      <c r="M647" s="775"/>
      <c r="N647" s="689"/>
      <c r="O647" s="764"/>
    </row>
    <row r="648">
      <c r="A648" s="764"/>
      <c r="B648" s="775"/>
      <c r="C648" s="764"/>
      <c r="D648" s="764"/>
      <c r="E648" s="839"/>
      <c r="F648" s="687"/>
      <c r="G648" s="775"/>
      <c r="H648" s="777"/>
      <c r="I648" s="687"/>
      <c r="J648" s="764"/>
      <c r="K648" s="838"/>
      <c r="L648" s="687"/>
      <c r="M648" s="775"/>
      <c r="N648" s="689"/>
      <c r="O648" s="764"/>
    </row>
    <row r="649">
      <c r="A649" s="764"/>
      <c r="B649" s="775"/>
      <c r="C649" s="764"/>
      <c r="D649" s="764"/>
      <c r="E649" s="839"/>
      <c r="F649" s="687"/>
      <c r="G649" s="775"/>
      <c r="H649" s="777"/>
      <c r="I649" s="687"/>
      <c r="J649" s="764"/>
      <c r="K649" s="838"/>
      <c r="L649" s="687"/>
      <c r="M649" s="775"/>
      <c r="N649" s="689"/>
      <c r="O649" s="764"/>
    </row>
    <row r="650">
      <c r="A650" s="764"/>
      <c r="B650" s="775"/>
      <c r="C650" s="764"/>
      <c r="D650" s="764"/>
      <c r="E650" s="839"/>
      <c r="F650" s="687"/>
      <c r="G650" s="775"/>
      <c r="H650" s="777"/>
      <c r="I650" s="687"/>
      <c r="J650" s="764"/>
      <c r="K650" s="838"/>
      <c r="L650" s="687"/>
      <c r="M650" s="775"/>
      <c r="N650" s="689"/>
      <c r="O650" s="764"/>
    </row>
    <row r="651">
      <c r="A651" s="764"/>
      <c r="B651" s="775"/>
      <c r="C651" s="764"/>
      <c r="D651" s="764"/>
      <c r="E651" s="839"/>
      <c r="F651" s="687"/>
      <c r="G651" s="775"/>
      <c r="H651" s="777"/>
      <c r="I651" s="687"/>
      <c r="J651" s="764"/>
      <c r="K651" s="838"/>
      <c r="L651" s="687"/>
      <c r="M651" s="775"/>
      <c r="N651" s="689"/>
      <c r="O651" s="764"/>
    </row>
    <row r="652">
      <c r="A652" s="764"/>
      <c r="B652" s="775"/>
      <c r="C652" s="764"/>
      <c r="D652" s="764"/>
      <c r="E652" s="839"/>
      <c r="F652" s="687"/>
      <c r="G652" s="775"/>
      <c r="H652" s="777"/>
      <c r="I652" s="687"/>
      <c r="J652" s="764"/>
      <c r="K652" s="838"/>
      <c r="L652" s="687"/>
      <c r="M652" s="775"/>
      <c r="N652" s="689"/>
      <c r="O652" s="764"/>
    </row>
    <row r="653">
      <c r="A653" s="764"/>
      <c r="B653" s="775"/>
      <c r="C653" s="764"/>
      <c r="D653" s="764"/>
      <c r="E653" s="839"/>
      <c r="F653" s="687"/>
      <c r="G653" s="775"/>
      <c r="H653" s="777"/>
      <c r="I653" s="687"/>
      <c r="J653" s="764"/>
      <c r="K653" s="838"/>
      <c r="L653" s="687"/>
      <c r="M653" s="775"/>
      <c r="N653" s="689"/>
      <c r="O653" s="764"/>
    </row>
    <row r="654">
      <c r="A654" s="764"/>
      <c r="B654" s="775"/>
      <c r="C654" s="764"/>
      <c r="D654" s="764"/>
      <c r="E654" s="839"/>
      <c r="F654" s="687"/>
      <c r="G654" s="775"/>
      <c r="H654" s="777"/>
      <c r="I654" s="687"/>
      <c r="J654" s="764"/>
      <c r="K654" s="838"/>
      <c r="L654" s="687"/>
      <c r="M654" s="775"/>
      <c r="N654" s="689"/>
      <c r="O654" s="764"/>
    </row>
    <row r="655">
      <c r="A655" s="764"/>
      <c r="B655" s="775"/>
      <c r="C655" s="764"/>
      <c r="D655" s="764"/>
      <c r="E655" s="839"/>
      <c r="F655" s="687"/>
      <c r="G655" s="775"/>
      <c r="H655" s="777"/>
      <c r="I655" s="687"/>
      <c r="J655" s="764"/>
      <c r="K655" s="838"/>
      <c r="L655" s="687"/>
      <c r="M655" s="775"/>
      <c r="N655" s="689"/>
      <c r="O655" s="764"/>
    </row>
    <row r="656">
      <c r="A656" s="764"/>
      <c r="B656" s="775"/>
      <c r="C656" s="764"/>
      <c r="D656" s="764"/>
      <c r="E656" s="839"/>
      <c r="F656" s="687"/>
      <c r="G656" s="775"/>
      <c r="H656" s="777"/>
      <c r="I656" s="687"/>
      <c r="J656" s="764"/>
      <c r="K656" s="838"/>
      <c r="L656" s="687"/>
      <c r="M656" s="775"/>
      <c r="N656" s="689"/>
      <c r="O656" s="764"/>
    </row>
    <row r="657">
      <c r="A657" s="764"/>
      <c r="B657" s="775"/>
      <c r="C657" s="764"/>
      <c r="D657" s="764"/>
      <c r="E657" s="839"/>
      <c r="F657" s="687"/>
      <c r="G657" s="775"/>
      <c r="H657" s="777"/>
      <c r="I657" s="687"/>
      <c r="J657" s="764"/>
      <c r="K657" s="838"/>
      <c r="L657" s="687"/>
      <c r="M657" s="775"/>
      <c r="N657" s="689"/>
      <c r="O657" s="764"/>
    </row>
    <row r="658">
      <c r="A658" s="764"/>
      <c r="B658" s="775"/>
      <c r="C658" s="764"/>
      <c r="D658" s="764"/>
      <c r="E658" s="839"/>
      <c r="F658" s="687"/>
      <c r="G658" s="775"/>
      <c r="H658" s="777"/>
      <c r="I658" s="687"/>
      <c r="J658" s="764"/>
      <c r="K658" s="838"/>
      <c r="L658" s="687"/>
      <c r="M658" s="775"/>
      <c r="N658" s="689"/>
      <c r="O658" s="764"/>
    </row>
    <row r="659">
      <c r="A659" s="764"/>
      <c r="B659" s="775"/>
      <c r="C659" s="764"/>
      <c r="D659" s="764"/>
      <c r="E659" s="839"/>
      <c r="F659" s="687"/>
      <c r="G659" s="775"/>
      <c r="H659" s="777"/>
      <c r="I659" s="687"/>
      <c r="J659" s="764"/>
      <c r="K659" s="838"/>
      <c r="L659" s="687"/>
      <c r="M659" s="775"/>
      <c r="N659" s="689"/>
      <c r="O659" s="764"/>
    </row>
    <row r="660">
      <c r="A660" s="764"/>
      <c r="B660" s="775"/>
      <c r="C660" s="764"/>
      <c r="D660" s="764"/>
      <c r="E660" s="839"/>
      <c r="F660" s="687"/>
      <c r="G660" s="775"/>
      <c r="H660" s="777"/>
      <c r="I660" s="687"/>
      <c r="J660" s="764"/>
      <c r="K660" s="838"/>
      <c r="L660" s="687"/>
      <c r="M660" s="775"/>
      <c r="N660" s="689"/>
      <c r="O660" s="764"/>
    </row>
    <row r="661">
      <c r="A661" s="764"/>
      <c r="B661" s="775"/>
      <c r="C661" s="764"/>
      <c r="D661" s="764"/>
      <c r="E661" s="839"/>
      <c r="F661" s="687"/>
      <c r="G661" s="775"/>
      <c r="H661" s="777"/>
      <c r="I661" s="687"/>
      <c r="J661" s="764"/>
      <c r="K661" s="838"/>
      <c r="L661" s="687"/>
      <c r="M661" s="775"/>
      <c r="N661" s="689"/>
      <c r="O661" s="764"/>
    </row>
    <row r="662">
      <c r="A662" s="764"/>
      <c r="B662" s="775"/>
      <c r="C662" s="764"/>
      <c r="D662" s="764"/>
      <c r="E662" s="839"/>
      <c r="F662" s="687"/>
      <c r="G662" s="775"/>
      <c r="H662" s="777"/>
      <c r="I662" s="687"/>
      <c r="J662" s="764"/>
      <c r="K662" s="838"/>
      <c r="L662" s="687"/>
      <c r="M662" s="775"/>
      <c r="N662" s="689"/>
      <c r="O662" s="764"/>
    </row>
    <row r="663">
      <c r="A663" s="764"/>
      <c r="B663" s="775"/>
      <c r="C663" s="764"/>
      <c r="D663" s="764"/>
      <c r="E663" s="839"/>
      <c r="F663" s="687"/>
      <c r="G663" s="775"/>
      <c r="H663" s="777"/>
      <c r="I663" s="687"/>
      <c r="J663" s="764"/>
      <c r="K663" s="838"/>
      <c r="L663" s="687"/>
      <c r="M663" s="775"/>
      <c r="N663" s="689"/>
      <c r="O663" s="764"/>
    </row>
    <row r="664">
      <c r="A664" s="764"/>
      <c r="B664" s="775"/>
      <c r="C664" s="764"/>
      <c r="D664" s="764"/>
      <c r="E664" s="839"/>
      <c r="F664" s="687"/>
      <c r="G664" s="775"/>
      <c r="H664" s="777"/>
      <c r="I664" s="687"/>
      <c r="J664" s="764"/>
      <c r="K664" s="838"/>
      <c r="L664" s="687"/>
      <c r="M664" s="775"/>
      <c r="N664" s="689"/>
      <c r="O664" s="764"/>
    </row>
    <row r="665">
      <c r="A665" s="764"/>
      <c r="B665" s="775"/>
      <c r="C665" s="764"/>
      <c r="D665" s="764"/>
      <c r="E665" s="839"/>
      <c r="F665" s="687"/>
      <c r="G665" s="775"/>
      <c r="H665" s="777"/>
      <c r="I665" s="687"/>
      <c r="J665" s="764"/>
      <c r="K665" s="838"/>
      <c r="L665" s="687"/>
      <c r="M665" s="775"/>
      <c r="N665" s="689"/>
      <c r="O665" s="764"/>
    </row>
    <row r="666">
      <c r="A666" s="764"/>
      <c r="B666" s="775"/>
      <c r="C666" s="764"/>
      <c r="D666" s="764"/>
      <c r="E666" s="839"/>
      <c r="F666" s="687"/>
      <c r="G666" s="775"/>
      <c r="H666" s="777"/>
      <c r="I666" s="687"/>
      <c r="J666" s="764"/>
      <c r="K666" s="838"/>
      <c r="L666" s="687"/>
      <c r="M666" s="775"/>
      <c r="N666" s="689"/>
      <c r="O666" s="764"/>
    </row>
    <row r="667">
      <c r="A667" s="764"/>
      <c r="B667" s="775"/>
      <c r="C667" s="764"/>
      <c r="D667" s="764"/>
      <c r="E667" s="839"/>
      <c r="F667" s="687"/>
      <c r="G667" s="775"/>
      <c r="H667" s="777"/>
      <c r="I667" s="687"/>
      <c r="J667" s="764"/>
      <c r="K667" s="838"/>
      <c r="L667" s="687"/>
      <c r="M667" s="775"/>
      <c r="N667" s="689"/>
      <c r="O667" s="764"/>
    </row>
    <row r="668">
      <c r="A668" s="764"/>
      <c r="B668" s="775"/>
      <c r="C668" s="764"/>
      <c r="D668" s="764"/>
      <c r="E668" s="839"/>
      <c r="F668" s="687"/>
      <c r="G668" s="775"/>
      <c r="H668" s="777"/>
      <c r="I668" s="687"/>
      <c r="J668" s="764"/>
      <c r="K668" s="838"/>
      <c r="L668" s="687"/>
      <c r="M668" s="775"/>
      <c r="N668" s="689"/>
      <c r="O668" s="764"/>
    </row>
    <row r="669">
      <c r="A669" s="764"/>
      <c r="B669" s="775"/>
      <c r="C669" s="764"/>
      <c r="D669" s="764"/>
      <c r="E669" s="839"/>
      <c r="F669" s="687"/>
      <c r="G669" s="775"/>
      <c r="H669" s="777"/>
      <c r="I669" s="687"/>
      <c r="J669" s="764"/>
      <c r="K669" s="838"/>
      <c r="L669" s="687"/>
      <c r="M669" s="775"/>
      <c r="N669" s="689"/>
      <c r="O669" s="764"/>
    </row>
    <row r="670">
      <c r="A670" s="764"/>
      <c r="B670" s="775"/>
      <c r="C670" s="764"/>
      <c r="D670" s="764"/>
      <c r="E670" s="839"/>
      <c r="F670" s="687"/>
      <c r="G670" s="775"/>
      <c r="H670" s="777"/>
      <c r="I670" s="687"/>
      <c r="J670" s="764"/>
      <c r="K670" s="838"/>
      <c r="L670" s="687"/>
      <c r="M670" s="775"/>
      <c r="N670" s="689"/>
      <c r="O670" s="764"/>
    </row>
    <row r="671">
      <c r="A671" s="764"/>
      <c r="B671" s="775"/>
      <c r="C671" s="764"/>
      <c r="D671" s="764"/>
      <c r="E671" s="839"/>
      <c r="F671" s="687"/>
      <c r="G671" s="775"/>
      <c r="H671" s="777"/>
      <c r="I671" s="687"/>
      <c r="J671" s="764"/>
      <c r="K671" s="838"/>
      <c r="L671" s="687"/>
      <c r="M671" s="775"/>
      <c r="N671" s="689"/>
      <c r="O671" s="764"/>
    </row>
    <row r="672">
      <c r="A672" s="764"/>
      <c r="B672" s="775"/>
      <c r="C672" s="764"/>
      <c r="D672" s="764"/>
      <c r="E672" s="839"/>
      <c r="F672" s="687"/>
      <c r="G672" s="775"/>
      <c r="H672" s="777"/>
      <c r="I672" s="687"/>
      <c r="J672" s="764"/>
      <c r="K672" s="838"/>
      <c r="L672" s="687"/>
      <c r="M672" s="775"/>
      <c r="N672" s="689"/>
      <c r="O672" s="764"/>
    </row>
    <row r="673">
      <c r="A673" s="764"/>
      <c r="B673" s="775"/>
      <c r="C673" s="764"/>
      <c r="D673" s="764"/>
      <c r="E673" s="839"/>
      <c r="F673" s="687"/>
      <c r="G673" s="775"/>
      <c r="H673" s="777"/>
      <c r="I673" s="687"/>
      <c r="J673" s="764"/>
      <c r="K673" s="838"/>
      <c r="L673" s="687"/>
      <c r="M673" s="775"/>
      <c r="N673" s="689"/>
      <c r="O673" s="764"/>
    </row>
    <row r="674">
      <c r="A674" s="764"/>
      <c r="B674" s="775"/>
      <c r="C674" s="764"/>
      <c r="D674" s="764"/>
      <c r="E674" s="839"/>
      <c r="F674" s="687"/>
      <c r="G674" s="775"/>
      <c r="H674" s="777"/>
      <c r="I674" s="687"/>
      <c r="J674" s="764"/>
      <c r="K674" s="838"/>
      <c r="L674" s="687"/>
      <c r="M674" s="775"/>
      <c r="N674" s="689"/>
      <c r="O674" s="764"/>
    </row>
    <row r="675">
      <c r="A675" s="764"/>
      <c r="B675" s="775"/>
      <c r="C675" s="764"/>
      <c r="D675" s="764"/>
      <c r="E675" s="839"/>
      <c r="F675" s="687"/>
      <c r="G675" s="775"/>
      <c r="H675" s="777"/>
      <c r="I675" s="687"/>
      <c r="J675" s="764"/>
      <c r="K675" s="838"/>
      <c r="L675" s="687"/>
      <c r="M675" s="775"/>
      <c r="N675" s="689"/>
      <c r="O675" s="764"/>
    </row>
    <row r="676">
      <c r="A676" s="764"/>
      <c r="B676" s="775"/>
      <c r="C676" s="764"/>
      <c r="D676" s="764"/>
      <c r="E676" s="839"/>
      <c r="F676" s="687"/>
      <c r="G676" s="775"/>
      <c r="H676" s="777"/>
      <c r="I676" s="687"/>
      <c r="J676" s="764"/>
      <c r="K676" s="838"/>
      <c r="L676" s="687"/>
      <c r="M676" s="775"/>
      <c r="N676" s="689"/>
      <c r="O676" s="764"/>
    </row>
    <row r="677">
      <c r="A677" s="764"/>
      <c r="B677" s="775"/>
      <c r="C677" s="764"/>
      <c r="D677" s="764"/>
      <c r="E677" s="839"/>
      <c r="F677" s="687"/>
      <c r="G677" s="775"/>
      <c r="H677" s="777"/>
      <c r="I677" s="687"/>
      <c r="J677" s="764"/>
      <c r="K677" s="838"/>
      <c r="L677" s="687"/>
      <c r="M677" s="775"/>
      <c r="N677" s="689"/>
      <c r="O677" s="764"/>
    </row>
    <row r="678">
      <c r="A678" s="764"/>
      <c r="B678" s="775"/>
      <c r="C678" s="764"/>
      <c r="D678" s="764"/>
      <c r="E678" s="839"/>
      <c r="F678" s="687"/>
      <c r="G678" s="775"/>
      <c r="H678" s="777"/>
      <c r="I678" s="687"/>
      <c r="J678" s="764"/>
      <c r="K678" s="838"/>
      <c r="L678" s="687"/>
      <c r="M678" s="775"/>
      <c r="N678" s="689"/>
      <c r="O678" s="764"/>
    </row>
    <row r="679">
      <c r="A679" s="764"/>
      <c r="B679" s="775"/>
      <c r="C679" s="764"/>
      <c r="D679" s="764"/>
      <c r="E679" s="839"/>
      <c r="F679" s="687"/>
      <c r="G679" s="775"/>
      <c r="H679" s="777"/>
      <c r="I679" s="687"/>
      <c r="J679" s="764"/>
      <c r="K679" s="838"/>
      <c r="L679" s="687"/>
      <c r="M679" s="775"/>
      <c r="N679" s="689"/>
      <c r="O679" s="764"/>
    </row>
    <row r="680">
      <c r="A680" s="764"/>
      <c r="B680" s="775"/>
      <c r="C680" s="764"/>
      <c r="D680" s="764"/>
      <c r="E680" s="839"/>
      <c r="F680" s="687"/>
      <c r="G680" s="775"/>
      <c r="H680" s="777"/>
      <c r="I680" s="687"/>
      <c r="J680" s="764"/>
      <c r="K680" s="838"/>
      <c r="L680" s="687"/>
      <c r="M680" s="775"/>
      <c r="N680" s="689"/>
      <c r="O680" s="764"/>
    </row>
    <row r="681">
      <c r="A681" s="764"/>
      <c r="B681" s="775"/>
      <c r="C681" s="764"/>
      <c r="D681" s="764"/>
      <c r="E681" s="839"/>
      <c r="F681" s="687"/>
      <c r="G681" s="775"/>
      <c r="H681" s="777"/>
      <c r="I681" s="687"/>
      <c r="J681" s="764"/>
      <c r="K681" s="838"/>
      <c r="L681" s="687"/>
      <c r="M681" s="775"/>
      <c r="N681" s="689"/>
      <c r="O681" s="764"/>
    </row>
    <row r="682">
      <c r="A682" s="764"/>
      <c r="B682" s="775"/>
      <c r="C682" s="764"/>
      <c r="D682" s="764"/>
      <c r="E682" s="839"/>
      <c r="F682" s="687"/>
      <c r="G682" s="775"/>
      <c r="H682" s="777"/>
      <c r="I682" s="687"/>
      <c r="J682" s="764"/>
      <c r="K682" s="838"/>
      <c r="L682" s="687"/>
      <c r="M682" s="775"/>
      <c r="N682" s="689"/>
      <c r="O682" s="764"/>
    </row>
    <row r="683">
      <c r="A683" s="764"/>
      <c r="B683" s="775"/>
      <c r="C683" s="764"/>
      <c r="D683" s="764"/>
      <c r="E683" s="839"/>
      <c r="F683" s="687"/>
      <c r="G683" s="775"/>
      <c r="H683" s="777"/>
      <c r="I683" s="687"/>
      <c r="J683" s="764"/>
      <c r="K683" s="838"/>
      <c r="L683" s="687"/>
      <c r="M683" s="775"/>
      <c r="N683" s="689"/>
      <c r="O683" s="764"/>
    </row>
    <row r="684">
      <c r="A684" s="764"/>
      <c r="B684" s="775"/>
      <c r="C684" s="764"/>
      <c r="D684" s="764"/>
      <c r="E684" s="839"/>
      <c r="F684" s="687"/>
      <c r="G684" s="775"/>
      <c r="H684" s="777"/>
      <c r="I684" s="687"/>
      <c r="J684" s="764"/>
      <c r="K684" s="838"/>
      <c r="L684" s="687"/>
      <c r="M684" s="775"/>
      <c r="N684" s="689"/>
      <c r="O684" s="764"/>
    </row>
    <row r="685">
      <c r="A685" s="764"/>
      <c r="B685" s="775"/>
      <c r="C685" s="764"/>
      <c r="D685" s="764"/>
      <c r="E685" s="839"/>
      <c r="F685" s="687"/>
      <c r="G685" s="775"/>
      <c r="H685" s="777"/>
      <c r="I685" s="687"/>
      <c r="J685" s="764"/>
      <c r="K685" s="838"/>
      <c r="L685" s="687"/>
      <c r="M685" s="775"/>
      <c r="N685" s="689"/>
      <c r="O685" s="764"/>
    </row>
    <row r="686">
      <c r="A686" s="764"/>
      <c r="B686" s="775"/>
      <c r="C686" s="764"/>
      <c r="D686" s="764"/>
      <c r="E686" s="839"/>
      <c r="F686" s="687"/>
      <c r="G686" s="775"/>
      <c r="H686" s="777"/>
      <c r="I686" s="687"/>
      <c r="J686" s="764"/>
      <c r="K686" s="838"/>
      <c r="L686" s="687"/>
      <c r="M686" s="775"/>
      <c r="N686" s="689"/>
      <c r="O686" s="764"/>
    </row>
    <row r="687">
      <c r="A687" s="764"/>
      <c r="B687" s="775"/>
      <c r="C687" s="764"/>
      <c r="D687" s="764"/>
      <c r="E687" s="839"/>
      <c r="F687" s="687"/>
      <c r="G687" s="775"/>
      <c r="H687" s="777"/>
      <c r="I687" s="687"/>
      <c r="J687" s="764"/>
      <c r="K687" s="838"/>
      <c r="L687" s="687"/>
      <c r="M687" s="775"/>
      <c r="N687" s="689"/>
      <c r="O687" s="764"/>
    </row>
    <row r="688">
      <c r="A688" s="764"/>
      <c r="B688" s="775"/>
      <c r="C688" s="764"/>
      <c r="D688" s="764"/>
      <c r="E688" s="839"/>
      <c r="F688" s="687"/>
      <c r="G688" s="775"/>
      <c r="H688" s="777"/>
      <c r="I688" s="687"/>
      <c r="J688" s="764"/>
      <c r="K688" s="838"/>
      <c r="L688" s="687"/>
      <c r="M688" s="775"/>
      <c r="N688" s="689"/>
      <c r="O688" s="764"/>
    </row>
    <row r="689">
      <c r="A689" s="764"/>
      <c r="B689" s="775"/>
      <c r="C689" s="764"/>
      <c r="D689" s="764"/>
      <c r="E689" s="839"/>
      <c r="F689" s="687"/>
      <c r="G689" s="775"/>
      <c r="H689" s="777"/>
      <c r="I689" s="687"/>
      <c r="J689" s="764"/>
      <c r="K689" s="838"/>
      <c r="L689" s="687"/>
      <c r="M689" s="775"/>
      <c r="N689" s="689"/>
      <c r="O689" s="764"/>
    </row>
    <row r="690">
      <c r="A690" s="764"/>
      <c r="B690" s="775"/>
      <c r="C690" s="764"/>
      <c r="D690" s="764"/>
      <c r="E690" s="839"/>
      <c r="F690" s="687"/>
      <c r="G690" s="775"/>
      <c r="H690" s="777"/>
      <c r="I690" s="687"/>
      <c r="J690" s="764"/>
      <c r="K690" s="838"/>
      <c r="L690" s="687"/>
      <c r="M690" s="775"/>
      <c r="N690" s="689"/>
      <c r="O690" s="764"/>
    </row>
    <row r="691">
      <c r="A691" s="764"/>
      <c r="B691" s="775"/>
      <c r="C691" s="764"/>
      <c r="D691" s="764"/>
      <c r="E691" s="839"/>
      <c r="F691" s="687"/>
      <c r="G691" s="775"/>
      <c r="H691" s="777"/>
      <c r="I691" s="687"/>
      <c r="J691" s="764"/>
      <c r="K691" s="838"/>
      <c r="L691" s="687"/>
      <c r="M691" s="775"/>
      <c r="N691" s="689"/>
      <c r="O691" s="764"/>
    </row>
    <row r="692">
      <c r="A692" s="764"/>
      <c r="B692" s="775"/>
      <c r="C692" s="764"/>
      <c r="D692" s="764"/>
      <c r="E692" s="839"/>
      <c r="F692" s="687"/>
      <c r="G692" s="775"/>
      <c r="H692" s="777"/>
      <c r="I692" s="687"/>
      <c r="J692" s="764"/>
      <c r="K692" s="838"/>
      <c r="L692" s="687"/>
      <c r="M692" s="775"/>
      <c r="N692" s="689"/>
      <c r="O692" s="764"/>
    </row>
    <row r="693">
      <c r="A693" s="764"/>
      <c r="B693" s="775"/>
      <c r="C693" s="764"/>
      <c r="D693" s="764"/>
      <c r="E693" s="839"/>
      <c r="F693" s="687"/>
      <c r="G693" s="775"/>
      <c r="H693" s="777"/>
      <c r="I693" s="687"/>
      <c r="J693" s="764"/>
      <c r="K693" s="838"/>
      <c r="L693" s="687"/>
      <c r="M693" s="775"/>
      <c r="N693" s="689"/>
      <c r="O693" s="764"/>
    </row>
    <row r="694">
      <c r="A694" s="764"/>
      <c r="B694" s="775"/>
      <c r="C694" s="764"/>
      <c r="D694" s="764"/>
      <c r="E694" s="839"/>
      <c r="F694" s="687"/>
      <c r="G694" s="775"/>
      <c r="H694" s="777"/>
      <c r="I694" s="687"/>
      <c r="J694" s="764"/>
      <c r="K694" s="838"/>
      <c r="L694" s="687"/>
      <c r="M694" s="775"/>
      <c r="N694" s="689"/>
      <c r="O694" s="764"/>
    </row>
    <row r="695">
      <c r="A695" s="764"/>
      <c r="B695" s="775"/>
      <c r="C695" s="764"/>
      <c r="D695" s="764"/>
      <c r="E695" s="839"/>
      <c r="F695" s="687"/>
      <c r="G695" s="775"/>
      <c r="H695" s="777"/>
      <c r="I695" s="687"/>
      <c r="J695" s="764"/>
      <c r="K695" s="838"/>
      <c r="L695" s="687"/>
      <c r="M695" s="775"/>
      <c r="N695" s="689"/>
      <c r="O695" s="764"/>
    </row>
    <row r="696">
      <c r="A696" s="764"/>
      <c r="B696" s="775"/>
      <c r="C696" s="764"/>
      <c r="D696" s="764"/>
      <c r="E696" s="839"/>
      <c r="F696" s="687"/>
      <c r="G696" s="775"/>
      <c r="H696" s="777"/>
      <c r="I696" s="687"/>
      <c r="J696" s="764"/>
      <c r="K696" s="838"/>
      <c r="L696" s="687"/>
      <c r="M696" s="775"/>
      <c r="N696" s="689"/>
      <c r="O696" s="764"/>
    </row>
    <row r="697">
      <c r="A697" s="764"/>
      <c r="B697" s="775"/>
      <c r="C697" s="764"/>
      <c r="D697" s="764"/>
      <c r="E697" s="839"/>
      <c r="F697" s="687"/>
      <c r="G697" s="775"/>
      <c r="H697" s="777"/>
      <c r="I697" s="687"/>
      <c r="J697" s="764"/>
      <c r="K697" s="838"/>
      <c r="L697" s="687"/>
      <c r="M697" s="775"/>
      <c r="N697" s="689"/>
      <c r="O697" s="764"/>
    </row>
    <row r="698">
      <c r="A698" s="764"/>
      <c r="B698" s="775"/>
      <c r="C698" s="764"/>
      <c r="D698" s="764"/>
      <c r="E698" s="839"/>
      <c r="F698" s="687"/>
      <c r="G698" s="775"/>
      <c r="H698" s="777"/>
      <c r="I698" s="687"/>
      <c r="J698" s="764"/>
      <c r="K698" s="838"/>
      <c r="L698" s="687"/>
      <c r="M698" s="775"/>
      <c r="N698" s="689"/>
      <c r="O698" s="764"/>
    </row>
    <row r="699">
      <c r="A699" s="764"/>
      <c r="B699" s="775"/>
      <c r="C699" s="764"/>
      <c r="D699" s="764"/>
      <c r="E699" s="839"/>
      <c r="F699" s="687"/>
      <c r="G699" s="775"/>
      <c r="H699" s="777"/>
      <c r="I699" s="687"/>
      <c r="J699" s="764"/>
      <c r="K699" s="838"/>
      <c r="L699" s="687"/>
      <c r="M699" s="775"/>
      <c r="N699" s="689"/>
      <c r="O699" s="764"/>
    </row>
    <row r="700">
      <c r="A700" s="764"/>
      <c r="B700" s="775"/>
      <c r="C700" s="764"/>
      <c r="D700" s="764"/>
      <c r="E700" s="839"/>
      <c r="F700" s="687"/>
      <c r="G700" s="775"/>
      <c r="H700" s="777"/>
      <c r="I700" s="687"/>
      <c r="J700" s="764"/>
      <c r="K700" s="838"/>
      <c r="L700" s="687"/>
      <c r="M700" s="775"/>
      <c r="N700" s="689"/>
      <c r="O700" s="764"/>
    </row>
    <row r="701">
      <c r="A701" s="764"/>
      <c r="B701" s="775"/>
      <c r="C701" s="764"/>
      <c r="D701" s="764"/>
      <c r="E701" s="839"/>
      <c r="F701" s="687"/>
      <c r="G701" s="775"/>
      <c r="H701" s="777"/>
      <c r="I701" s="687"/>
      <c r="J701" s="764"/>
      <c r="K701" s="838"/>
      <c r="L701" s="687"/>
      <c r="M701" s="775"/>
      <c r="N701" s="689"/>
      <c r="O701" s="764"/>
    </row>
    <row r="702">
      <c r="A702" s="764"/>
      <c r="B702" s="775"/>
      <c r="C702" s="764"/>
      <c r="D702" s="764"/>
      <c r="E702" s="839"/>
      <c r="F702" s="687"/>
      <c r="G702" s="775"/>
      <c r="H702" s="777"/>
      <c r="I702" s="687"/>
      <c r="J702" s="764"/>
      <c r="K702" s="838"/>
      <c r="L702" s="687"/>
      <c r="M702" s="775"/>
      <c r="N702" s="689"/>
      <c r="O702" s="764"/>
    </row>
    <row r="703">
      <c r="A703" s="764"/>
      <c r="B703" s="775"/>
      <c r="C703" s="764"/>
      <c r="D703" s="764"/>
      <c r="E703" s="839"/>
      <c r="F703" s="687"/>
      <c r="G703" s="775"/>
      <c r="H703" s="777"/>
      <c r="I703" s="687"/>
      <c r="J703" s="764"/>
      <c r="K703" s="838"/>
      <c r="L703" s="687"/>
      <c r="M703" s="775"/>
      <c r="N703" s="689"/>
      <c r="O703" s="764"/>
    </row>
    <row r="704">
      <c r="A704" s="764"/>
      <c r="B704" s="775"/>
      <c r="C704" s="764"/>
      <c r="D704" s="764"/>
      <c r="E704" s="839"/>
      <c r="F704" s="687"/>
      <c r="G704" s="775"/>
      <c r="H704" s="777"/>
      <c r="I704" s="687"/>
      <c r="J704" s="764"/>
      <c r="K704" s="838"/>
      <c r="L704" s="687"/>
      <c r="M704" s="775"/>
      <c r="N704" s="689"/>
      <c r="O704" s="764"/>
    </row>
    <row r="705">
      <c r="A705" s="764"/>
      <c r="B705" s="775"/>
      <c r="C705" s="764"/>
      <c r="D705" s="764"/>
      <c r="E705" s="839"/>
      <c r="F705" s="687"/>
      <c r="G705" s="775"/>
      <c r="H705" s="777"/>
      <c r="I705" s="687"/>
      <c r="J705" s="764"/>
      <c r="K705" s="838"/>
      <c r="L705" s="687"/>
      <c r="M705" s="775"/>
      <c r="N705" s="689"/>
      <c r="O705" s="764"/>
    </row>
    <row r="706">
      <c r="A706" s="764"/>
      <c r="B706" s="775"/>
      <c r="C706" s="764"/>
      <c r="D706" s="764"/>
      <c r="E706" s="839"/>
      <c r="F706" s="687"/>
      <c r="G706" s="775"/>
      <c r="H706" s="777"/>
      <c r="I706" s="687"/>
      <c r="J706" s="764"/>
      <c r="K706" s="838"/>
      <c r="L706" s="687"/>
      <c r="M706" s="775"/>
      <c r="N706" s="689"/>
      <c r="O706" s="764"/>
    </row>
    <row r="707">
      <c r="A707" s="764"/>
      <c r="B707" s="775"/>
      <c r="C707" s="764"/>
      <c r="D707" s="764"/>
      <c r="E707" s="839"/>
      <c r="F707" s="687"/>
      <c r="G707" s="775"/>
      <c r="H707" s="777"/>
      <c r="I707" s="687"/>
      <c r="J707" s="764"/>
      <c r="K707" s="838"/>
      <c r="L707" s="687"/>
      <c r="M707" s="775"/>
      <c r="N707" s="689"/>
      <c r="O707" s="764"/>
    </row>
    <row r="708">
      <c r="A708" s="764"/>
      <c r="B708" s="775"/>
      <c r="C708" s="764"/>
      <c r="D708" s="764"/>
      <c r="E708" s="839"/>
      <c r="F708" s="687"/>
      <c r="G708" s="775"/>
      <c r="H708" s="777"/>
      <c r="I708" s="687"/>
      <c r="J708" s="764"/>
      <c r="K708" s="838"/>
      <c r="L708" s="687"/>
      <c r="M708" s="775"/>
      <c r="N708" s="689"/>
      <c r="O708" s="764"/>
    </row>
    <row r="709">
      <c r="A709" s="764"/>
      <c r="B709" s="775"/>
      <c r="C709" s="764"/>
      <c r="D709" s="764"/>
      <c r="E709" s="839"/>
      <c r="F709" s="687"/>
      <c r="G709" s="775"/>
      <c r="H709" s="777"/>
      <c r="I709" s="687"/>
      <c r="J709" s="764"/>
      <c r="K709" s="838"/>
      <c r="L709" s="687"/>
      <c r="M709" s="775"/>
      <c r="N709" s="689"/>
      <c r="O709" s="764"/>
    </row>
    <row r="710">
      <c r="A710" s="764"/>
      <c r="B710" s="775"/>
      <c r="C710" s="764"/>
      <c r="D710" s="764"/>
      <c r="E710" s="839"/>
      <c r="F710" s="687"/>
      <c r="G710" s="775"/>
      <c r="H710" s="777"/>
      <c r="I710" s="687"/>
      <c r="J710" s="764"/>
      <c r="K710" s="838"/>
      <c r="L710" s="687"/>
      <c r="M710" s="775"/>
      <c r="N710" s="689"/>
      <c r="O710" s="764"/>
    </row>
    <row r="711">
      <c r="A711" s="764"/>
      <c r="B711" s="775"/>
      <c r="C711" s="764"/>
      <c r="D711" s="764"/>
      <c r="E711" s="839"/>
      <c r="F711" s="687"/>
      <c r="G711" s="775"/>
      <c r="H711" s="777"/>
      <c r="I711" s="687"/>
      <c r="J711" s="764"/>
      <c r="K711" s="838"/>
      <c r="L711" s="687"/>
      <c r="M711" s="775"/>
      <c r="N711" s="689"/>
      <c r="O711" s="764"/>
    </row>
    <row r="712">
      <c r="A712" s="764"/>
      <c r="B712" s="775"/>
      <c r="C712" s="764"/>
      <c r="D712" s="764"/>
      <c r="E712" s="839"/>
      <c r="F712" s="687"/>
      <c r="G712" s="775"/>
      <c r="H712" s="777"/>
      <c r="I712" s="687"/>
      <c r="J712" s="764"/>
      <c r="K712" s="838"/>
      <c r="L712" s="687"/>
      <c r="M712" s="775"/>
      <c r="N712" s="689"/>
      <c r="O712" s="764"/>
    </row>
    <row r="713">
      <c r="A713" s="764"/>
      <c r="B713" s="775"/>
      <c r="C713" s="764"/>
      <c r="D713" s="764"/>
      <c r="E713" s="839"/>
      <c r="F713" s="687"/>
      <c r="G713" s="775"/>
      <c r="H713" s="777"/>
      <c r="I713" s="687"/>
      <c r="J713" s="764"/>
      <c r="K713" s="838"/>
      <c r="L713" s="687"/>
      <c r="M713" s="775"/>
      <c r="N713" s="689"/>
      <c r="O713" s="764"/>
    </row>
    <row r="714">
      <c r="A714" s="764"/>
      <c r="B714" s="775"/>
      <c r="C714" s="764"/>
      <c r="D714" s="764"/>
      <c r="E714" s="839"/>
      <c r="F714" s="687"/>
      <c r="G714" s="775"/>
      <c r="H714" s="777"/>
      <c r="I714" s="687"/>
      <c r="J714" s="764"/>
      <c r="K714" s="838"/>
      <c r="L714" s="687"/>
      <c r="M714" s="775"/>
      <c r="N714" s="689"/>
      <c r="O714" s="764"/>
    </row>
    <row r="715">
      <c r="A715" s="764"/>
      <c r="B715" s="775"/>
      <c r="C715" s="764"/>
      <c r="D715" s="764"/>
      <c r="E715" s="839"/>
      <c r="F715" s="687"/>
      <c r="G715" s="775"/>
      <c r="H715" s="777"/>
      <c r="I715" s="687"/>
      <c r="J715" s="764"/>
      <c r="K715" s="838"/>
      <c r="L715" s="687"/>
      <c r="M715" s="775"/>
      <c r="N715" s="689"/>
      <c r="O715" s="764"/>
    </row>
    <row r="716">
      <c r="A716" s="764"/>
      <c r="B716" s="775"/>
      <c r="C716" s="764"/>
      <c r="D716" s="764"/>
      <c r="E716" s="839"/>
      <c r="F716" s="687"/>
      <c r="G716" s="775"/>
      <c r="H716" s="777"/>
      <c r="I716" s="687"/>
      <c r="J716" s="764"/>
      <c r="K716" s="838"/>
      <c r="L716" s="687"/>
      <c r="M716" s="775"/>
      <c r="N716" s="689"/>
      <c r="O716" s="764"/>
    </row>
    <row r="717">
      <c r="A717" s="764"/>
      <c r="B717" s="775"/>
      <c r="C717" s="764"/>
      <c r="D717" s="764"/>
      <c r="E717" s="839"/>
      <c r="F717" s="687"/>
      <c r="G717" s="775"/>
      <c r="H717" s="777"/>
      <c r="I717" s="687"/>
      <c r="J717" s="764"/>
      <c r="K717" s="838"/>
      <c r="L717" s="687"/>
      <c r="M717" s="775"/>
      <c r="N717" s="689"/>
      <c r="O717" s="764"/>
    </row>
    <row r="718">
      <c r="A718" s="764"/>
      <c r="B718" s="775"/>
      <c r="C718" s="764"/>
      <c r="D718" s="764"/>
      <c r="E718" s="839"/>
      <c r="F718" s="687"/>
      <c r="G718" s="775"/>
      <c r="H718" s="777"/>
      <c r="I718" s="687"/>
      <c r="J718" s="764"/>
      <c r="K718" s="838"/>
      <c r="L718" s="687"/>
      <c r="M718" s="775"/>
      <c r="N718" s="689"/>
      <c r="O718" s="764"/>
    </row>
    <row r="719">
      <c r="A719" s="764"/>
      <c r="B719" s="775"/>
      <c r="C719" s="764"/>
      <c r="D719" s="764"/>
      <c r="E719" s="839"/>
      <c r="F719" s="687"/>
      <c r="G719" s="775"/>
      <c r="H719" s="777"/>
      <c r="I719" s="687"/>
      <c r="J719" s="764"/>
      <c r="K719" s="838"/>
      <c r="L719" s="687"/>
      <c r="M719" s="775"/>
      <c r="N719" s="689"/>
      <c r="O719" s="764"/>
    </row>
    <row r="720">
      <c r="A720" s="764"/>
      <c r="B720" s="775"/>
      <c r="C720" s="764"/>
      <c r="D720" s="764"/>
      <c r="E720" s="839"/>
      <c r="F720" s="687"/>
      <c r="G720" s="775"/>
      <c r="H720" s="777"/>
      <c r="I720" s="687"/>
      <c r="J720" s="764"/>
      <c r="K720" s="838"/>
      <c r="L720" s="687"/>
      <c r="M720" s="775"/>
      <c r="N720" s="689"/>
      <c r="O720" s="764"/>
    </row>
    <row r="721">
      <c r="A721" s="764"/>
      <c r="B721" s="775"/>
      <c r="C721" s="764"/>
      <c r="D721" s="764"/>
      <c r="E721" s="839"/>
      <c r="F721" s="687"/>
      <c r="G721" s="775"/>
      <c r="H721" s="777"/>
      <c r="I721" s="687"/>
      <c r="J721" s="764"/>
      <c r="K721" s="838"/>
      <c r="L721" s="687"/>
      <c r="M721" s="775"/>
      <c r="N721" s="689"/>
      <c r="O721" s="764"/>
    </row>
    <row r="722">
      <c r="A722" s="764"/>
      <c r="B722" s="775"/>
      <c r="C722" s="764"/>
      <c r="D722" s="764"/>
      <c r="E722" s="839"/>
      <c r="F722" s="687"/>
      <c r="G722" s="775"/>
      <c r="H722" s="777"/>
      <c r="I722" s="687"/>
      <c r="J722" s="764"/>
      <c r="K722" s="838"/>
      <c r="L722" s="687"/>
      <c r="M722" s="775"/>
      <c r="N722" s="689"/>
      <c r="O722" s="764"/>
    </row>
    <row r="723">
      <c r="A723" s="764"/>
      <c r="B723" s="775"/>
      <c r="C723" s="764"/>
      <c r="D723" s="764"/>
      <c r="E723" s="839"/>
      <c r="F723" s="687"/>
      <c r="G723" s="775"/>
      <c r="H723" s="777"/>
      <c r="I723" s="687"/>
      <c r="J723" s="764"/>
      <c r="K723" s="838"/>
      <c r="L723" s="687"/>
      <c r="M723" s="775"/>
      <c r="N723" s="689"/>
      <c r="O723" s="764"/>
    </row>
    <row r="724">
      <c r="A724" s="764"/>
      <c r="B724" s="775"/>
      <c r="C724" s="764"/>
      <c r="D724" s="764"/>
      <c r="E724" s="839"/>
      <c r="F724" s="687"/>
      <c r="G724" s="775"/>
      <c r="H724" s="777"/>
      <c r="I724" s="687"/>
      <c r="J724" s="764"/>
      <c r="K724" s="838"/>
      <c r="L724" s="687"/>
      <c r="M724" s="775"/>
      <c r="N724" s="689"/>
      <c r="O724" s="764"/>
    </row>
    <row r="725">
      <c r="A725" s="764"/>
      <c r="B725" s="775"/>
      <c r="C725" s="764"/>
      <c r="D725" s="764"/>
      <c r="E725" s="839"/>
      <c r="F725" s="687"/>
      <c r="G725" s="775"/>
      <c r="H725" s="777"/>
      <c r="I725" s="687"/>
      <c r="J725" s="764"/>
      <c r="K725" s="838"/>
      <c r="L725" s="687"/>
      <c r="M725" s="775"/>
      <c r="N725" s="689"/>
      <c r="O725" s="764"/>
    </row>
    <row r="726">
      <c r="A726" s="764"/>
      <c r="B726" s="775"/>
      <c r="C726" s="764"/>
      <c r="D726" s="764"/>
      <c r="E726" s="839"/>
      <c r="F726" s="687"/>
      <c r="G726" s="775"/>
      <c r="H726" s="777"/>
      <c r="I726" s="687"/>
      <c r="J726" s="764"/>
      <c r="K726" s="838"/>
      <c r="L726" s="687"/>
      <c r="M726" s="775"/>
      <c r="N726" s="689"/>
      <c r="O726" s="764"/>
    </row>
    <row r="727">
      <c r="A727" s="764"/>
      <c r="B727" s="775"/>
      <c r="C727" s="764"/>
      <c r="D727" s="764"/>
      <c r="E727" s="839"/>
      <c r="F727" s="687"/>
      <c r="G727" s="775"/>
      <c r="H727" s="777"/>
      <c r="I727" s="687"/>
      <c r="J727" s="764"/>
      <c r="K727" s="838"/>
      <c r="L727" s="687"/>
      <c r="M727" s="775"/>
      <c r="N727" s="689"/>
      <c r="O727" s="764"/>
    </row>
    <row r="728">
      <c r="A728" s="764"/>
      <c r="B728" s="775"/>
      <c r="C728" s="764"/>
      <c r="D728" s="764"/>
      <c r="E728" s="839"/>
      <c r="F728" s="687"/>
      <c r="G728" s="775"/>
      <c r="H728" s="777"/>
      <c r="I728" s="687"/>
      <c r="J728" s="764"/>
      <c r="K728" s="838"/>
      <c r="L728" s="687"/>
      <c r="M728" s="775"/>
      <c r="N728" s="689"/>
      <c r="O728" s="764"/>
    </row>
    <row r="729">
      <c r="A729" s="764"/>
      <c r="B729" s="775"/>
      <c r="C729" s="764"/>
      <c r="D729" s="764"/>
      <c r="E729" s="839"/>
      <c r="F729" s="687"/>
      <c r="G729" s="775"/>
      <c r="H729" s="777"/>
      <c r="I729" s="687"/>
      <c r="J729" s="764"/>
      <c r="K729" s="838"/>
      <c r="L729" s="687"/>
      <c r="M729" s="775"/>
      <c r="N729" s="689"/>
      <c r="O729" s="764"/>
    </row>
    <row r="730">
      <c r="A730" s="764"/>
      <c r="B730" s="775"/>
      <c r="C730" s="764"/>
      <c r="D730" s="764"/>
      <c r="E730" s="839"/>
      <c r="F730" s="687"/>
      <c r="G730" s="775"/>
      <c r="H730" s="777"/>
      <c r="I730" s="687"/>
      <c r="J730" s="764"/>
      <c r="K730" s="838"/>
      <c r="L730" s="687"/>
      <c r="M730" s="775"/>
      <c r="N730" s="689"/>
      <c r="O730" s="764"/>
    </row>
    <row r="731">
      <c r="A731" s="764"/>
      <c r="B731" s="775"/>
      <c r="C731" s="764"/>
      <c r="D731" s="764"/>
      <c r="E731" s="839"/>
      <c r="F731" s="687"/>
      <c r="G731" s="775"/>
      <c r="H731" s="777"/>
      <c r="I731" s="687"/>
      <c r="J731" s="764"/>
      <c r="K731" s="838"/>
      <c r="L731" s="687"/>
      <c r="M731" s="775"/>
      <c r="N731" s="689"/>
      <c r="O731" s="764"/>
    </row>
    <row r="732">
      <c r="A732" s="764"/>
      <c r="B732" s="775"/>
      <c r="C732" s="764"/>
      <c r="D732" s="764"/>
      <c r="E732" s="839"/>
      <c r="F732" s="687"/>
      <c r="G732" s="775"/>
      <c r="H732" s="777"/>
      <c r="I732" s="687"/>
      <c r="J732" s="764"/>
      <c r="K732" s="838"/>
      <c r="L732" s="687"/>
      <c r="M732" s="775"/>
      <c r="N732" s="689"/>
      <c r="O732" s="764"/>
    </row>
    <row r="733">
      <c r="A733" s="764"/>
      <c r="B733" s="775"/>
      <c r="C733" s="764"/>
      <c r="D733" s="764"/>
      <c r="E733" s="839"/>
      <c r="F733" s="687"/>
      <c r="G733" s="775"/>
      <c r="H733" s="777"/>
      <c r="I733" s="687"/>
      <c r="J733" s="764"/>
      <c r="K733" s="838"/>
      <c r="L733" s="687"/>
      <c r="M733" s="775"/>
      <c r="N733" s="689"/>
      <c r="O733" s="764"/>
    </row>
    <row r="734">
      <c r="A734" s="764"/>
      <c r="B734" s="775"/>
      <c r="C734" s="764"/>
      <c r="D734" s="764"/>
      <c r="E734" s="839"/>
      <c r="F734" s="687"/>
      <c r="G734" s="775"/>
      <c r="H734" s="777"/>
      <c r="I734" s="687"/>
      <c r="J734" s="764"/>
      <c r="K734" s="838"/>
      <c r="L734" s="687"/>
      <c r="M734" s="775"/>
      <c r="N734" s="689"/>
      <c r="O734" s="764"/>
    </row>
    <row r="735">
      <c r="A735" s="764"/>
      <c r="B735" s="775"/>
      <c r="C735" s="764"/>
      <c r="D735" s="764"/>
      <c r="E735" s="839"/>
      <c r="F735" s="687"/>
      <c r="G735" s="775"/>
      <c r="H735" s="777"/>
      <c r="I735" s="687"/>
      <c r="J735" s="764"/>
      <c r="K735" s="838"/>
      <c r="L735" s="687"/>
      <c r="M735" s="775"/>
      <c r="N735" s="689"/>
      <c r="O735" s="764"/>
    </row>
    <row r="736">
      <c r="A736" s="764"/>
      <c r="B736" s="775"/>
      <c r="C736" s="764"/>
      <c r="D736" s="764"/>
      <c r="E736" s="839"/>
      <c r="F736" s="687"/>
      <c r="G736" s="775"/>
      <c r="H736" s="777"/>
      <c r="I736" s="687"/>
      <c r="J736" s="764"/>
      <c r="K736" s="838"/>
      <c r="L736" s="687"/>
      <c r="M736" s="775"/>
      <c r="N736" s="689"/>
      <c r="O736" s="764"/>
    </row>
    <row r="737">
      <c r="A737" s="764"/>
      <c r="B737" s="775"/>
      <c r="C737" s="764"/>
      <c r="D737" s="764"/>
      <c r="E737" s="839"/>
      <c r="F737" s="687"/>
      <c r="G737" s="775"/>
      <c r="H737" s="777"/>
      <c r="I737" s="687"/>
      <c r="J737" s="764"/>
      <c r="K737" s="838"/>
      <c r="L737" s="687"/>
      <c r="M737" s="775"/>
      <c r="N737" s="689"/>
      <c r="O737" s="764"/>
    </row>
    <row r="738">
      <c r="A738" s="764"/>
      <c r="B738" s="775"/>
      <c r="C738" s="764"/>
      <c r="D738" s="764"/>
      <c r="E738" s="839"/>
      <c r="F738" s="687"/>
      <c r="G738" s="775"/>
      <c r="H738" s="777"/>
      <c r="I738" s="687"/>
      <c r="J738" s="764"/>
      <c r="K738" s="838"/>
      <c r="L738" s="687"/>
      <c r="M738" s="775"/>
      <c r="N738" s="689"/>
      <c r="O738" s="764"/>
    </row>
    <row r="739">
      <c r="A739" s="764"/>
      <c r="B739" s="775"/>
      <c r="C739" s="764"/>
      <c r="D739" s="764"/>
      <c r="E739" s="839"/>
      <c r="F739" s="687"/>
      <c r="G739" s="775"/>
      <c r="H739" s="777"/>
      <c r="I739" s="687"/>
      <c r="J739" s="764"/>
      <c r="K739" s="838"/>
      <c r="L739" s="687"/>
      <c r="M739" s="775"/>
      <c r="N739" s="689"/>
      <c r="O739" s="764"/>
    </row>
    <row r="740">
      <c r="A740" s="764"/>
      <c r="B740" s="775"/>
      <c r="C740" s="764"/>
      <c r="D740" s="764"/>
      <c r="E740" s="839"/>
      <c r="F740" s="687"/>
      <c r="G740" s="775"/>
      <c r="H740" s="777"/>
      <c r="I740" s="687"/>
      <c r="J740" s="764"/>
      <c r="K740" s="838"/>
      <c r="L740" s="687"/>
      <c r="M740" s="775"/>
      <c r="N740" s="689"/>
      <c r="O740" s="764"/>
    </row>
    <row r="741">
      <c r="A741" s="764"/>
      <c r="B741" s="775"/>
      <c r="C741" s="764"/>
      <c r="D741" s="764"/>
      <c r="E741" s="839"/>
      <c r="F741" s="687"/>
      <c r="G741" s="775"/>
      <c r="H741" s="777"/>
      <c r="I741" s="687"/>
      <c r="J741" s="764"/>
      <c r="K741" s="838"/>
      <c r="L741" s="687"/>
      <c r="M741" s="775"/>
      <c r="N741" s="689"/>
      <c r="O741" s="764"/>
    </row>
    <row r="742">
      <c r="A742" s="764"/>
      <c r="B742" s="775"/>
      <c r="C742" s="764"/>
      <c r="D742" s="764"/>
      <c r="E742" s="839"/>
      <c r="F742" s="687"/>
      <c r="G742" s="775"/>
      <c r="H742" s="777"/>
      <c r="I742" s="687"/>
      <c r="J742" s="764"/>
      <c r="K742" s="838"/>
      <c r="L742" s="687"/>
      <c r="M742" s="775"/>
      <c r="N742" s="689"/>
      <c r="O742" s="764"/>
    </row>
    <row r="743">
      <c r="A743" s="764"/>
      <c r="B743" s="775"/>
      <c r="C743" s="764"/>
      <c r="D743" s="764"/>
      <c r="E743" s="839"/>
      <c r="F743" s="687"/>
      <c r="G743" s="775"/>
      <c r="H743" s="777"/>
      <c r="I743" s="687"/>
      <c r="J743" s="764"/>
      <c r="K743" s="838"/>
      <c r="L743" s="687"/>
      <c r="M743" s="775"/>
      <c r="N743" s="689"/>
      <c r="O743" s="764"/>
    </row>
    <row r="744">
      <c r="A744" s="764"/>
      <c r="B744" s="775"/>
      <c r="C744" s="764"/>
      <c r="D744" s="764"/>
      <c r="E744" s="839"/>
      <c r="F744" s="687"/>
      <c r="G744" s="775"/>
      <c r="H744" s="777"/>
      <c r="I744" s="687"/>
      <c r="J744" s="764"/>
      <c r="K744" s="838"/>
      <c r="L744" s="687"/>
      <c r="M744" s="775"/>
      <c r="N744" s="689"/>
      <c r="O744" s="764"/>
    </row>
    <row r="745">
      <c r="A745" s="764"/>
      <c r="B745" s="775"/>
      <c r="C745" s="764"/>
      <c r="D745" s="764"/>
      <c r="E745" s="839"/>
      <c r="F745" s="687"/>
      <c r="G745" s="775"/>
      <c r="H745" s="777"/>
      <c r="I745" s="687"/>
      <c r="J745" s="764"/>
      <c r="K745" s="838"/>
      <c r="L745" s="687"/>
      <c r="M745" s="775"/>
      <c r="N745" s="689"/>
      <c r="O745" s="764"/>
    </row>
    <row r="746">
      <c r="A746" s="764"/>
      <c r="B746" s="775"/>
      <c r="C746" s="764"/>
      <c r="D746" s="764"/>
      <c r="E746" s="839"/>
      <c r="F746" s="687"/>
      <c r="G746" s="775"/>
      <c r="H746" s="777"/>
      <c r="I746" s="687"/>
      <c r="J746" s="764"/>
      <c r="K746" s="838"/>
      <c r="L746" s="687"/>
      <c r="M746" s="775"/>
      <c r="N746" s="689"/>
      <c r="O746" s="764"/>
    </row>
    <row r="747">
      <c r="A747" s="764"/>
      <c r="B747" s="775"/>
      <c r="C747" s="764"/>
      <c r="D747" s="764"/>
      <c r="E747" s="839"/>
      <c r="F747" s="687"/>
      <c r="G747" s="775"/>
      <c r="H747" s="777"/>
      <c r="I747" s="687"/>
      <c r="J747" s="764"/>
      <c r="K747" s="838"/>
      <c r="L747" s="687"/>
      <c r="M747" s="775"/>
      <c r="N747" s="689"/>
      <c r="O747" s="764"/>
    </row>
    <row r="748">
      <c r="A748" s="764"/>
      <c r="B748" s="775"/>
      <c r="C748" s="764"/>
      <c r="D748" s="764"/>
      <c r="E748" s="839"/>
      <c r="F748" s="687"/>
      <c r="G748" s="775"/>
      <c r="H748" s="777"/>
      <c r="I748" s="687"/>
      <c r="J748" s="764"/>
      <c r="K748" s="838"/>
      <c r="L748" s="687"/>
      <c r="M748" s="775"/>
      <c r="N748" s="689"/>
      <c r="O748" s="764"/>
    </row>
    <row r="749">
      <c r="A749" s="764"/>
      <c r="B749" s="775"/>
      <c r="C749" s="764"/>
      <c r="D749" s="764"/>
      <c r="E749" s="839"/>
      <c r="F749" s="687"/>
      <c r="G749" s="775"/>
      <c r="H749" s="777"/>
      <c r="I749" s="687"/>
      <c r="J749" s="764"/>
      <c r="K749" s="838"/>
      <c r="L749" s="687"/>
      <c r="M749" s="775"/>
      <c r="N749" s="689"/>
      <c r="O749" s="764"/>
    </row>
    <row r="750">
      <c r="A750" s="764"/>
      <c r="B750" s="775"/>
      <c r="C750" s="764"/>
      <c r="D750" s="764"/>
      <c r="E750" s="839"/>
      <c r="F750" s="687"/>
      <c r="G750" s="775"/>
      <c r="H750" s="777"/>
      <c r="I750" s="687"/>
      <c r="J750" s="764"/>
      <c r="K750" s="838"/>
      <c r="L750" s="687"/>
      <c r="M750" s="775"/>
      <c r="N750" s="689"/>
      <c r="O750" s="764"/>
    </row>
    <row r="751">
      <c r="A751" s="764"/>
      <c r="B751" s="775"/>
      <c r="C751" s="764"/>
      <c r="D751" s="764"/>
      <c r="E751" s="839"/>
      <c r="F751" s="687"/>
      <c r="G751" s="775"/>
      <c r="H751" s="777"/>
      <c r="I751" s="687"/>
      <c r="J751" s="764"/>
      <c r="K751" s="838"/>
      <c r="L751" s="687"/>
      <c r="M751" s="775"/>
      <c r="N751" s="689"/>
      <c r="O751" s="764"/>
    </row>
    <row r="752">
      <c r="A752" s="764"/>
      <c r="B752" s="775"/>
      <c r="C752" s="764"/>
      <c r="D752" s="764"/>
      <c r="E752" s="839"/>
      <c r="F752" s="687"/>
      <c r="G752" s="775"/>
      <c r="H752" s="777"/>
      <c r="I752" s="687"/>
      <c r="J752" s="764"/>
      <c r="K752" s="838"/>
      <c r="L752" s="687"/>
      <c r="M752" s="775"/>
      <c r="N752" s="689"/>
      <c r="O752" s="764"/>
    </row>
    <row r="753">
      <c r="A753" s="764"/>
      <c r="B753" s="775"/>
      <c r="C753" s="764"/>
      <c r="D753" s="764"/>
      <c r="E753" s="839"/>
      <c r="F753" s="687"/>
      <c r="G753" s="775"/>
      <c r="H753" s="777"/>
      <c r="I753" s="687"/>
      <c r="J753" s="764"/>
      <c r="K753" s="838"/>
      <c r="L753" s="687"/>
      <c r="M753" s="775"/>
      <c r="N753" s="689"/>
      <c r="O753" s="764"/>
    </row>
    <row r="754">
      <c r="A754" s="764"/>
      <c r="B754" s="775"/>
      <c r="C754" s="764"/>
      <c r="D754" s="764"/>
      <c r="E754" s="839"/>
      <c r="F754" s="687"/>
      <c r="G754" s="775"/>
      <c r="H754" s="777"/>
      <c r="I754" s="687"/>
      <c r="J754" s="764"/>
      <c r="K754" s="838"/>
      <c r="L754" s="687"/>
      <c r="M754" s="775"/>
      <c r="N754" s="689"/>
      <c r="O754" s="764"/>
    </row>
    <row r="755">
      <c r="A755" s="764"/>
      <c r="B755" s="775"/>
      <c r="C755" s="764"/>
      <c r="D755" s="764"/>
      <c r="E755" s="839"/>
      <c r="F755" s="687"/>
      <c r="G755" s="775"/>
      <c r="H755" s="777"/>
      <c r="I755" s="687"/>
      <c r="J755" s="764"/>
      <c r="K755" s="838"/>
      <c r="L755" s="687"/>
      <c r="M755" s="775"/>
      <c r="N755" s="689"/>
      <c r="O755" s="764"/>
    </row>
    <row r="756">
      <c r="A756" s="764"/>
      <c r="B756" s="775"/>
      <c r="C756" s="764"/>
      <c r="D756" s="764"/>
      <c r="E756" s="839"/>
      <c r="F756" s="687"/>
      <c r="G756" s="775"/>
      <c r="H756" s="777"/>
      <c r="I756" s="687"/>
      <c r="J756" s="764"/>
      <c r="K756" s="838"/>
      <c r="L756" s="687"/>
      <c r="M756" s="775"/>
      <c r="N756" s="689"/>
      <c r="O756" s="764"/>
    </row>
    <row r="757">
      <c r="A757" s="764"/>
      <c r="B757" s="775"/>
      <c r="C757" s="764"/>
      <c r="D757" s="764"/>
      <c r="E757" s="839"/>
      <c r="F757" s="687"/>
      <c r="G757" s="775"/>
      <c r="H757" s="777"/>
      <c r="I757" s="687"/>
      <c r="J757" s="764"/>
      <c r="K757" s="838"/>
      <c r="L757" s="687"/>
      <c r="M757" s="775"/>
      <c r="N757" s="689"/>
      <c r="O757" s="764"/>
    </row>
    <row r="758">
      <c r="A758" s="764"/>
      <c r="B758" s="775"/>
      <c r="C758" s="764"/>
      <c r="D758" s="764"/>
      <c r="E758" s="839"/>
      <c r="F758" s="687"/>
      <c r="G758" s="775"/>
      <c r="H758" s="777"/>
      <c r="I758" s="687"/>
      <c r="J758" s="764"/>
      <c r="K758" s="838"/>
      <c r="L758" s="687"/>
      <c r="M758" s="775"/>
      <c r="N758" s="689"/>
      <c r="O758" s="764"/>
    </row>
    <row r="759">
      <c r="A759" s="764"/>
      <c r="B759" s="775"/>
      <c r="C759" s="764"/>
      <c r="D759" s="764"/>
      <c r="E759" s="839"/>
      <c r="F759" s="687"/>
      <c r="G759" s="775"/>
      <c r="H759" s="777"/>
      <c r="I759" s="687"/>
      <c r="J759" s="764"/>
      <c r="K759" s="838"/>
      <c r="L759" s="687"/>
      <c r="M759" s="775"/>
      <c r="N759" s="689"/>
      <c r="O759" s="764"/>
    </row>
    <row r="760">
      <c r="A760" s="764"/>
      <c r="B760" s="775"/>
      <c r="C760" s="764"/>
      <c r="D760" s="764"/>
      <c r="E760" s="839"/>
      <c r="F760" s="687"/>
      <c r="G760" s="775"/>
      <c r="H760" s="777"/>
      <c r="I760" s="687"/>
      <c r="J760" s="764"/>
      <c r="K760" s="838"/>
      <c r="L760" s="687"/>
      <c r="M760" s="775"/>
      <c r="N760" s="689"/>
      <c r="O760" s="764"/>
    </row>
    <row r="761">
      <c r="A761" s="764"/>
      <c r="B761" s="775"/>
      <c r="C761" s="764"/>
      <c r="D761" s="764"/>
      <c r="E761" s="839"/>
      <c r="F761" s="687"/>
      <c r="G761" s="775"/>
      <c r="H761" s="777"/>
      <c r="I761" s="687"/>
      <c r="J761" s="764"/>
      <c r="K761" s="838"/>
      <c r="L761" s="687"/>
      <c r="M761" s="775"/>
      <c r="N761" s="689"/>
      <c r="O761" s="764"/>
    </row>
    <row r="762">
      <c r="A762" s="764"/>
      <c r="B762" s="775"/>
      <c r="C762" s="764"/>
      <c r="D762" s="764"/>
      <c r="E762" s="839"/>
      <c r="F762" s="687"/>
      <c r="G762" s="775"/>
      <c r="H762" s="777"/>
      <c r="I762" s="687"/>
      <c r="J762" s="764"/>
      <c r="K762" s="838"/>
      <c r="L762" s="687"/>
      <c r="M762" s="775"/>
      <c r="N762" s="689"/>
      <c r="O762" s="764"/>
    </row>
    <row r="763">
      <c r="A763" s="764"/>
      <c r="B763" s="775"/>
      <c r="C763" s="764"/>
      <c r="D763" s="764"/>
      <c r="E763" s="839"/>
      <c r="F763" s="687"/>
      <c r="G763" s="775"/>
      <c r="H763" s="777"/>
      <c r="I763" s="687"/>
      <c r="J763" s="764"/>
      <c r="K763" s="838"/>
      <c r="L763" s="687"/>
      <c r="M763" s="775"/>
      <c r="N763" s="689"/>
      <c r="O763" s="764"/>
    </row>
    <row r="764">
      <c r="A764" s="764"/>
      <c r="B764" s="775"/>
      <c r="C764" s="764"/>
      <c r="D764" s="764"/>
      <c r="E764" s="839"/>
      <c r="F764" s="687"/>
      <c r="G764" s="775"/>
      <c r="H764" s="777"/>
      <c r="I764" s="687"/>
      <c r="J764" s="764"/>
      <c r="K764" s="838"/>
      <c r="L764" s="687"/>
      <c r="M764" s="775"/>
      <c r="N764" s="689"/>
      <c r="O764" s="764"/>
    </row>
    <row r="765">
      <c r="A765" s="764"/>
      <c r="B765" s="775"/>
      <c r="C765" s="764"/>
      <c r="D765" s="764"/>
      <c r="E765" s="839"/>
      <c r="F765" s="687"/>
      <c r="G765" s="775"/>
      <c r="H765" s="777"/>
      <c r="I765" s="687"/>
      <c r="J765" s="764"/>
      <c r="K765" s="838"/>
      <c r="L765" s="687"/>
      <c r="M765" s="775"/>
      <c r="N765" s="689"/>
      <c r="O765" s="764"/>
    </row>
    <row r="766">
      <c r="A766" s="764"/>
      <c r="B766" s="775"/>
      <c r="C766" s="764"/>
      <c r="D766" s="764"/>
      <c r="E766" s="839"/>
      <c r="F766" s="687"/>
      <c r="G766" s="775"/>
      <c r="H766" s="777"/>
      <c r="I766" s="687"/>
      <c r="J766" s="764"/>
      <c r="K766" s="838"/>
      <c r="L766" s="687"/>
      <c r="M766" s="775"/>
      <c r="N766" s="689"/>
      <c r="O766" s="764"/>
    </row>
    <row r="767">
      <c r="A767" s="764"/>
      <c r="B767" s="775"/>
      <c r="C767" s="764"/>
      <c r="D767" s="764"/>
      <c r="E767" s="839"/>
      <c r="F767" s="687"/>
      <c r="G767" s="775"/>
      <c r="H767" s="777"/>
      <c r="I767" s="687"/>
      <c r="J767" s="764"/>
      <c r="K767" s="838"/>
      <c r="L767" s="687"/>
      <c r="M767" s="775"/>
      <c r="N767" s="689"/>
      <c r="O767" s="764"/>
    </row>
    <row r="768">
      <c r="A768" s="764"/>
      <c r="B768" s="775"/>
      <c r="C768" s="764"/>
      <c r="D768" s="764"/>
      <c r="E768" s="839"/>
      <c r="F768" s="687"/>
      <c r="G768" s="775"/>
      <c r="H768" s="777"/>
      <c r="I768" s="687"/>
      <c r="J768" s="764"/>
      <c r="K768" s="838"/>
      <c r="L768" s="687"/>
      <c r="M768" s="775"/>
      <c r="N768" s="689"/>
      <c r="O768" s="764"/>
    </row>
    <row r="769">
      <c r="A769" s="764"/>
      <c r="B769" s="775"/>
      <c r="C769" s="764"/>
      <c r="D769" s="764"/>
      <c r="E769" s="839"/>
      <c r="F769" s="687"/>
      <c r="G769" s="775"/>
      <c r="H769" s="777"/>
      <c r="I769" s="687"/>
      <c r="J769" s="764"/>
      <c r="K769" s="838"/>
      <c r="L769" s="687"/>
      <c r="M769" s="775"/>
      <c r="N769" s="689"/>
      <c r="O769" s="764"/>
    </row>
    <row r="770">
      <c r="A770" s="764"/>
      <c r="B770" s="775"/>
      <c r="C770" s="764"/>
      <c r="D770" s="764"/>
      <c r="E770" s="839"/>
      <c r="F770" s="687"/>
      <c r="G770" s="775"/>
      <c r="H770" s="777"/>
      <c r="I770" s="687"/>
      <c r="J770" s="764"/>
      <c r="K770" s="838"/>
      <c r="L770" s="687"/>
      <c r="M770" s="775"/>
      <c r="N770" s="689"/>
      <c r="O770" s="764"/>
    </row>
    <row r="771">
      <c r="A771" s="764"/>
      <c r="B771" s="775"/>
      <c r="C771" s="764"/>
      <c r="D771" s="764"/>
      <c r="E771" s="839"/>
      <c r="F771" s="687"/>
      <c r="G771" s="775"/>
      <c r="H771" s="777"/>
      <c r="I771" s="687"/>
      <c r="J771" s="764"/>
      <c r="K771" s="838"/>
      <c r="L771" s="687"/>
      <c r="M771" s="775"/>
      <c r="N771" s="689"/>
      <c r="O771" s="764"/>
    </row>
    <row r="772">
      <c r="A772" s="764"/>
      <c r="B772" s="775"/>
      <c r="C772" s="764"/>
      <c r="D772" s="764"/>
      <c r="E772" s="839"/>
      <c r="F772" s="687"/>
      <c r="G772" s="775"/>
      <c r="H772" s="777"/>
      <c r="I772" s="687"/>
      <c r="J772" s="764"/>
      <c r="K772" s="838"/>
      <c r="L772" s="687"/>
      <c r="M772" s="775"/>
      <c r="N772" s="689"/>
      <c r="O772" s="764"/>
    </row>
    <row r="773">
      <c r="A773" s="764"/>
      <c r="B773" s="775"/>
      <c r="C773" s="764"/>
      <c r="D773" s="764"/>
      <c r="E773" s="839"/>
      <c r="F773" s="687"/>
      <c r="G773" s="775"/>
      <c r="H773" s="777"/>
      <c r="I773" s="687"/>
      <c r="J773" s="764"/>
      <c r="K773" s="838"/>
      <c r="L773" s="687"/>
      <c r="M773" s="775"/>
      <c r="N773" s="689"/>
      <c r="O773" s="764"/>
    </row>
    <row r="774">
      <c r="A774" s="764"/>
      <c r="B774" s="775"/>
      <c r="C774" s="764"/>
      <c r="D774" s="764"/>
      <c r="E774" s="839"/>
      <c r="F774" s="687"/>
      <c r="G774" s="775"/>
      <c r="H774" s="777"/>
      <c r="I774" s="687"/>
      <c r="J774" s="764"/>
      <c r="K774" s="838"/>
      <c r="L774" s="687"/>
      <c r="M774" s="775"/>
      <c r="N774" s="689"/>
      <c r="O774" s="764"/>
    </row>
    <row r="775">
      <c r="A775" s="764"/>
      <c r="B775" s="775"/>
      <c r="C775" s="764"/>
      <c r="D775" s="764"/>
      <c r="E775" s="839"/>
      <c r="F775" s="687"/>
      <c r="G775" s="775"/>
      <c r="H775" s="777"/>
      <c r="I775" s="687"/>
      <c r="J775" s="764"/>
      <c r="K775" s="838"/>
      <c r="L775" s="687"/>
      <c r="M775" s="775"/>
      <c r="N775" s="689"/>
      <c r="O775" s="764"/>
    </row>
    <row r="776">
      <c r="A776" s="764"/>
      <c r="B776" s="775"/>
      <c r="C776" s="764"/>
      <c r="D776" s="764"/>
      <c r="E776" s="839"/>
      <c r="F776" s="687"/>
      <c r="G776" s="775"/>
      <c r="H776" s="777"/>
      <c r="I776" s="687"/>
      <c r="J776" s="764"/>
      <c r="K776" s="838"/>
      <c r="L776" s="687"/>
      <c r="M776" s="775"/>
      <c r="N776" s="689"/>
      <c r="O776" s="764"/>
    </row>
    <row r="777">
      <c r="A777" s="764"/>
      <c r="B777" s="775"/>
      <c r="C777" s="764"/>
      <c r="D777" s="764"/>
      <c r="E777" s="839"/>
      <c r="F777" s="687"/>
      <c r="G777" s="775"/>
      <c r="H777" s="777"/>
      <c r="I777" s="687"/>
      <c r="J777" s="764"/>
      <c r="K777" s="838"/>
      <c r="L777" s="687"/>
      <c r="M777" s="775"/>
      <c r="N777" s="689"/>
      <c r="O777" s="764"/>
    </row>
    <row r="778">
      <c r="A778" s="764"/>
      <c r="B778" s="775"/>
      <c r="C778" s="764"/>
      <c r="D778" s="764"/>
      <c r="E778" s="839"/>
      <c r="F778" s="687"/>
      <c r="G778" s="775"/>
      <c r="H778" s="777"/>
      <c r="I778" s="687"/>
      <c r="J778" s="764"/>
      <c r="K778" s="838"/>
      <c r="L778" s="687"/>
      <c r="M778" s="775"/>
      <c r="N778" s="689"/>
      <c r="O778" s="764"/>
    </row>
    <row r="779">
      <c r="A779" s="764"/>
      <c r="B779" s="775"/>
      <c r="C779" s="764"/>
      <c r="D779" s="764"/>
      <c r="E779" s="839"/>
      <c r="F779" s="687"/>
      <c r="G779" s="775"/>
      <c r="H779" s="777"/>
      <c r="I779" s="687"/>
      <c r="J779" s="764"/>
      <c r="K779" s="838"/>
      <c r="L779" s="687"/>
      <c r="M779" s="775"/>
      <c r="N779" s="689"/>
      <c r="O779" s="764"/>
    </row>
    <row r="780">
      <c r="A780" s="764"/>
      <c r="B780" s="775"/>
      <c r="C780" s="764"/>
      <c r="D780" s="764"/>
      <c r="E780" s="839"/>
      <c r="F780" s="687"/>
      <c r="G780" s="775"/>
      <c r="H780" s="777"/>
      <c r="I780" s="687"/>
      <c r="J780" s="764"/>
      <c r="K780" s="838"/>
      <c r="L780" s="687"/>
      <c r="M780" s="775"/>
      <c r="N780" s="689"/>
      <c r="O780" s="764"/>
    </row>
    <row r="781">
      <c r="A781" s="764"/>
      <c r="B781" s="775"/>
      <c r="C781" s="764"/>
      <c r="D781" s="764"/>
      <c r="E781" s="839"/>
      <c r="F781" s="687"/>
      <c r="G781" s="775"/>
      <c r="H781" s="777"/>
      <c r="I781" s="687"/>
      <c r="J781" s="764"/>
      <c r="K781" s="838"/>
      <c r="L781" s="687"/>
      <c r="M781" s="775"/>
      <c r="N781" s="689"/>
      <c r="O781" s="764"/>
    </row>
    <row r="782">
      <c r="A782" s="764"/>
      <c r="B782" s="775"/>
      <c r="C782" s="764"/>
      <c r="D782" s="764"/>
      <c r="E782" s="839"/>
      <c r="F782" s="687"/>
      <c r="G782" s="775"/>
      <c r="H782" s="777"/>
      <c r="I782" s="687"/>
      <c r="J782" s="764"/>
      <c r="K782" s="838"/>
      <c r="L782" s="687"/>
      <c r="M782" s="775"/>
      <c r="N782" s="689"/>
      <c r="O782" s="764"/>
    </row>
    <row r="783">
      <c r="A783" s="764"/>
      <c r="B783" s="775"/>
      <c r="C783" s="764"/>
      <c r="D783" s="764"/>
      <c r="E783" s="839"/>
      <c r="F783" s="687"/>
      <c r="G783" s="775"/>
      <c r="H783" s="777"/>
      <c r="I783" s="687"/>
      <c r="J783" s="764"/>
      <c r="K783" s="838"/>
      <c r="L783" s="687"/>
      <c r="M783" s="775"/>
      <c r="N783" s="689"/>
      <c r="O783" s="764"/>
    </row>
    <row r="784">
      <c r="A784" s="764"/>
      <c r="B784" s="775"/>
      <c r="C784" s="764"/>
      <c r="D784" s="764"/>
      <c r="E784" s="839"/>
      <c r="F784" s="687"/>
      <c r="G784" s="775"/>
      <c r="H784" s="777"/>
      <c r="I784" s="687"/>
      <c r="J784" s="764"/>
      <c r="K784" s="838"/>
      <c r="L784" s="687"/>
      <c r="M784" s="775"/>
      <c r="N784" s="689"/>
      <c r="O784" s="764"/>
    </row>
    <row r="785">
      <c r="A785" s="764"/>
      <c r="B785" s="775"/>
      <c r="C785" s="764"/>
      <c r="D785" s="764"/>
      <c r="E785" s="839"/>
      <c r="F785" s="687"/>
      <c r="G785" s="775"/>
      <c r="H785" s="777"/>
      <c r="I785" s="687"/>
      <c r="J785" s="764"/>
      <c r="K785" s="838"/>
      <c r="L785" s="687"/>
      <c r="M785" s="775"/>
      <c r="N785" s="689"/>
      <c r="O785" s="764"/>
    </row>
    <row r="786">
      <c r="A786" s="764"/>
      <c r="B786" s="775"/>
      <c r="C786" s="764"/>
      <c r="D786" s="764"/>
      <c r="E786" s="839"/>
      <c r="F786" s="687"/>
      <c r="G786" s="775"/>
      <c r="H786" s="777"/>
      <c r="I786" s="687"/>
      <c r="J786" s="764"/>
      <c r="K786" s="838"/>
      <c r="L786" s="687"/>
      <c r="M786" s="775"/>
      <c r="N786" s="689"/>
      <c r="O786" s="764"/>
    </row>
    <row r="787">
      <c r="A787" s="764"/>
      <c r="B787" s="775"/>
      <c r="C787" s="764"/>
      <c r="D787" s="764"/>
      <c r="E787" s="839"/>
      <c r="F787" s="687"/>
      <c r="G787" s="775"/>
      <c r="H787" s="777"/>
      <c r="I787" s="687"/>
      <c r="J787" s="764"/>
      <c r="K787" s="838"/>
      <c r="L787" s="687"/>
      <c r="M787" s="775"/>
      <c r="N787" s="689"/>
      <c r="O787" s="764"/>
    </row>
    <row r="788">
      <c r="A788" s="764"/>
      <c r="B788" s="775"/>
      <c r="C788" s="764"/>
      <c r="D788" s="764"/>
      <c r="E788" s="839"/>
      <c r="F788" s="687"/>
      <c r="G788" s="775"/>
      <c r="H788" s="777"/>
      <c r="I788" s="687"/>
      <c r="J788" s="764"/>
      <c r="K788" s="838"/>
      <c r="L788" s="687"/>
      <c r="M788" s="775"/>
      <c r="N788" s="689"/>
      <c r="O788" s="764"/>
    </row>
    <row r="789">
      <c r="A789" s="764"/>
      <c r="B789" s="775"/>
      <c r="C789" s="764"/>
      <c r="D789" s="764"/>
      <c r="E789" s="839"/>
      <c r="F789" s="687"/>
      <c r="G789" s="775"/>
      <c r="H789" s="777"/>
      <c r="I789" s="687"/>
      <c r="J789" s="764"/>
      <c r="K789" s="838"/>
      <c r="L789" s="687"/>
      <c r="M789" s="775"/>
      <c r="N789" s="689"/>
      <c r="O789" s="764"/>
    </row>
    <row r="790">
      <c r="A790" s="764"/>
      <c r="B790" s="775"/>
      <c r="C790" s="764"/>
      <c r="D790" s="764"/>
      <c r="E790" s="839"/>
      <c r="F790" s="687"/>
      <c r="G790" s="775"/>
      <c r="H790" s="777"/>
      <c r="I790" s="687"/>
      <c r="J790" s="764"/>
      <c r="K790" s="838"/>
      <c r="L790" s="687"/>
      <c r="M790" s="775"/>
      <c r="N790" s="689"/>
      <c r="O790" s="764"/>
    </row>
    <row r="791">
      <c r="A791" s="764"/>
      <c r="B791" s="775"/>
      <c r="C791" s="764"/>
      <c r="D791" s="764"/>
      <c r="E791" s="839"/>
      <c r="F791" s="687"/>
      <c r="G791" s="775"/>
      <c r="H791" s="777"/>
      <c r="I791" s="687"/>
      <c r="J791" s="764"/>
      <c r="K791" s="838"/>
      <c r="L791" s="687"/>
      <c r="M791" s="775"/>
      <c r="N791" s="689"/>
      <c r="O791" s="764"/>
    </row>
    <row r="792">
      <c r="A792" s="764"/>
      <c r="B792" s="775"/>
      <c r="C792" s="764"/>
      <c r="D792" s="764"/>
      <c r="E792" s="839"/>
      <c r="F792" s="687"/>
      <c r="G792" s="775"/>
      <c r="H792" s="777"/>
      <c r="I792" s="687"/>
      <c r="J792" s="764"/>
      <c r="K792" s="838"/>
      <c r="L792" s="687"/>
      <c r="M792" s="775"/>
      <c r="N792" s="689"/>
      <c r="O792" s="764"/>
    </row>
    <row r="793">
      <c r="A793" s="764"/>
      <c r="B793" s="775"/>
      <c r="C793" s="764"/>
      <c r="D793" s="764"/>
      <c r="E793" s="839"/>
      <c r="F793" s="687"/>
      <c r="G793" s="775"/>
      <c r="H793" s="777"/>
      <c r="I793" s="687"/>
      <c r="J793" s="764"/>
      <c r="K793" s="838"/>
      <c r="L793" s="687"/>
      <c r="M793" s="775"/>
      <c r="N793" s="689"/>
      <c r="O793" s="764"/>
    </row>
    <row r="794">
      <c r="A794" s="764"/>
      <c r="B794" s="775"/>
      <c r="C794" s="764"/>
      <c r="D794" s="764"/>
      <c r="E794" s="839"/>
      <c r="F794" s="687"/>
      <c r="G794" s="775"/>
      <c r="H794" s="777"/>
      <c r="I794" s="687"/>
      <c r="J794" s="764"/>
      <c r="K794" s="838"/>
      <c r="L794" s="687"/>
      <c r="M794" s="775"/>
      <c r="N794" s="689"/>
      <c r="O794" s="764"/>
    </row>
    <row r="795">
      <c r="A795" s="764"/>
      <c r="B795" s="775"/>
      <c r="C795" s="764"/>
      <c r="D795" s="764"/>
      <c r="E795" s="839"/>
      <c r="F795" s="687"/>
      <c r="G795" s="775"/>
      <c r="H795" s="777"/>
      <c r="I795" s="687"/>
      <c r="J795" s="764"/>
      <c r="K795" s="838"/>
      <c r="L795" s="687"/>
      <c r="M795" s="775"/>
      <c r="N795" s="689"/>
      <c r="O795" s="764"/>
    </row>
    <row r="796">
      <c r="A796" s="764"/>
      <c r="B796" s="775"/>
      <c r="C796" s="764"/>
      <c r="D796" s="764"/>
      <c r="E796" s="839"/>
      <c r="F796" s="687"/>
      <c r="G796" s="775"/>
      <c r="H796" s="777"/>
      <c r="I796" s="687"/>
      <c r="J796" s="764"/>
      <c r="K796" s="838"/>
      <c r="L796" s="687"/>
      <c r="M796" s="775"/>
      <c r="N796" s="689"/>
      <c r="O796" s="764"/>
    </row>
    <row r="797">
      <c r="A797" s="764"/>
      <c r="B797" s="775"/>
      <c r="C797" s="764"/>
      <c r="D797" s="764"/>
      <c r="E797" s="839"/>
      <c r="F797" s="687"/>
      <c r="G797" s="775"/>
      <c r="H797" s="777"/>
      <c r="I797" s="687"/>
      <c r="J797" s="764"/>
      <c r="K797" s="838"/>
      <c r="L797" s="687"/>
      <c r="M797" s="775"/>
      <c r="N797" s="689"/>
      <c r="O797" s="764"/>
    </row>
    <row r="798">
      <c r="A798" s="764"/>
      <c r="B798" s="775"/>
      <c r="C798" s="764"/>
      <c r="D798" s="764"/>
      <c r="E798" s="839"/>
      <c r="F798" s="687"/>
      <c r="G798" s="775"/>
      <c r="H798" s="777"/>
      <c r="I798" s="687"/>
      <c r="J798" s="764"/>
      <c r="K798" s="838"/>
      <c r="L798" s="687"/>
      <c r="M798" s="775"/>
      <c r="N798" s="689"/>
      <c r="O798" s="764"/>
    </row>
    <row r="799">
      <c r="A799" s="764"/>
      <c r="B799" s="775"/>
      <c r="C799" s="764"/>
      <c r="D799" s="764"/>
      <c r="E799" s="839"/>
      <c r="F799" s="687"/>
      <c r="G799" s="775"/>
      <c r="H799" s="777"/>
      <c r="I799" s="687"/>
      <c r="J799" s="764"/>
      <c r="K799" s="838"/>
      <c r="L799" s="687"/>
      <c r="M799" s="775"/>
      <c r="N799" s="689"/>
      <c r="O799" s="764"/>
    </row>
    <row r="800">
      <c r="A800" s="764"/>
      <c r="B800" s="775"/>
      <c r="C800" s="764"/>
      <c r="D800" s="764"/>
      <c r="E800" s="839"/>
      <c r="F800" s="687"/>
      <c r="G800" s="775"/>
      <c r="H800" s="777"/>
      <c r="I800" s="687"/>
      <c r="J800" s="764"/>
      <c r="K800" s="838"/>
      <c r="L800" s="687"/>
      <c r="M800" s="775"/>
      <c r="N800" s="689"/>
      <c r="O800" s="764"/>
    </row>
    <row r="801">
      <c r="A801" s="764"/>
      <c r="B801" s="775"/>
      <c r="C801" s="764"/>
      <c r="D801" s="764"/>
      <c r="E801" s="839"/>
      <c r="F801" s="687"/>
      <c r="G801" s="775"/>
      <c r="H801" s="777"/>
      <c r="I801" s="687"/>
      <c r="J801" s="764"/>
      <c r="K801" s="838"/>
      <c r="L801" s="687"/>
      <c r="M801" s="775"/>
      <c r="N801" s="689"/>
      <c r="O801" s="764"/>
    </row>
    <row r="802">
      <c r="A802" s="764"/>
      <c r="B802" s="775"/>
      <c r="C802" s="764"/>
      <c r="D802" s="764"/>
      <c r="E802" s="839"/>
      <c r="F802" s="687"/>
      <c r="G802" s="775"/>
      <c r="H802" s="777"/>
      <c r="I802" s="687"/>
      <c r="J802" s="764"/>
      <c r="K802" s="838"/>
      <c r="L802" s="687"/>
      <c r="M802" s="775"/>
      <c r="N802" s="689"/>
      <c r="O802" s="764"/>
    </row>
    <row r="803">
      <c r="A803" s="764"/>
      <c r="B803" s="775"/>
      <c r="C803" s="764"/>
      <c r="D803" s="764"/>
      <c r="E803" s="839"/>
      <c r="F803" s="687"/>
      <c r="G803" s="775"/>
      <c r="H803" s="777"/>
      <c r="I803" s="687"/>
      <c r="J803" s="764"/>
      <c r="K803" s="838"/>
      <c r="L803" s="687"/>
      <c r="M803" s="775"/>
      <c r="N803" s="689"/>
      <c r="O803" s="764"/>
    </row>
    <row r="804">
      <c r="A804" s="764"/>
      <c r="B804" s="775"/>
      <c r="C804" s="764"/>
      <c r="D804" s="764"/>
      <c r="E804" s="839"/>
      <c r="F804" s="687"/>
      <c r="G804" s="775"/>
      <c r="H804" s="777"/>
      <c r="I804" s="687"/>
      <c r="J804" s="764"/>
      <c r="K804" s="838"/>
      <c r="L804" s="687"/>
      <c r="M804" s="775"/>
      <c r="N804" s="689"/>
      <c r="O804" s="764"/>
    </row>
    <row r="805">
      <c r="A805" s="764"/>
      <c r="B805" s="775"/>
      <c r="C805" s="764"/>
      <c r="D805" s="764"/>
      <c r="E805" s="839"/>
      <c r="F805" s="687"/>
      <c r="G805" s="775"/>
      <c r="H805" s="777"/>
      <c r="I805" s="687"/>
      <c r="J805" s="764"/>
      <c r="K805" s="838"/>
      <c r="L805" s="687"/>
      <c r="M805" s="775"/>
      <c r="N805" s="689"/>
      <c r="O805" s="764"/>
    </row>
    <row r="806">
      <c r="A806" s="764"/>
      <c r="B806" s="775"/>
      <c r="C806" s="764"/>
      <c r="D806" s="764"/>
      <c r="E806" s="839"/>
      <c r="F806" s="687"/>
      <c r="G806" s="775"/>
      <c r="H806" s="777"/>
      <c r="I806" s="687"/>
      <c r="J806" s="764"/>
      <c r="K806" s="838"/>
      <c r="L806" s="687"/>
      <c r="M806" s="775"/>
      <c r="N806" s="689"/>
      <c r="O806" s="764"/>
    </row>
    <row r="807">
      <c r="A807" s="764"/>
      <c r="B807" s="775"/>
      <c r="C807" s="764"/>
      <c r="D807" s="764"/>
      <c r="E807" s="839"/>
      <c r="F807" s="687"/>
      <c r="G807" s="775"/>
      <c r="H807" s="777"/>
      <c r="I807" s="687"/>
      <c r="J807" s="764"/>
      <c r="K807" s="838"/>
      <c r="L807" s="687"/>
      <c r="M807" s="775"/>
      <c r="N807" s="689"/>
      <c r="O807" s="764"/>
    </row>
    <row r="808">
      <c r="A808" s="764"/>
      <c r="B808" s="775"/>
      <c r="C808" s="764"/>
      <c r="D808" s="764"/>
      <c r="E808" s="839"/>
      <c r="F808" s="687"/>
      <c r="G808" s="775"/>
      <c r="H808" s="777"/>
      <c r="I808" s="687"/>
      <c r="J808" s="764"/>
      <c r="K808" s="838"/>
      <c r="L808" s="687"/>
      <c r="M808" s="775"/>
      <c r="N808" s="689"/>
      <c r="O808" s="764"/>
    </row>
    <row r="809">
      <c r="A809" s="764"/>
      <c r="B809" s="775"/>
      <c r="C809" s="764"/>
      <c r="D809" s="764"/>
      <c r="E809" s="839"/>
      <c r="F809" s="687"/>
      <c r="G809" s="775"/>
      <c r="H809" s="777"/>
      <c r="I809" s="687"/>
      <c r="J809" s="764"/>
      <c r="K809" s="838"/>
      <c r="L809" s="687"/>
      <c r="M809" s="775"/>
      <c r="N809" s="689"/>
      <c r="O809" s="764"/>
    </row>
    <row r="810">
      <c r="A810" s="764"/>
      <c r="B810" s="775"/>
      <c r="C810" s="764"/>
      <c r="D810" s="764"/>
      <c r="E810" s="839"/>
      <c r="F810" s="687"/>
      <c r="G810" s="775"/>
      <c r="H810" s="777"/>
      <c r="I810" s="687"/>
      <c r="J810" s="764"/>
      <c r="K810" s="838"/>
      <c r="L810" s="687"/>
      <c r="M810" s="775"/>
      <c r="N810" s="689"/>
      <c r="O810" s="764"/>
    </row>
    <row r="811">
      <c r="A811" s="764"/>
      <c r="B811" s="775"/>
      <c r="C811" s="764"/>
      <c r="D811" s="764"/>
      <c r="E811" s="839"/>
      <c r="F811" s="687"/>
      <c r="G811" s="775"/>
      <c r="H811" s="777"/>
      <c r="I811" s="687"/>
      <c r="J811" s="764"/>
      <c r="K811" s="838"/>
      <c r="L811" s="687"/>
      <c r="M811" s="775"/>
      <c r="N811" s="689"/>
      <c r="O811" s="764"/>
    </row>
    <row r="812">
      <c r="A812" s="764"/>
      <c r="B812" s="775"/>
      <c r="C812" s="764"/>
      <c r="D812" s="764"/>
      <c r="E812" s="839"/>
      <c r="F812" s="687"/>
      <c r="G812" s="775"/>
      <c r="H812" s="777"/>
      <c r="I812" s="687"/>
      <c r="J812" s="764"/>
      <c r="K812" s="838"/>
      <c r="L812" s="687"/>
      <c r="M812" s="775"/>
      <c r="N812" s="689"/>
      <c r="O812" s="764"/>
    </row>
    <row r="813">
      <c r="A813" s="764"/>
      <c r="B813" s="775"/>
      <c r="C813" s="764"/>
      <c r="D813" s="764"/>
      <c r="E813" s="839"/>
      <c r="F813" s="687"/>
      <c r="G813" s="775"/>
      <c r="H813" s="777"/>
      <c r="I813" s="687"/>
      <c r="J813" s="764"/>
      <c r="K813" s="838"/>
      <c r="L813" s="687"/>
      <c r="M813" s="775"/>
      <c r="N813" s="689"/>
      <c r="O813" s="764"/>
    </row>
    <row r="814">
      <c r="A814" s="764"/>
      <c r="B814" s="775"/>
      <c r="C814" s="764"/>
      <c r="D814" s="764"/>
      <c r="E814" s="839"/>
      <c r="F814" s="687"/>
      <c r="G814" s="775"/>
      <c r="H814" s="777"/>
      <c r="I814" s="687"/>
      <c r="J814" s="764"/>
      <c r="K814" s="838"/>
      <c r="L814" s="687"/>
      <c r="M814" s="775"/>
      <c r="N814" s="689"/>
      <c r="O814" s="764"/>
    </row>
    <row r="815">
      <c r="A815" s="764"/>
      <c r="B815" s="775"/>
      <c r="C815" s="764"/>
      <c r="D815" s="764"/>
      <c r="E815" s="839"/>
      <c r="F815" s="687"/>
      <c r="G815" s="775"/>
      <c r="H815" s="777"/>
      <c r="I815" s="687"/>
      <c r="J815" s="764"/>
      <c r="K815" s="838"/>
      <c r="L815" s="687"/>
      <c r="M815" s="775"/>
      <c r="N815" s="689"/>
      <c r="O815" s="764"/>
    </row>
    <row r="816">
      <c r="A816" s="764"/>
      <c r="B816" s="775"/>
      <c r="C816" s="764"/>
      <c r="D816" s="764"/>
      <c r="E816" s="839"/>
      <c r="F816" s="687"/>
      <c r="G816" s="775"/>
      <c r="H816" s="777"/>
      <c r="I816" s="687"/>
      <c r="J816" s="764"/>
      <c r="K816" s="838"/>
      <c r="L816" s="687"/>
      <c r="M816" s="775"/>
      <c r="N816" s="689"/>
      <c r="O816" s="764"/>
    </row>
    <row r="817">
      <c r="A817" s="764"/>
      <c r="B817" s="775"/>
      <c r="C817" s="764"/>
      <c r="D817" s="764"/>
      <c r="E817" s="839"/>
      <c r="F817" s="687"/>
      <c r="G817" s="775"/>
      <c r="H817" s="777"/>
      <c r="I817" s="687"/>
      <c r="J817" s="764"/>
      <c r="K817" s="838"/>
      <c r="L817" s="687"/>
      <c r="M817" s="775"/>
      <c r="N817" s="689"/>
      <c r="O817" s="764"/>
    </row>
    <row r="818">
      <c r="A818" s="764"/>
      <c r="B818" s="775"/>
      <c r="C818" s="764"/>
      <c r="D818" s="764"/>
      <c r="E818" s="839"/>
      <c r="F818" s="687"/>
      <c r="G818" s="775"/>
      <c r="H818" s="777"/>
      <c r="I818" s="687"/>
      <c r="J818" s="764"/>
      <c r="K818" s="838"/>
      <c r="L818" s="687"/>
      <c r="M818" s="775"/>
      <c r="N818" s="689"/>
      <c r="O818" s="764"/>
    </row>
    <row r="819">
      <c r="A819" s="764"/>
      <c r="B819" s="775"/>
      <c r="C819" s="764"/>
      <c r="D819" s="764"/>
      <c r="E819" s="839"/>
      <c r="F819" s="687"/>
      <c r="G819" s="775"/>
      <c r="H819" s="777"/>
      <c r="I819" s="687"/>
      <c r="J819" s="764"/>
      <c r="K819" s="838"/>
      <c r="L819" s="687"/>
      <c r="M819" s="775"/>
      <c r="N819" s="689"/>
      <c r="O819" s="764"/>
    </row>
    <row r="820">
      <c r="A820" s="764"/>
      <c r="B820" s="775"/>
      <c r="C820" s="764"/>
      <c r="D820" s="764"/>
      <c r="E820" s="839"/>
      <c r="F820" s="687"/>
      <c r="G820" s="775"/>
      <c r="H820" s="777"/>
      <c r="I820" s="687"/>
      <c r="J820" s="764"/>
      <c r="K820" s="838"/>
      <c r="L820" s="687"/>
      <c r="M820" s="775"/>
      <c r="N820" s="689"/>
      <c r="O820" s="764"/>
    </row>
    <row r="821">
      <c r="A821" s="764"/>
      <c r="B821" s="775"/>
      <c r="C821" s="764"/>
      <c r="D821" s="764"/>
      <c r="E821" s="839"/>
      <c r="F821" s="687"/>
      <c r="G821" s="775"/>
      <c r="H821" s="777"/>
      <c r="I821" s="687"/>
      <c r="J821" s="764"/>
      <c r="K821" s="838"/>
      <c r="L821" s="687"/>
      <c r="M821" s="775"/>
      <c r="N821" s="689"/>
      <c r="O821" s="764"/>
    </row>
    <row r="822">
      <c r="A822" s="764"/>
      <c r="B822" s="775"/>
      <c r="C822" s="764"/>
      <c r="D822" s="764"/>
      <c r="E822" s="839"/>
      <c r="F822" s="687"/>
      <c r="G822" s="775"/>
      <c r="H822" s="777"/>
      <c r="I822" s="687"/>
      <c r="J822" s="764"/>
      <c r="K822" s="838"/>
      <c r="L822" s="687"/>
      <c r="M822" s="775"/>
      <c r="N822" s="689"/>
      <c r="O822" s="764"/>
    </row>
    <row r="823">
      <c r="A823" s="764"/>
      <c r="B823" s="775"/>
      <c r="C823" s="764"/>
      <c r="D823" s="764"/>
      <c r="E823" s="839"/>
      <c r="F823" s="687"/>
      <c r="G823" s="775"/>
      <c r="H823" s="777"/>
      <c r="I823" s="687"/>
      <c r="J823" s="764"/>
      <c r="K823" s="838"/>
      <c r="L823" s="687"/>
      <c r="M823" s="775"/>
      <c r="N823" s="689"/>
      <c r="O823" s="764"/>
    </row>
    <row r="824">
      <c r="A824" s="764"/>
      <c r="B824" s="775"/>
      <c r="C824" s="764"/>
      <c r="D824" s="764"/>
      <c r="E824" s="839"/>
      <c r="F824" s="687"/>
      <c r="G824" s="775"/>
      <c r="H824" s="777"/>
      <c r="I824" s="687"/>
      <c r="J824" s="764"/>
      <c r="K824" s="838"/>
      <c r="L824" s="687"/>
      <c r="M824" s="775"/>
      <c r="N824" s="689"/>
      <c r="O824" s="764"/>
    </row>
    <row r="825">
      <c r="A825" s="764"/>
      <c r="B825" s="775"/>
      <c r="C825" s="764"/>
      <c r="D825" s="764"/>
      <c r="E825" s="839"/>
      <c r="F825" s="687"/>
      <c r="G825" s="775"/>
      <c r="H825" s="777"/>
      <c r="I825" s="687"/>
      <c r="J825" s="764"/>
      <c r="K825" s="838"/>
      <c r="L825" s="687"/>
      <c r="M825" s="775"/>
      <c r="N825" s="689"/>
      <c r="O825" s="764"/>
    </row>
    <row r="826">
      <c r="A826" s="764"/>
      <c r="B826" s="775"/>
      <c r="C826" s="764"/>
      <c r="D826" s="764"/>
      <c r="E826" s="839"/>
      <c r="F826" s="687"/>
      <c r="G826" s="775"/>
      <c r="H826" s="777"/>
      <c r="I826" s="687"/>
      <c r="J826" s="764"/>
      <c r="K826" s="838"/>
      <c r="L826" s="687"/>
      <c r="M826" s="775"/>
      <c r="N826" s="689"/>
      <c r="O826" s="764"/>
    </row>
    <row r="827">
      <c r="A827" s="764"/>
      <c r="B827" s="775"/>
      <c r="C827" s="764"/>
      <c r="D827" s="764"/>
      <c r="E827" s="839"/>
      <c r="F827" s="687"/>
      <c r="G827" s="775"/>
      <c r="H827" s="777"/>
      <c r="I827" s="687"/>
      <c r="J827" s="764"/>
      <c r="K827" s="838"/>
      <c r="L827" s="687"/>
      <c r="M827" s="775"/>
      <c r="N827" s="689"/>
      <c r="O827" s="764"/>
    </row>
    <row r="828">
      <c r="A828" s="764"/>
      <c r="B828" s="775"/>
      <c r="C828" s="764"/>
      <c r="D828" s="764"/>
      <c r="E828" s="839"/>
      <c r="F828" s="687"/>
      <c r="G828" s="775"/>
      <c r="H828" s="777"/>
      <c r="I828" s="687"/>
      <c r="J828" s="764"/>
      <c r="K828" s="838"/>
      <c r="L828" s="687"/>
      <c r="M828" s="775"/>
      <c r="N828" s="689"/>
      <c r="O828" s="764"/>
    </row>
    <row r="829">
      <c r="A829" s="764"/>
      <c r="B829" s="775"/>
      <c r="C829" s="764"/>
      <c r="D829" s="764"/>
      <c r="E829" s="839"/>
      <c r="F829" s="687"/>
      <c r="G829" s="775"/>
      <c r="H829" s="777"/>
      <c r="I829" s="687"/>
      <c r="J829" s="764"/>
      <c r="K829" s="838"/>
      <c r="L829" s="687"/>
      <c r="M829" s="775"/>
      <c r="N829" s="689"/>
      <c r="O829" s="764"/>
    </row>
    <row r="830">
      <c r="A830" s="764"/>
      <c r="B830" s="775"/>
      <c r="C830" s="764"/>
      <c r="D830" s="764"/>
      <c r="E830" s="839"/>
      <c r="F830" s="687"/>
      <c r="G830" s="775"/>
      <c r="H830" s="777"/>
      <c r="I830" s="687"/>
      <c r="J830" s="764"/>
      <c r="K830" s="838"/>
      <c r="L830" s="687"/>
      <c r="M830" s="775"/>
      <c r="N830" s="689"/>
      <c r="O830" s="764"/>
    </row>
    <row r="831">
      <c r="A831" s="764"/>
      <c r="B831" s="775"/>
      <c r="C831" s="764"/>
      <c r="D831" s="764"/>
      <c r="E831" s="839"/>
      <c r="F831" s="687"/>
      <c r="G831" s="775"/>
      <c r="H831" s="777"/>
      <c r="I831" s="687"/>
      <c r="J831" s="764"/>
      <c r="K831" s="838"/>
      <c r="L831" s="687"/>
      <c r="M831" s="775"/>
      <c r="N831" s="689"/>
      <c r="O831" s="764"/>
    </row>
    <row r="832">
      <c r="A832" s="764"/>
      <c r="B832" s="775"/>
      <c r="C832" s="764"/>
      <c r="D832" s="764"/>
      <c r="E832" s="839"/>
      <c r="F832" s="687"/>
      <c r="G832" s="775"/>
      <c r="H832" s="777"/>
      <c r="I832" s="687"/>
      <c r="J832" s="764"/>
      <c r="K832" s="838"/>
      <c r="L832" s="687"/>
      <c r="M832" s="775"/>
      <c r="N832" s="689"/>
      <c r="O832" s="764"/>
    </row>
    <row r="833">
      <c r="A833" s="764"/>
      <c r="B833" s="775"/>
      <c r="C833" s="764"/>
      <c r="D833" s="764"/>
      <c r="E833" s="839"/>
      <c r="F833" s="687"/>
      <c r="G833" s="775"/>
      <c r="H833" s="777"/>
      <c r="I833" s="687"/>
      <c r="J833" s="764"/>
      <c r="K833" s="838"/>
      <c r="L833" s="687"/>
      <c r="M833" s="775"/>
      <c r="N833" s="689"/>
      <c r="O833" s="764"/>
    </row>
    <row r="834">
      <c r="A834" s="764"/>
      <c r="B834" s="775"/>
      <c r="C834" s="764"/>
      <c r="D834" s="764"/>
      <c r="E834" s="839"/>
      <c r="F834" s="687"/>
      <c r="G834" s="775"/>
      <c r="H834" s="777"/>
      <c r="I834" s="687"/>
      <c r="J834" s="764"/>
      <c r="K834" s="838"/>
      <c r="L834" s="687"/>
      <c r="M834" s="775"/>
      <c r="N834" s="689"/>
      <c r="O834" s="764"/>
    </row>
    <row r="835">
      <c r="A835" s="764"/>
      <c r="B835" s="775"/>
      <c r="C835" s="764"/>
      <c r="D835" s="764"/>
      <c r="E835" s="839"/>
      <c r="F835" s="687"/>
      <c r="G835" s="775"/>
      <c r="H835" s="777"/>
      <c r="I835" s="687"/>
      <c r="J835" s="764"/>
      <c r="K835" s="838"/>
      <c r="L835" s="687"/>
      <c r="M835" s="775"/>
      <c r="N835" s="689"/>
      <c r="O835" s="764"/>
    </row>
    <row r="836">
      <c r="A836" s="764"/>
      <c r="B836" s="775"/>
      <c r="C836" s="764"/>
      <c r="D836" s="764"/>
      <c r="E836" s="839"/>
      <c r="F836" s="687"/>
      <c r="G836" s="775"/>
      <c r="H836" s="777"/>
      <c r="I836" s="687"/>
      <c r="J836" s="764"/>
      <c r="K836" s="838"/>
      <c r="L836" s="687"/>
      <c r="M836" s="775"/>
      <c r="N836" s="689"/>
      <c r="O836" s="764"/>
    </row>
    <row r="837">
      <c r="A837" s="764"/>
      <c r="B837" s="775"/>
      <c r="C837" s="764"/>
      <c r="D837" s="764"/>
      <c r="E837" s="839"/>
      <c r="F837" s="687"/>
      <c r="G837" s="775"/>
      <c r="H837" s="777"/>
      <c r="I837" s="687"/>
      <c r="J837" s="764"/>
      <c r="K837" s="838"/>
      <c r="L837" s="687"/>
      <c r="M837" s="775"/>
      <c r="N837" s="689"/>
      <c r="O837" s="764"/>
    </row>
    <row r="838">
      <c r="A838" s="764"/>
      <c r="B838" s="775"/>
      <c r="C838" s="764"/>
      <c r="D838" s="764"/>
      <c r="E838" s="839"/>
      <c r="F838" s="687"/>
      <c r="G838" s="775"/>
      <c r="H838" s="777"/>
      <c r="I838" s="687"/>
      <c r="J838" s="764"/>
      <c r="K838" s="838"/>
      <c r="L838" s="687"/>
      <c r="M838" s="775"/>
      <c r="N838" s="689"/>
      <c r="O838" s="764"/>
    </row>
    <row r="839">
      <c r="A839" s="764"/>
      <c r="B839" s="775"/>
      <c r="C839" s="764"/>
      <c r="D839" s="764"/>
      <c r="E839" s="839"/>
      <c r="F839" s="687"/>
      <c r="G839" s="775"/>
      <c r="H839" s="777"/>
      <c r="I839" s="687"/>
      <c r="J839" s="764"/>
      <c r="K839" s="838"/>
      <c r="L839" s="687"/>
      <c r="M839" s="775"/>
      <c r="N839" s="689"/>
      <c r="O839" s="764"/>
    </row>
    <row r="840">
      <c r="A840" s="764"/>
      <c r="B840" s="775"/>
      <c r="C840" s="764"/>
      <c r="D840" s="764"/>
      <c r="E840" s="839"/>
      <c r="F840" s="687"/>
      <c r="G840" s="775"/>
      <c r="H840" s="777"/>
      <c r="I840" s="687"/>
      <c r="J840" s="764"/>
      <c r="K840" s="838"/>
      <c r="L840" s="687"/>
      <c r="M840" s="775"/>
      <c r="N840" s="689"/>
      <c r="O840" s="764"/>
    </row>
    <row r="841">
      <c r="A841" s="764"/>
      <c r="B841" s="775"/>
      <c r="C841" s="764"/>
      <c r="D841" s="764"/>
      <c r="E841" s="839"/>
      <c r="F841" s="687"/>
      <c r="G841" s="775"/>
      <c r="H841" s="777"/>
      <c r="I841" s="687"/>
      <c r="J841" s="764"/>
      <c r="K841" s="838"/>
      <c r="L841" s="687"/>
      <c r="M841" s="775"/>
      <c r="N841" s="689"/>
      <c r="O841" s="764"/>
    </row>
    <row r="842">
      <c r="A842" s="764"/>
      <c r="B842" s="775"/>
      <c r="C842" s="764"/>
      <c r="D842" s="764"/>
      <c r="E842" s="839"/>
      <c r="F842" s="687"/>
      <c r="G842" s="775"/>
      <c r="H842" s="777"/>
      <c r="I842" s="687"/>
      <c r="J842" s="764"/>
      <c r="K842" s="838"/>
      <c r="L842" s="687"/>
      <c r="M842" s="775"/>
      <c r="N842" s="689"/>
      <c r="O842" s="764"/>
    </row>
    <row r="843">
      <c r="A843" s="764"/>
      <c r="B843" s="775"/>
      <c r="C843" s="764"/>
      <c r="D843" s="764"/>
      <c r="E843" s="839"/>
      <c r="F843" s="687"/>
      <c r="G843" s="775"/>
      <c r="H843" s="777"/>
      <c r="I843" s="687"/>
      <c r="J843" s="764"/>
      <c r="K843" s="838"/>
      <c r="L843" s="687"/>
      <c r="M843" s="775"/>
      <c r="N843" s="689"/>
      <c r="O843" s="764"/>
    </row>
    <row r="844">
      <c r="A844" s="764"/>
      <c r="B844" s="775"/>
      <c r="C844" s="764"/>
      <c r="D844" s="764"/>
      <c r="E844" s="839"/>
      <c r="F844" s="687"/>
      <c r="G844" s="775"/>
      <c r="H844" s="777"/>
      <c r="I844" s="687"/>
      <c r="J844" s="764"/>
      <c r="K844" s="838"/>
      <c r="L844" s="687"/>
      <c r="M844" s="775"/>
      <c r="N844" s="689"/>
      <c r="O844" s="764"/>
    </row>
    <row r="845">
      <c r="A845" s="764"/>
      <c r="B845" s="775"/>
      <c r="C845" s="764"/>
      <c r="D845" s="764"/>
      <c r="E845" s="839"/>
      <c r="F845" s="687"/>
      <c r="G845" s="775"/>
      <c r="H845" s="777"/>
      <c r="I845" s="687"/>
      <c r="J845" s="764"/>
      <c r="K845" s="838"/>
      <c r="L845" s="687"/>
      <c r="M845" s="775"/>
      <c r="N845" s="689"/>
      <c r="O845" s="764"/>
    </row>
    <row r="846">
      <c r="A846" s="764"/>
      <c r="B846" s="775"/>
      <c r="C846" s="764"/>
      <c r="D846" s="764"/>
      <c r="E846" s="839"/>
      <c r="F846" s="687"/>
      <c r="G846" s="775"/>
      <c r="H846" s="777"/>
      <c r="I846" s="687"/>
      <c r="J846" s="764"/>
      <c r="K846" s="838"/>
      <c r="L846" s="687"/>
      <c r="M846" s="775"/>
      <c r="N846" s="689"/>
      <c r="O846" s="764"/>
    </row>
    <row r="847">
      <c r="A847" s="764"/>
      <c r="B847" s="775"/>
      <c r="C847" s="764"/>
      <c r="D847" s="764"/>
      <c r="E847" s="839"/>
      <c r="F847" s="687"/>
      <c r="G847" s="775"/>
      <c r="H847" s="777"/>
      <c r="I847" s="687"/>
      <c r="J847" s="764"/>
      <c r="K847" s="838"/>
      <c r="L847" s="687"/>
      <c r="M847" s="775"/>
      <c r="N847" s="689"/>
      <c r="O847" s="764"/>
    </row>
    <row r="848">
      <c r="A848" s="764"/>
      <c r="B848" s="775"/>
      <c r="C848" s="764"/>
      <c r="D848" s="764"/>
      <c r="E848" s="839"/>
      <c r="F848" s="687"/>
      <c r="G848" s="775"/>
      <c r="H848" s="777"/>
      <c r="I848" s="687"/>
      <c r="J848" s="764"/>
      <c r="K848" s="838"/>
      <c r="L848" s="687"/>
      <c r="M848" s="775"/>
      <c r="N848" s="689"/>
      <c r="O848" s="764"/>
    </row>
    <row r="849">
      <c r="A849" s="764"/>
      <c r="B849" s="775"/>
      <c r="C849" s="764"/>
      <c r="D849" s="764"/>
      <c r="E849" s="839"/>
      <c r="F849" s="687"/>
      <c r="G849" s="775"/>
      <c r="H849" s="777"/>
      <c r="I849" s="687"/>
      <c r="J849" s="764"/>
      <c r="K849" s="838"/>
      <c r="L849" s="687"/>
      <c r="M849" s="775"/>
      <c r="N849" s="689"/>
      <c r="O849" s="764"/>
    </row>
    <row r="850">
      <c r="A850" s="764"/>
      <c r="B850" s="775"/>
      <c r="C850" s="764"/>
      <c r="D850" s="764"/>
      <c r="E850" s="839"/>
      <c r="F850" s="687"/>
      <c r="G850" s="775"/>
      <c r="H850" s="777"/>
      <c r="I850" s="687"/>
      <c r="J850" s="764"/>
      <c r="K850" s="838"/>
      <c r="L850" s="687"/>
      <c r="M850" s="775"/>
      <c r="N850" s="689"/>
      <c r="O850" s="764"/>
    </row>
    <row r="851">
      <c r="A851" s="764"/>
      <c r="B851" s="775"/>
      <c r="C851" s="764"/>
      <c r="D851" s="764"/>
      <c r="E851" s="839"/>
      <c r="F851" s="687"/>
      <c r="G851" s="775"/>
      <c r="H851" s="777"/>
      <c r="I851" s="687"/>
      <c r="J851" s="764"/>
      <c r="K851" s="838"/>
      <c r="L851" s="687"/>
      <c r="M851" s="775"/>
      <c r="N851" s="689"/>
      <c r="O851" s="764"/>
    </row>
    <row r="852">
      <c r="A852" s="764"/>
      <c r="B852" s="775"/>
      <c r="C852" s="764"/>
      <c r="D852" s="764"/>
      <c r="E852" s="839"/>
      <c r="F852" s="687"/>
      <c r="G852" s="775"/>
      <c r="H852" s="777"/>
      <c r="I852" s="687"/>
      <c r="J852" s="764"/>
      <c r="K852" s="838"/>
      <c r="L852" s="687"/>
      <c r="M852" s="775"/>
      <c r="N852" s="689"/>
      <c r="O852" s="764"/>
    </row>
    <row r="853">
      <c r="A853" s="764"/>
      <c r="B853" s="775"/>
      <c r="C853" s="764"/>
      <c r="D853" s="764"/>
      <c r="E853" s="839"/>
      <c r="F853" s="687"/>
      <c r="G853" s="775"/>
      <c r="H853" s="777"/>
      <c r="I853" s="687"/>
      <c r="J853" s="764"/>
      <c r="K853" s="838"/>
      <c r="L853" s="687"/>
      <c r="M853" s="775"/>
      <c r="N853" s="689"/>
      <c r="O853" s="764"/>
    </row>
    <row r="854">
      <c r="A854" s="764"/>
      <c r="B854" s="775"/>
      <c r="C854" s="764"/>
      <c r="D854" s="764"/>
      <c r="E854" s="839"/>
      <c r="F854" s="687"/>
      <c r="G854" s="775"/>
      <c r="H854" s="777"/>
      <c r="I854" s="687"/>
      <c r="J854" s="764"/>
      <c r="K854" s="838"/>
      <c r="L854" s="687"/>
      <c r="M854" s="775"/>
      <c r="N854" s="689"/>
      <c r="O854" s="764"/>
    </row>
    <row r="855">
      <c r="A855" s="764"/>
      <c r="B855" s="775"/>
      <c r="C855" s="764"/>
      <c r="D855" s="764"/>
      <c r="E855" s="839"/>
      <c r="F855" s="687"/>
      <c r="G855" s="775"/>
      <c r="H855" s="777"/>
      <c r="I855" s="687"/>
      <c r="J855" s="764"/>
      <c r="K855" s="838"/>
      <c r="L855" s="687"/>
      <c r="M855" s="775"/>
      <c r="N855" s="689"/>
      <c r="O855" s="764"/>
    </row>
    <row r="856">
      <c r="A856" s="764"/>
      <c r="B856" s="775"/>
      <c r="C856" s="764"/>
      <c r="D856" s="764"/>
      <c r="E856" s="839"/>
      <c r="F856" s="687"/>
      <c r="G856" s="775"/>
      <c r="H856" s="777"/>
      <c r="I856" s="687"/>
      <c r="J856" s="764"/>
      <c r="K856" s="838"/>
      <c r="L856" s="687"/>
      <c r="M856" s="775"/>
      <c r="N856" s="689"/>
      <c r="O856" s="764"/>
    </row>
    <row r="857">
      <c r="A857" s="764"/>
      <c r="B857" s="775"/>
      <c r="C857" s="764"/>
      <c r="D857" s="764"/>
      <c r="E857" s="839"/>
      <c r="F857" s="687"/>
      <c r="G857" s="775"/>
      <c r="H857" s="777"/>
      <c r="I857" s="687"/>
      <c r="J857" s="764"/>
      <c r="K857" s="838"/>
      <c r="L857" s="687"/>
      <c r="M857" s="775"/>
      <c r="N857" s="689"/>
      <c r="O857" s="764"/>
    </row>
    <row r="858">
      <c r="A858" s="764"/>
      <c r="B858" s="775"/>
      <c r="C858" s="764"/>
      <c r="D858" s="764"/>
      <c r="E858" s="839"/>
      <c r="F858" s="687"/>
      <c r="G858" s="775"/>
      <c r="H858" s="777"/>
      <c r="I858" s="687"/>
      <c r="J858" s="764"/>
      <c r="K858" s="838"/>
      <c r="L858" s="687"/>
      <c r="M858" s="775"/>
      <c r="N858" s="689"/>
      <c r="O858" s="764"/>
    </row>
    <row r="859">
      <c r="A859" s="764"/>
      <c r="B859" s="775"/>
      <c r="C859" s="764"/>
      <c r="D859" s="764"/>
      <c r="E859" s="839"/>
      <c r="F859" s="687"/>
      <c r="G859" s="775"/>
      <c r="H859" s="777"/>
      <c r="I859" s="687"/>
      <c r="J859" s="764"/>
      <c r="K859" s="838"/>
      <c r="L859" s="687"/>
      <c r="M859" s="775"/>
      <c r="N859" s="689"/>
      <c r="O859" s="764"/>
    </row>
    <row r="860">
      <c r="A860" s="764"/>
      <c r="B860" s="775"/>
      <c r="C860" s="764"/>
      <c r="D860" s="764"/>
      <c r="E860" s="839"/>
      <c r="F860" s="687"/>
      <c r="G860" s="775"/>
      <c r="H860" s="777"/>
      <c r="I860" s="687"/>
      <c r="J860" s="764"/>
      <c r="K860" s="838"/>
      <c r="L860" s="687"/>
      <c r="M860" s="775"/>
      <c r="N860" s="689"/>
      <c r="O860" s="764"/>
    </row>
    <row r="861">
      <c r="A861" s="764"/>
      <c r="B861" s="775"/>
      <c r="C861" s="764"/>
      <c r="D861" s="764"/>
      <c r="E861" s="839"/>
      <c r="F861" s="687"/>
      <c r="G861" s="775"/>
      <c r="H861" s="777"/>
      <c r="I861" s="687"/>
      <c r="J861" s="764"/>
      <c r="K861" s="838"/>
      <c r="L861" s="687"/>
      <c r="M861" s="775"/>
      <c r="N861" s="689"/>
      <c r="O861" s="764"/>
    </row>
    <row r="862">
      <c r="A862" s="764"/>
      <c r="B862" s="775"/>
      <c r="C862" s="764"/>
      <c r="D862" s="764"/>
      <c r="E862" s="839"/>
      <c r="F862" s="687"/>
      <c r="G862" s="775"/>
      <c r="H862" s="777"/>
      <c r="I862" s="687"/>
      <c r="J862" s="764"/>
      <c r="K862" s="838"/>
      <c r="L862" s="687"/>
      <c r="M862" s="775"/>
      <c r="N862" s="689"/>
      <c r="O862" s="764"/>
    </row>
    <row r="863">
      <c r="A863" s="764"/>
      <c r="B863" s="775"/>
      <c r="C863" s="764"/>
      <c r="D863" s="764"/>
      <c r="E863" s="839"/>
      <c r="F863" s="687"/>
      <c r="G863" s="775"/>
      <c r="H863" s="777"/>
      <c r="I863" s="687"/>
      <c r="J863" s="764"/>
      <c r="K863" s="838"/>
      <c r="L863" s="687"/>
      <c r="M863" s="775"/>
      <c r="N863" s="689"/>
      <c r="O863" s="764"/>
    </row>
    <row r="864">
      <c r="A864" s="764"/>
      <c r="B864" s="775"/>
      <c r="C864" s="764"/>
      <c r="D864" s="764"/>
      <c r="E864" s="839"/>
      <c r="F864" s="687"/>
      <c r="G864" s="775"/>
      <c r="H864" s="777"/>
      <c r="I864" s="687"/>
      <c r="J864" s="764"/>
      <c r="K864" s="838"/>
      <c r="L864" s="687"/>
      <c r="M864" s="775"/>
      <c r="N864" s="689"/>
      <c r="O864" s="764"/>
    </row>
    <row r="865">
      <c r="A865" s="764"/>
      <c r="B865" s="775"/>
      <c r="C865" s="764"/>
      <c r="D865" s="764"/>
      <c r="E865" s="839"/>
      <c r="F865" s="687"/>
      <c r="G865" s="775"/>
      <c r="H865" s="777"/>
      <c r="I865" s="687"/>
      <c r="J865" s="764"/>
      <c r="K865" s="838"/>
      <c r="L865" s="687"/>
      <c r="M865" s="775"/>
      <c r="N865" s="689"/>
      <c r="O865" s="764"/>
    </row>
    <row r="866">
      <c r="A866" s="764"/>
      <c r="B866" s="775"/>
      <c r="C866" s="764"/>
      <c r="D866" s="764"/>
      <c r="E866" s="839"/>
      <c r="F866" s="687"/>
      <c r="G866" s="775"/>
      <c r="H866" s="777"/>
      <c r="I866" s="687"/>
      <c r="J866" s="764"/>
      <c r="K866" s="838"/>
      <c r="L866" s="687"/>
      <c r="M866" s="775"/>
      <c r="N866" s="689"/>
      <c r="O866" s="764"/>
    </row>
    <row r="867">
      <c r="A867" s="764"/>
      <c r="B867" s="775"/>
      <c r="C867" s="764"/>
      <c r="D867" s="764"/>
      <c r="E867" s="839"/>
      <c r="F867" s="687"/>
      <c r="G867" s="775"/>
      <c r="H867" s="777"/>
      <c r="I867" s="687"/>
      <c r="J867" s="764"/>
      <c r="K867" s="838"/>
      <c r="L867" s="687"/>
      <c r="M867" s="775"/>
      <c r="N867" s="689"/>
      <c r="O867" s="764"/>
    </row>
    <row r="868">
      <c r="A868" s="764"/>
      <c r="B868" s="775"/>
      <c r="C868" s="764"/>
      <c r="D868" s="764"/>
      <c r="E868" s="839"/>
      <c r="F868" s="687"/>
      <c r="G868" s="775"/>
      <c r="H868" s="777"/>
      <c r="I868" s="687"/>
      <c r="J868" s="764"/>
      <c r="K868" s="838"/>
      <c r="L868" s="687"/>
      <c r="M868" s="775"/>
      <c r="N868" s="689"/>
      <c r="O868" s="764"/>
    </row>
    <row r="869">
      <c r="A869" s="764"/>
      <c r="B869" s="775"/>
      <c r="C869" s="764"/>
      <c r="D869" s="764"/>
      <c r="E869" s="839"/>
      <c r="F869" s="687"/>
      <c r="G869" s="775"/>
      <c r="H869" s="777"/>
      <c r="I869" s="687"/>
      <c r="J869" s="764"/>
      <c r="K869" s="838"/>
      <c r="L869" s="687"/>
      <c r="M869" s="775"/>
      <c r="N869" s="689"/>
      <c r="O869" s="764"/>
    </row>
    <row r="870">
      <c r="A870" s="764"/>
      <c r="B870" s="775"/>
      <c r="C870" s="764"/>
      <c r="D870" s="764"/>
      <c r="E870" s="839"/>
      <c r="F870" s="687"/>
      <c r="G870" s="775"/>
      <c r="H870" s="777"/>
      <c r="I870" s="687"/>
      <c r="J870" s="764"/>
      <c r="K870" s="838"/>
      <c r="L870" s="687"/>
      <c r="M870" s="775"/>
      <c r="N870" s="689"/>
      <c r="O870" s="764"/>
    </row>
    <row r="871">
      <c r="A871" s="764"/>
      <c r="B871" s="775"/>
      <c r="C871" s="764"/>
      <c r="D871" s="764"/>
      <c r="E871" s="839"/>
      <c r="F871" s="687"/>
      <c r="G871" s="775"/>
      <c r="H871" s="777"/>
      <c r="I871" s="687"/>
      <c r="J871" s="764"/>
      <c r="K871" s="838"/>
      <c r="L871" s="687"/>
      <c r="M871" s="775"/>
      <c r="N871" s="689"/>
      <c r="O871" s="764"/>
    </row>
    <row r="872">
      <c r="A872" s="764"/>
      <c r="B872" s="775"/>
      <c r="C872" s="764"/>
      <c r="D872" s="764"/>
      <c r="E872" s="839"/>
      <c r="F872" s="687"/>
      <c r="G872" s="775"/>
      <c r="H872" s="777"/>
      <c r="I872" s="687"/>
      <c r="J872" s="764"/>
      <c r="K872" s="838"/>
      <c r="L872" s="687"/>
      <c r="M872" s="775"/>
      <c r="N872" s="689"/>
      <c r="O872" s="764"/>
    </row>
    <row r="873">
      <c r="A873" s="764"/>
      <c r="B873" s="775"/>
      <c r="C873" s="764"/>
      <c r="D873" s="764"/>
      <c r="E873" s="839"/>
      <c r="F873" s="687"/>
      <c r="G873" s="775"/>
      <c r="H873" s="777"/>
      <c r="I873" s="687"/>
      <c r="J873" s="764"/>
      <c r="K873" s="838"/>
      <c r="L873" s="687"/>
      <c r="M873" s="775"/>
      <c r="N873" s="689"/>
      <c r="O873" s="764"/>
    </row>
    <row r="874">
      <c r="A874" s="764"/>
      <c r="B874" s="775"/>
      <c r="C874" s="764"/>
      <c r="D874" s="764"/>
      <c r="E874" s="839"/>
      <c r="F874" s="687"/>
      <c r="G874" s="775"/>
      <c r="H874" s="777"/>
      <c r="I874" s="687"/>
      <c r="J874" s="764"/>
      <c r="K874" s="838"/>
      <c r="L874" s="687"/>
      <c r="M874" s="775"/>
      <c r="N874" s="689"/>
      <c r="O874" s="764"/>
    </row>
    <row r="875">
      <c r="A875" s="764"/>
      <c r="B875" s="775"/>
      <c r="C875" s="764"/>
      <c r="D875" s="764"/>
      <c r="E875" s="839"/>
      <c r="F875" s="687"/>
      <c r="G875" s="775"/>
      <c r="H875" s="777"/>
      <c r="I875" s="687"/>
      <c r="J875" s="764"/>
      <c r="K875" s="838"/>
      <c r="L875" s="687"/>
      <c r="M875" s="775"/>
      <c r="N875" s="689"/>
      <c r="O875" s="764"/>
    </row>
    <row r="876">
      <c r="A876" s="764"/>
      <c r="B876" s="775"/>
      <c r="C876" s="764"/>
      <c r="D876" s="764"/>
      <c r="E876" s="839"/>
      <c r="F876" s="687"/>
      <c r="G876" s="775"/>
      <c r="H876" s="777"/>
      <c r="I876" s="687"/>
      <c r="J876" s="764"/>
      <c r="K876" s="838"/>
      <c r="L876" s="687"/>
      <c r="M876" s="775"/>
      <c r="N876" s="689"/>
      <c r="O876" s="764"/>
    </row>
    <row r="877">
      <c r="A877" s="764"/>
      <c r="B877" s="775"/>
      <c r="C877" s="764"/>
      <c r="D877" s="764"/>
      <c r="E877" s="839"/>
      <c r="F877" s="687"/>
      <c r="G877" s="775"/>
      <c r="H877" s="777"/>
      <c r="I877" s="687"/>
      <c r="J877" s="764"/>
      <c r="K877" s="838"/>
      <c r="L877" s="687"/>
      <c r="M877" s="775"/>
      <c r="N877" s="689"/>
      <c r="O877" s="764"/>
    </row>
    <row r="878">
      <c r="A878" s="764"/>
      <c r="B878" s="775"/>
      <c r="C878" s="764"/>
      <c r="D878" s="764"/>
      <c r="E878" s="839"/>
      <c r="F878" s="687"/>
      <c r="G878" s="775"/>
      <c r="H878" s="777"/>
      <c r="I878" s="687"/>
      <c r="J878" s="764"/>
      <c r="K878" s="838"/>
      <c r="L878" s="687"/>
      <c r="M878" s="775"/>
      <c r="N878" s="689"/>
      <c r="O878" s="764"/>
    </row>
    <row r="879">
      <c r="A879" s="764"/>
      <c r="B879" s="775"/>
      <c r="C879" s="764"/>
      <c r="D879" s="764"/>
      <c r="E879" s="839"/>
      <c r="F879" s="687"/>
      <c r="G879" s="775"/>
      <c r="H879" s="777"/>
      <c r="I879" s="687"/>
      <c r="J879" s="764"/>
      <c r="K879" s="838"/>
      <c r="L879" s="687"/>
      <c r="M879" s="775"/>
      <c r="N879" s="689"/>
      <c r="O879" s="764"/>
    </row>
    <row r="880">
      <c r="A880" s="764"/>
      <c r="B880" s="775"/>
      <c r="C880" s="764"/>
      <c r="D880" s="764"/>
      <c r="E880" s="839"/>
      <c r="F880" s="687"/>
      <c r="G880" s="775"/>
      <c r="H880" s="777"/>
      <c r="I880" s="687"/>
      <c r="J880" s="764"/>
      <c r="K880" s="838"/>
      <c r="L880" s="687"/>
      <c r="M880" s="775"/>
      <c r="N880" s="689"/>
      <c r="O880" s="764"/>
    </row>
    <row r="881">
      <c r="A881" s="764"/>
      <c r="B881" s="775"/>
      <c r="C881" s="764"/>
      <c r="D881" s="764"/>
      <c r="E881" s="839"/>
      <c r="F881" s="687"/>
      <c r="G881" s="775"/>
      <c r="H881" s="777"/>
      <c r="I881" s="687"/>
      <c r="J881" s="764"/>
      <c r="K881" s="838"/>
      <c r="L881" s="687"/>
      <c r="M881" s="775"/>
      <c r="N881" s="689"/>
      <c r="O881" s="764"/>
    </row>
    <row r="882">
      <c r="A882" s="764"/>
      <c r="B882" s="775"/>
      <c r="C882" s="764"/>
      <c r="D882" s="764"/>
      <c r="E882" s="839"/>
      <c r="F882" s="687"/>
      <c r="G882" s="775"/>
      <c r="H882" s="777"/>
      <c r="I882" s="687"/>
      <c r="J882" s="764"/>
      <c r="K882" s="838"/>
      <c r="L882" s="687"/>
      <c r="M882" s="775"/>
      <c r="N882" s="689"/>
      <c r="O882" s="764"/>
    </row>
    <row r="883">
      <c r="A883" s="764"/>
      <c r="B883" s="775"/>
      <c r="C883" s="764"/>
      <c r="D883" s="764"/>
      <c r="E883" s="839"/>
      <c r="F883" s="687"/>
      <c r="G883" s="775"/>
      <c r="H883" s="777"/>
      <c r="I883" s="687"/>
      <c r="J883" s="764"/>
      <c r="K883" s="838"/>
      <c r="L883" s="687"/>
      <c r="M883" s="775"/>
      <c r="N883" s="689"/>
      <c r="O883" s="764"/>
    </row>
    <row r="884">
      <c r="A884" s="764"/>
      <c r="B884" s="775"/>
      <c r="C884" s="764"/>
      <c r="D884" s="764"/>
      <c r="E884" s="839"/>
      <c r="F884" s="687"/>
      <c r="G884" s="775"/>
      <c r="H884" s="777"/>
      <c r="I884" s="687"/>
      <c r="J884" s="764"/>
      <c r="K884" s="838"/>
      <c r="L884" s="687"/>
      <c r="M884" s="775"/>
      <c r="N884" s="689"/>
      <c r="O884" s="764"/>
    </row>
    <row r="885">
      <c r="A885" s="764"/>
      <c r="B885" s="775"/>
      <c r="C885" s="764"/>
      <c r="D885" s="764"/>
      <c r="E885" s="839"/>
      <c r="F885" s="687"/>
      <c r="G885" s="775"/>
      <c r="H885" s="777"/>
      <c r="I885" s="687"/>
      <c r="J885" s="764"/>
      <c r="K885" s="838"/>
      <c r="L885" s="687"/>
      <c r="M885" s="775"/>
      <c r="N885" s="689"/>
      <c r="O885" s="764"/>
    </row>
    <row r="886">
      <c r="A886" s="764"/>
      <c r="B886" s="775"/>
      <c r="C886" s="764"/>
      <c r="D886" s="764"/>
      <c r="E886" s="839"/>
      <c r="F886" s="687"/>
      <c r="G886" s="775"/>
      <c r="H886" s="777"/>
      <c r="I886" s="687"/>
      <c r="J886" s="764"/>
      <c r="K886" s="838"/>
      <c r="L886" s="687"/>
      <c r="M886" s="775"/>
      <c r="N886" s="689"/>
      <c r="O886" s="764"/>
    </row>
    <row r="887">
      <c r="A887" s="764"/>
      <c r="B887" s="775"/>
      <c r="C887" s="764"/>
      <c r="D887" s="764"/>
      <c r="E887" s="839"/>
      <c r="F887" s="687"/>
      <c r="G887" s="775"/>
      <c r="H887" s="777"/>
      <c r="I887" s="687"/>
      <c r="J887" s="764"/>
      <c r="K887" s="838"/>
      <c r="L887" s="687"/>
      <c r="M887" s="775"/>
      <c r="N887" s="689"/>
      <c r="O887" s="764"/>
    </row>
    <row r="888">
      <c r="A888" s="764"/>
      <c r="B888" s="775"/>
      <c r="C888" s="764"/>
      <c r="D888" s="764"/>
      <c r="E888" s="839"/>
      <c r="F888" s="687"/>
      <c r="G888" s="775"/>
      <c r="H888" s="777"/>
      <c r="I888" s="687"/>
      <c r="J888" s="764"/>
      <c r="K888" s="838"/>
      <c r="L888" s="687"/>
      <c r="M888" s="775"/>
      <c r="N888" s="689"/>
      <c r="O888" s="764"/>
    </row>
    <row r="889">
      <c r="A889" s="764"/>
      <c r="B889" s="775"/>
      <c r="C889" s="764"/>
      <c r="D889" s="764"/>
      <c r="E889" s="839"/>
      <c r="F889" s="687"/>
      <c r="G889" s="775"/>
      <c r="H889" s="777"/>
      <c r="I889" s="687"/>
      <c r="J889" s="764"/>
      <c r="K889" s="838"/>
      <c r="L889" s="687"/>
      <c r="M889" s="775"/>
      <c r="N889" s="689"/>
      <c r="O889" s="764"/>
    </row>
    <row r="890">
      <c r="A890" s="764"/>
      <c r="B890" s="775"/>
      <c r="C890" s="764"/>
      <c r="D890" s="764"/>
      <c r="E890" s="839"/>
      <c r="F890" s="687"/>
      <c r="G890" s="775"/>
      <c r="H890" s="777"/>
      <c r="I890" s="687"/>
      <c r="J890" s="764"/>
      <c r="K890" s="838"/>
      <c r="L890" s="687"/>
      <c r="M890" s="775"/>
      <c r="N890" s="689"/>
      <c r="O890" s="764"/>
    </row>
    <row r="891">
      <c r="A891" s="764"/>
      <c r="B891" s="775"/>
      <c r="C891" s="764"/>
      <c r="D891" s="764"/>
      <c r="E891" s="839"/>
      <c r="F891" s="687"/>
      <c r="G891" s="775"/>
      <c r="H891" s="777"/>
      <c r="I891" s="687"/>
      <c r="J891" s="764"/>
      <c r="K891" s="838"/>
      <c r="L891" s="687"/>
      <c r="M891" s="775"/>
      <c r="N891" s="689"/>
      <c r="O891" s="764"/>
    </row>
    <row r="892">
      <c r="A892" s="764"/>
      <c r="B892" s="775"/>
      <c r="C892" s="764"/>
      <c r="D892" s="764"/>
      <c r="E892" s="839"/>
      <c r="F892" s="687"/>
      <c r="G892" s="775"/>
      <c r="H892" s="777"/>
      <c r="I892" s="687"/>
      <c r="J892" s="764"/>
      <c r="K892" s="838"/>
      <c r="L892" s="687"/>
      <c r="M892" s="775"/>
      <c r="N892" s="689"/>
      <c r="O892" s="764"/>
    </row>
    <row r="893">
      <c r="A893" s="764"/>
      <c r="B893" s="775"/>
      <c r="C893" s="764"/>
      <c r="D893" s="764"/>
      <c r="E893" s="839"/>
      <c r="F893" s="687"/>
      <c r="G893" s="775"/>
      <c r="H893" s="777"/>
      <c r="I893" s="687"/>
      <c r="J893" s="764"/>
      <c r="K893" s="838"/>
      <c r="L893" s="687"/>
      <c r="M893" s="775"/>
      <c r="N893" s="689"/>
      <c r="O893" s="764"/>
    </row>
    <row r="894">
      <c r="A894" s="764"/>
      <c r="B894" s="775"/>
      <c r="C894" s="764"/>
      <c r="D894" s="764"/>
      <c r="E894" s="839"/>
      <c r="F894" s="687"/>
      <c r="G894" s="775"/>
      <c r="H894" s="777"/>
      <c r="I894" s="687"/>
      <c r="J894" s="764"/>
      <c r="K894" s="838"/>
      <c r="L894" s="687"/>
      <c r="M894" s="775"/>
      <c r="N894" s="689"/>
      <c r="O894" s="764"/>
    </row>
    <row r="895">
      <c r="A895" s="764"/>
      <c r="B895" s="775"/>
      <c r="C895" s="764"/>
      <c r="D895" s="764"/>
      <c r="E895" s="839"/>
      <c r="F895" s="687"/>
      <c r="G895" s="775"/>
      <c r="H895" s="777"/>
      <c r="I895" s="687"/>
      <c r="J895" s="764"/>
      <c r="K895" s="838"/>
      <c r="L895" s="687"/>
      <c r="M895" s="775"/>
      <c r="N895" s="689"/>
      <c r="O895" s="764"/>
    </row>
    <row r="896">
      <c r="A896" s="764"/>
      <c r="B896" s="775"/>
      <c r="C896" s="764"/>
      <c r="D896" s="764"/>
      <c r="E896" s="839"/>
      <c r="F896" s="687"/>
      <c r="G896" s="775"/>
      <c r="H896" s="777"/>
      <c r="I896" s="687"/>
      <c r="J896" s="764"/>
      <c r="K896" s="838"/>
      <c r="L896" s="687"/>
      <c r="M896" s="775"/>
      <c r="N896" s="689"/>
      <c r="O896" s="764"/>
    </row>
    <row r="897">
      <c r="A897" s="764"/>
      <c r="B897" s="775"/>
      <c r="C897" s="764"/>
      <c r="D897" s="764"/>
      <c r="E897" s="839"/>
      <c r="F897" s="687"/>
      <c r="G897" s="775"/>
      <c r="H897" s="777"/>
      <c r="I897" s="687"/>
      <c r="J897" s="764"/>
      <c r="K897" s="838"/>
      <c r="L897" s="687"/>
      <c r="M897" s="775"/>
      <c r="N897" s="689"/>
      <c r="O897" s="764"/>
    </row>
    <row r="898">
      <c r="A898" s="764"/>
      <c r="B898" s="775"/>
      <c r="C898" s="764"/>
      <c r="D898" s="764"/>
      <c r="E898" s="839"/>
      <c r="F898" s="687"/>
      <c r="G898" s="775"/>
      <c r="H898" s="777"/>
      <c r="I898" s="687"/>
      <c r="J898" s="764"/>
      <c r="K898" s="838"/>
      <c r="L898" s="687"/>
      <c r="M898" s="775"/>
      <c r="N898" s="689"/>
      <c r="O898" s="764"/>
    </row>
    <row r="899">
      <c r="A899" s="764"/>
      <c r="B899" s="775"/>
      <c r="C899" s="764"/>
      <c r="D899" s="764"/>
      <c r="E899" s="839"/>
      <c r="F899" s="687"/>
      <c r="G899" s="775"/>
      <c r="H899" s="777"/>
      <c r="I899" s="687"/>
      <c r="J899" s="764"/>
      <c r="K899" s="838"/>
      <c r="L899" s="687"/>
      <c r="M899" s="775"/>
      <c r="N899" s="689"/>
      <c r="O899" s="764"/>
    </row>
    <row r="900">
      <c r="A900" s="764"/>
      <c r="B900" s="775"/>
      <c r="C900" s="764"/>
      <c r="D900" s="764"/>
      <c r="E900" s="839"/>
      <c r="F900" s="687"/>
      <c r="G900" s="775"/>
      <c r="H900" s="777"/>
      <c r="I900" s="687"/>
      <c r="J900" s="764"/>
      <c r="K900" s="838"/>
      <c r="L900" s="687"/>
      <c r="M900" s="775"/>
      <c r="N900" s="689"/>
      <c r="O900" s="764"/>
    </row>
    <row r="901">
      <c r="A901" s="764"/>
      <c r="B901" s="775"/>
      <c r="C901" s="764"/>
      <c r="D901" s="764"/>
      <c r="E901" s="839"/>
      <c r="F901" s="687"/>
      <c r="G901" s="775"/>
      <c r="H901" s="777"/>
      <c r="I901" s="687"/>
      <c r="J901" s="764"/>
      <c r="K901" s="838"/>
      <c r="L901" s="687"/>
      <c r="M901" s="775"/>
      <c r="N901" s="689"/>
      <c r="O901" s="764"/>
    </row>
    <row r="902">
      <c r="A902" s="764"/>
      <c r="B902" s="775"/>
      <c r="C902" s="764"/>
      <c r="D902" s="764"/>
      <c r="E902" s="839"/>
      <c r="F902" s="687"/>
      <c r="G902" s="775"/>
      <c r="H902" s="777"/>
      <c r="I902" s="687"/>
      <c r="J902" s="764"/>
      <c r="K902" s="838"/>
      <c r="L902" s="687"/>
      <c r="M902" s="775"/>
      <c r="N902" s="689"/>
      <c r="O902" s="764"/>
    </row>
    <row r="903">
      <c r="A903" s="764"/>
      <c r="B903" s="775"/>
      <c r="C903" s="764"/>
      <c r="D903" s="764"/>
      <c r="E903" s="839"/>
      <c r="F903" s="687"/>
      <c r="G903" s="775"/>
      <c r="H903" s="777"/>
      <c r="I903" s="687"/>
      <c r="J903" s="764"/>
      <c r="K903" s="838"/>
      <c r="L903" s="687"/>
      <c r="M903" s="775"/>
      <c r="N903" s="689"/>
      <c r="O903" s="764"/>
    </row>
    <row r="904">
      <c r="A904" s="764"/>
      <c r="B904" s="775"/>
      <c r="C904" s="764"/>
      <c r="D904" s="764"/>
      <c r="E904" s="839"/>
      <c r="F904" s="687"/>
      <c r="G904" s="775"/>
      <c r="H904" s="777"/>
      <c r="I904" s="687"/>
      <c r="J904" s="764"/>
      <c r="K904" s="838"/>
      <c r="L904" s="687"/>
      <c r="M904" s="775"/>
      <c r="N904" s="689"/>
      <c r="O904" s="764"/>
    </row>
    <row r="905">
      <c r="A905" s="764"/>
      <c r="B905" s="775"/>
      <c r="C905" s="764"/>
      <c r="D905" s="764"/>
      <c r="E905" s="839"/>
      <c r="F905" s="687"/>
      <c r="G905" s="775"/>
      <c r="H905" s="777"/>
      <c r="I905" s="687"/>
      <c r="J905" s="764"/>
      <c r="K905" s="838"/>
      <c r="L905" s="687"/>
      <c r="M905" s="775"/>
      <c r="N905" s="689"/>
      <c r="O905" s="764"/>
    </row>
    <row r="906">
      <c r="A906" s="764"/>
      <c r="B906" s="775"/>
      <c r="C906" s="764"/>
      <c r="D906" s="764"/>
      <c r="E906" s="839"/>
      <c r="F906" s="687"/>
      <c r="G906" s="775"/>
      <c r="H906" s="777"/>
      <c r="I906" s="687"/>
      <c r="J906" s="764"/>
      <c r="K906" s="838"/>
      <c r="L906" s="687"/>
      <c r="M906" s="775"/>
      <c r="N906" s="689"/>
      <c r="O906" s="764"/>
    </row>
    <row r="907">
      <c r="A907" s="764"/>
      <c r="B907" s="775"/>
      <c r="C907" s="764"/>
      <c r="D907" s="764"/>
      <c r="E907" s="839"/>
      <c r="F907" s="687"/>
      <c r="G907" s="775"/>
      <c r="H907" s="777"/>
      <c r="I907" s="687"/>
      <c r="J907" s="764"/>
      <c r="K907" s="838"/>
      <c r="L907" s="687"/>
      <c r="M907" s="775"/>
      <c r="N907" s="689"/>
      <c r="O907" s="764"/>
    </row>
    <row r="908">
      <c r="A908" s="764"/>
      <c r="B908" s="775"/>
      <c r="C908" s="764"/>
      <c r="D908" s="764"/>
      <c r="E908" s="839"/>
      <c r="F908" s="687"/>
      <c r="G908" s="775"/>
      <c r="H908" s="777"/>
      <c r="I908" s="687"/>
      <c r="J908" s="764"/>
      <c r="K908" s="838"/>
      <c r="L908" s="687"/>
      <c r="M908" s="775"/>
      <c r="N908" s="689"/>
      <c r="O908" s="764"/>
    </row>
    <row r="909">
      <c r="A909" s="764"/>
      <c r="B909" s="775"/>
      <c r="C909" s="764"/>
      <c r="D909" s="764"/>
      <c r="E909" s="839"/>
      <c r="F909" s="687"/>
      <c r="G909" s="775"/>
      <c r="H909" s="777"/>
      <c r="I909" s="687"/>
      <c r="J909" s="764"/>
      <c r="K909" s="838"/>
      <c r="L909" s="687"/>
      <c r="M909" s="775"/>
      <c r="N909" s="689"/>
      <c r="O909" s="764"/>
    </row>
    <row r="910">
      <c r="A910" s="764"/>
      <c r="B910" s="775"/>
      <c r="C910" s="764"/>
      <c r="D910" s="764"/>
      <c r="E910" s="839"/>
      <c r="F910" s="687"/>
      <c r="G910" s="775"/>
      <c r="H910" s="777"/>
      <c r="I910" s="687"/>
      <c r="J910" s="764"/>
      <c r="K910" s="838"/>
      <c r="L910" s="687"/>
      <c r="M910" s="775"/>
      <c r="N910" s="689"/>
      <c r="O910" s="764"/>
    </row>
    <row r="911">
      <c r="A911" s="764"/>
      <c r="B911" s="775"/>
      <c r="C911" s="764"/>
      <c r="D911" s="764"/>
      <c r="E911" s="839"/>
      <c r="F911" s="687"/>
      <c r="G911" s="775"/>
      <c r="H911" s="777"/>
      <c r="I911" s="687"/>
      <c r="J911" s="764"/>
      <c r="K911" s="838"/>
      <c r="L911" s="687"/>
      <c r="M911" s="775"/>
      <c r="N911" s="689"/>
      <c r="O911" s="764"/>
    </row>
    <row r="912">
      <c r="A912" s="764"/>
      <c r="B912" s="775"/>
      <c r="C912" s="764"/>
      <c r="D912" s="764"/>
      <c r="E912" s="839"/>
      <c r="F912" s="687"/>
      <c r="G912" s="775"/>
      <c r="H912" s="777"/>
      <c r="I912" s="687"/>
      <c r="J912" s="764"/>
      <c r="K912" s="838"/>
      <c r="L912" s="687"/>
      <c r="M912" s="775"/>
      <c r="N912" s="689"/>
      <c r="O912" s="764"/>
    </row>
    <row r="913">
      <c r="A913" s="764"/>
      <c r="B913" s="775"/>
      <c r="C913" s="764"/>
      <c r="D913" s="764"/>
      <c r="E913" s="839"/>
      <c r="F913" s="687"/>
      <c r="G913" s="775"/>
      <c r="H913" s="777"/>
      <c r="I913" s="687"/>
      <c r="J913" s="764"/>
      <c r="K913" s="838"/>
      <c r="L913" s="687"/>
      <c r="M913" s="775"/>
      <c r="N913" s="689"/>
      <c r="O913" s="764"/>
    </row>
    <row r="914">
      <c r="A914" s="764"/>
      <c r="B914" s="775"/>
      <c r="C914" s="764"/>
      <c r="D914" s="764"/>
      <c r="E914" s="839"/>
      <c r="F914" s="687"/>
      <c r="G914" s="775"/>
      <c r="H914" s="777"/>
      <c r="I914" s="687"/>
      <c r="J914" s="764"/>
      <c r="K914" s="838"/>
      <c r="L914" s="687"/>
      <c r="M914" s="775"/>
      <c r="N914" s="689"/>
      <c r="O914" s="764"/>
    </row>
    <row r="915">
      <c r="A915" s="764"/>
      <c r="B915" s="775"/>
      <c r="C915" s="764"/>
      <c r="D915" s="764"/>
      <c r="E915" s="839"/>
      <c r="F915" s="687"/>
      <c r="G915" s="775"/>
      <c r="H915" s="777"/>
      <c r="I915" s="687"/>
      <c r="J915" s="764"/>
      <c r="K915" s="838"/>
      <c r="L915" s="687"/>
      <c r="M915" s="775"/>
      <c r="N915" s="689"/>
      <c r="O915" s="764"/>
    </row>
    <row r="916">
      <c r="A916" s="764"/>
      <c r="B916" s="775"/>
      <c r="C916" s="764"/>
      <c r="D916" s="764"/>
      <c r="E916" s="839"/>
      <c r="F916" s="687"/>
      <c r="G916" s="775"/>
      <c r="H916" s="777"/>
      <c r="I916" s="687"/>
      <c r="J916" s="764"/>
      <c r="K916" s="838"/>
      <c r="L916" s="687"/>
      <c r="M916" s="775"/>
      <c r="N916" s="689"/>
      <c r="O916" s="764"/>
    </row>
    <row r="917">
      <c r="A917" s="764"/>
      <c r="B917" s="775"/>
      <c r="C917" s="764"/>
      <c r="D917" s="764"/>
      <c r="E917" s="839"/>
      <c r="F917" s="687"/>
      <c r="G917" s="775"/>
      <c r="H917" s="777"/>
      <c r="I917" s="687"/>
      <c r="J917" s="764"/>
      <c r="K917" s="838"/>
      <c r="L917" s="687"/>
      <c r="M917" s="775"/>
      <c r="N917" s="689"/>
      <c r="O917" s="764"/>
    </row>
    <row r="918">
      <c r="A918" s="764"/>
      <c r="B918" s="775"/>
      <c r="C918" s="764"/>
      <c r="D918" s="764"/>
      <c r="E918" s="839"/>
      <c r="F918" s="687"/>
      <c r="G918" s="775"/>
      <c r="H918" s="777"/>
      <c r="I918" s="687"/>
      <c r="J918" s="764"/>
      <c r="K918" s="838"/>
      <c r="L918" s="687"/>
      <c r="M918" s="775"/>
      <c r="N918" s="689"/>
      <c r="O918" s="764"/>
    </row>
    <row r="919">
      <c r="A919" s="764"/>
      <c r="B919" s="775"/>
      <c r="C919" s="764"/>
      <c r="D919" s="764"/>
      <c r="E919" s="839"/>
      <c r="F919" s="687"/>
      <c r="G919" s="775"/>
      <c r="H919" s="777"/>
      <c r="I919" s="687"/>
      <c r="J919" s="764"/>
      <c r="K919" s="838"/>
      <c r="L919" s="687"/>
      <c r="M919" s="775"/>
      <c r="N919" s="689"/>
      <c r="O919" s="764"/>
    </row>
    <row r="920">
      <c r="A920" s="764"/>
      <c r="B920" s="775"/>
      <c r="C920" s="764"/>
      <c r="D920" s="764"/>
      <c r="E920" s="839"/>
      <c r="F920" s="687"/>
      <c r="G920" s="775"/>
      <c r="H920" s="777"/>
      <c r="I920" s="687"/>
      <c r="J920" s="764"/>
      <c r="K920" s="838"/>
      <c r="L920" s="687"/>
      <c r="M920" s="775"/>
      <c r="N920" s="689"/>
      <c r="O920" s="764"/>
    </row>
    <row r="921">
      <c r="A921" s="764"/>
      <c r="B921" s="775"/>
      <c r="C921" s="764"/>
      <c r="D921" s="764"/>
      <c r="E921" s="839"/>
      <c r="F921" s="687"/>
      <c r="G921" s="775"/>
      <c r="H921" s="777"/>
      <c r="I921" s="687"/>
      <c r="J921" s="764"/>
      <c r="K921" s="838"/>
      <c r="L921" s="687"/>
      <c r="M921" s="775"/>
      <c r="N921" s="689"/>
      <c r="O921" s="764"/>
    </row>
    <row r="922">
      <c r="A922" s="764"/>
      <c r="B922" s="775"/>
      <c r="C922" s="764"/>
      <c r="D922" s="764"/>
      <c r="E922" s="839"/>
      <c r="F922" s="687"/>
      <c r="G922" s="775"/>
      <c r="H922" s="777"/>
      <c r="I922" s="687"/>
      <c r="J922" s="764"/>
      <c r="K922" s="838"/>
      <c r="L922" s="687"/>
      <c r="M922" s="775"/>
      <c r="N922" s="689"/>
      <c r="O922" s="764"/>
    </row>
    <row r="923">
      <c r="A923" s="764"/>
      <c r="B923" s="775"/>
      <c r="C923" s="764"/>
      <c r="D923" s="764"/>
      <c r="E923" s="839"/>
      <c r="F923" s="687"/>
      <c r="G923" s="775"/>
      <c r="H923" s="777"/>
      <c r="I923" s="687"/>
      <c r="J923" s="764"/>
      <c r="K923" s="838"/>
      <c r="L923" s="687"/>
      <c r="M923" s="775"/>
      <c r="N923" s="689"/>
      <c r="O923" s="764"/>
    </row>
    <row r="924">
      <c r="A924" s="764"/>
      <c r="B924" s="775"/>
      <c r="C924" s="764"/>
      <c r="D924" s="764"/>
      <c r="E924" s="839"/>
      <c r="F924" s="687"/>
      <c r="G924" s="775"/>
      <c r="H924" s="777"/>
      <c r="I924" s="687"/>
      <c r="J924" s="764"/>
      <c r="K924" s="838"/>
      <c r="L924" s="687"/>
      <c r="M924" s="775"/>
      <c r="N924" s="689"/>
      <c r="O924" s="764"/>
    </row>
    <row r="925">
      <c r="A925" s="764"/>
      <c r="B925" s="775"/>
      <c r="C925" s="764"/>
      <c r="D925" s="764"/>
      <c r="E925" s="839"/>
      <c r="F925" s="687"/>
      <c r="G925" s="775"/>
      <c r="H925" s="777"/>
      <c r="I925" s="687"/>
      <c r="J925" s="764"/>
      <c r="K925" s="838"/>
      <c r="L925" s="687"/>
      <c r="M925" s="775"/>
      <c r="N925" s="689"/>
      <c r="O925" s="764"/>
    </row>
    <row r="926">
      <c r="A926" s="764"/>
      <c r="B926" s="775"/>
      <c r="C926" s="764"/>
      <c r="D926" s="764"/>
      <c r="E926" s="839"/>
      <c r="F926" s="687"/>
      <c r="G926" s="775"/>
      <c r="H926" s="777"/>
      <c r="I926" s="687"/>
      <c r="J926" s="764"/>
      <c r="K926" s="838"/>
      <c r="L926" s="687"/>
      <c r="M926" s="775"/>
      <c r="N926" s="689"/>
      <c r="O926" s="764"/>
    </row>
    <row r="927">
      <c r="A927" s="764"/>
      <c r="B927" s="775"/>
      <c r="C927" s="764"/>
      <c r="D927" s="764"/>
      <c r="E927" s="839"/>
      <c r="F927" s="687"/>
      <c r="G927" s="775"/>
      <c r="H927" s="777"/>
      <c r="I927" s="687"/>
      <c r="J927" s="764"/>
      <c r="K927" s="838"/>
      <c r="L927" s="687"/>
      <c r="M927" s="775"/>
      <c r="N927" s="689"/>
      <c r="O927" s="764"/>
    </row>
    <row r="928">
      <c r="A928" s="764"/>
      <c r="B928" s="775"/>
      <c r="C928" s="764"/>
      <c r="D928" s="764"/>
      <c r="E928" s="839"/>
      <c r="F928" s="687"/>
      <c r="G928" s="775"/>
      <c r="H928" s="777"/>
      <c r="I928" s="687"/>
      <c r="J928" s="764"/>
      <c r="K928" s="838"/>
      <c r="L928" s="687"/>
      <c r="M928" s="775"/>
      <c r="N928" s="689"/>
      <c r="O928" s="764"/>
    </row>
    <row r="929">
      <c r="A929" s="764"/>
      <c r="B929" s="775"/>
      <c r="C929" s="764"/>
      <c r="D929" s="764"/>
      <c r="E929" s="839"/>
      <c r="F929" s="687"/>
      <c r="G929" s="775"/>
      <c r="H929" s="777"/>
      <c r="I929" s="687"/>
      <c r="J929" s="764"/>
      <c r="K929" s="838"/>
      <c r="L929" s="687"/>
      <c r="M929" s="775"/>
      <c r="N929" s="689"/>
      <c r="O929" s="764"/>
    </row>
    <row r="930">
      <c r="A930" s="764"/>
      <c r="B930" s="775"/>
      <c r="C930" s="764"/>
      <c r="D930" s="764"/>
      <c r="E930" s="839"/>
      <c r="F930" s="687"/>
      <c r="G930" s="775"/>
      <c r="H930" s="777"/>
      <c r="I930" s="687"/>
      <c r="J930" s="764"/>
      <c r="K930" s="838"/>
      <c r="L930" s="687"/>
      <c r="M930" s="775"/>
      <c r="N930" s="689"/>
      <c r="O930" s="764"/>
    </row>
    <row r="931">
      <c r="A931" s="764"/>
      <c r="B931" s="775"/>
      <c r="C931" s="764"/>
      <c r="D931" s="764"/>
      <c r="E931" s="839"/>
      <c r="F931" s="687"/>
      <c r="G931" s="775"/>
      <c r="H931" s="777"/>
      <c r="I931" s="687"/>
      <c r="J931" s="764"/>
      <c r="K931" s="838"/>
      <c r="L931" s="687"/>
      <c r="M931" s="775"/>
      <c r="N931" s="689"/>
      <c r="O931" s="764"/>
    </row>
    <row r="932">
      <c r="A932" s="764"/>
      <c r="B932" s="775"/>
      <c r="C932" s="764"/>
      <c r="D932" s="764"/>
      <c r="E932" s="839"/>
      <c r="F932" s="687"/>
      <c r="G932" s="775"/>
      <c r="H932" s="777"/>
      <c r="I932" s="687"/>
      <c r="J932" s="764"/>
      <c r="K932" s="838"/>
      <c r="L932" s="687"/>
      <c r="M932" s="775"/>
      <c r="N932" s="689"/>
      <c r="O932" s="764"/>
    </row>
    <row r="933">
      <c r="A933" s="764"/>
      <c r="B933" s="775"/>
      <c r="C933" s="764"/>
      <c r="D933" s="764"/>
      <c r="E933" s="839"/>
      <c r="F933" s="687"/>
      <c r="G933" s="775"/>
      <c r="H933" s="777"/>
      <c r="I933" s="687"/>
      <c r="J933" s="764"/>
      <c r="K933" s="838"/>
      <c r="L933" s="687"/>
      <c r="M933" s="775"/>
      <c r="N933" s="689"/>
      <c r="O933" s="764"/>
    </row>
    <row r="934">
      <c r="A934" s="764"/>
      <c r="B934" s="775"/>
      <c r="C934" s="764"/>
      <c r="D934" s="764"/>
      <c r="E934" s="839"/>
      <c r="F934" s="687"/>
      <c r="G934" s="775"/>
      <c r="H934" s="777"/>
      <c r="I934" s="687"/>
      <c r="J934" s="764"/>
      <c r="K934" s="838"/>
      <c r="L934" s="687"/>
      <c r="M934" s="775"/>
      <c r="N934" s="689"/>
      <c r="O934" s="764"/>
    </row>
    <row r="935">
      <c r="A935" s="764"/>
      <c r="B935" s="775"/>
      <c r="C935" s="764"/>
      <c r="D935" s="764"/>
      <c r="E935" s="839"/>
      <c r="F935" s="687"/>
      <c r="G935" s="775"/>
      <c r="H935" s="777"/>
      <c r="I935" s="687"/>
      <c r="J935" s="764"/>
      <c r="K935" s="838"/>
      <c r="L935" s="687"/>
      <c r="M935" s="775"/>
      <c r="N935" s="689"/>
      <c r="O935" s="764"/>
    </row>
    <row r="936">
      <c r="A936" s="764"/>
      <c r="B936" s="775"/>
      <c r="C936" s="764"/>
      <c r="D936" s="764"/>
      <c r="E936" s="839"/>
      <c r="F936" s="687"/>
      <c r="G936" s="775"/>
      <c r="H936" s="777"/>
      <c r="I936" s="687"/>
      <c r="J936" s="764"/>
      <c r="K936" s="838"/>
      <c r="L936" s="687"/>
      <c r="M936" s="775"/>
      <c r="N936" s="689"/>
      <c r="O936" s="764"/>
    </row>
    <row r="937">
      <c r="A937" s="764"/>
      <c r="B937" s="775"/>
      <c r="C937" s="764"/>
      <c r="D937" s="764"/>
      <c r="E937" s="839"/>
      <c r="F937" s="687"/>
      <c r="G937" s="775"/>
      <c r="H937" s="777"/>
      <c r="I937" s="687"/>
      <c r="J937" s="764"/>
      <c r="K937" s="838"/>
      <c r="L937" s="687"/>
      <c r="M937" s="775"/>
      <c r="N937" s="689"/>
      <c r="O937" s="764"/>
    </row>
    <row r="938">
      <c r="A938" s="764"/>
      <c r="B938" s="775"/>
      <c r="C938" s="764"/>
      <c r="D938" s="764"/>
      <c r="E938" s="839"/>
      <c r="F938" s="687"/>
      <c r="G938" s="775"/>
      <c r="H938" s="777"/>
      <c r="I938" s="687"/>
      <c r="J938" s="764"/>
      <c r="K938" s="838"/>
      <c r="L938" s="687"/>
      <c r="M938" s="775"/>
      <c r="N938" s="689"/>
      <c r="O938" s="764"/>
    </row>
    <row r="939">
      <c r="A939" s="764"/>
      <c r="B939" s="775"/>
      <c r="C939" s="764"/>
      <c r="D939" s="764"/>
      <c r="E939" s="839"/>
      <c r="F939" s="687"/>
      <c r="G939" s="775"/>
      <c r="H939" s="777"/>
      <c r="I939" s="687"/>
      <c r="J939" s="764"/>
      <c r="K939" s="838"/>
      <c r="L939" s="687"/>
      <c r="M939" s="775"/>
      <c r="N939" s="689"/>
      <c r="O939" s="764"/>
    </row>
    <row r="940">
      <c r="A940" s="764"/>
      <c r="B940" s="775"/>
      <c r="C940" s="764"/>
      <c r="D940" s="764"/>
      <c r="E940" s="839"/>
      <c r="F940" s="687"/>
      <c r="G940" s="775"/>
      <c r="H940" s="777"/>
      <c r="I940" s="687"/>
      <c r="J940" s="764"/>
      <c r="K940" s="838"/>
      <c r="L940" s="687"/>
      <c r="M940" s="775"/>
      <c r="N940" s="689"/>
      <c r="O940" s="764"/>
    </row>
    <row r="941">
      <c r="A941" s="764"/>
      <c r="B941" s="775"/>
      <c r="C941" s="764"/>
      <c r="D941" s="764"/>
      <c r="E941" s="839"/>
      <c r="F941" s="687"/>
      <c r="G941" s="775"/>
      <c r="H941" s="777"/>
      <c r="I941" s="687"/>
      <c r="J941" s="764"/>
      <c r="K941" s="838"/>
      <c r="L941" s="687"/>
      <c r="M941" s="775"/>
      <c r="N941" s="689"/>
      <c r="O941" s="764"/>
    </row>
    <row r="942">
      <c r="A942" s="764"/>
      <c r="B942" s="775"/>
      <c r="C942" s="764"/>
      <c r="D942" s="764"/>
      <c r="E942" s="839"/>
      <c r="F942" s="687"/>
      <c r="G942" s="775"/>
      <c r="H942" s="777"/>
      <c r="I942" s="687"/>
      <c r="J942" s="764"/>
      <c r="K942" s="838"/>
      <c r="L942" s="687"/>
      <c r="M942" s="775"/>
      <c r="N942" s="689"/>
      <c r="O942" s="764"/>
    </row>
    <row r="943">
      <c r="A943" s="764"/>
      <c r="B943" s="775"/>
      <c r="C943" s="764"/>
      <c r="D943" s="764"/>
      <c r="E943" s="839"/>
      <c r="F943" s="687"/>
      <c r="G943" s="775"/>
      <c r="H943" s="777"/>
      <c r="I943" s="687"/>
      <c r="J943" s="764"/>
      <c r="K943" s="838"/>
      <c r="L943" s="687"/>
      <c r="M943" s="775"/>
      <c r="N943" s="689"/>
      <c r="O943" s="764"/>
    </row>
    <row r="944">
      <c r="A944" s="764"/>
      <c r="B944" s="775"/>
      <c r="C944" s="764"/>
      <c r="D944" s="764"/>
      <c r="E944" s="839"/>
      <c r="F944" s="687"/>
      <c r="G944" s="775"/>
      <c r="H944" s="777"/>
      <c r="I944" s="687"/>
      <c r="J944" s="764"/>
      <c r="K944" s="838"/>
      <c r="L944" s="687"/>
      <c r="M944" s="775"/>
      <c r="N944" s="689"/>
      <c r="O944" s="764"/>
    </row>
    <row r="945">
      <c r="A945" s="764"/>
      <c r="B945" s="775"/>
      <c r="C945" s="764"/>
      <c r="D945" s="764"/>
      <c r="E945" s="839"/>
      <c r="F945" s="687"/>
      <c r="G945" s="775"/>
      <c r="H945" s="777"/>
      <c r="I945" s="687"/>
      <c r="J945" s="764"/>
      <c r="K945" s="838"/>
      <c r="L945" s="687"/>
      <c r="M945" s="775"/>
      <c r="N945" s="689"/>
      <c r="O945" s="764"/>
    </row>
    <row r="946">
      <c r="A946" s="764"/>
      <c r="B946" s="775"/>
      <c r="C946" s="764"/>
      <c r="D946" s="764"/>
      <c r="E946" s="839"/>
      <c r="F946" s="687"/>
      <c r="G946" s="775"/>
      <c r="H946" s="777"/>
      <c r="I946" s="687"/>
      <c r="J946" s="764"/>
      <c r="K946" s="838"/>
      <c r="L946" s="687"/>
      <c r="M946" s="775"/>
      <c r="N946" s="689"/>
      <c r="O946" s="764"/>
    </row>
    <row r="947">
      <c r="A947" s="764"/>
      <c r="B947" s="775"/>
      <c r="C947" s="764"/>
      <c r="D947" s="764"/>
      <c r="E947" s="839"/>
      <c r="F947" s="687"/>
      <c r="G947" s="775"/>
      <c r="H947" s="777"/>
      <c r="I947" s="687"/>
      <c r="J947" s="764"/>
      <c r="K947" s="838"/>
      <c r="L947" s="687"/>
      <c r="M947" s="775"/>
      <c r="N947" s="689"/>
      <c r="O947" s="764"/>
    </row>
    <row r="948">
      <c r="A948" s="764"/>
      <c r="B948" s="775"/>
      <c r="C948" s="764"/>
      <c r="D948" s="764"/>
      <c r="E948" s="839"/>
      <c r="F948" s="687"/>
      <c r="G948" s="775"/>
      <c r="H948" s="777"/>
      <c r="I948" s="687"/>
      <c r="J948" s="764"/>
      <c r="K948" s="838"/>
      <c r="L948" s="687"/>
      <c r="M948" s="775"/>
      <c r="N948" s="689"/>
      <c r="O948" s="764"/>
    </row>
    <row r="949">
      <c r="A949" s="764"/>
      <c r="B949" s="775"/>
      <c r="C949" s="764"/>
      <c r="D949" s="764"/>
      <c r="E949" s="839"/>
      <c r="F949" s="687"/>
      <c r="G949" s="775"/>
      <c r="H949" s="777"/>
      <c r="I949" s="687"/>
      <c r="J949" s="764"/>
      <c r="K949" s="838"/>
      <c r="L949" s="687"/>
      <c r="M949" s="775"/>
      <c r="N949" s="689"/>
      <c r="O949" s="764"/>
    </row>
    <row r="950">
      <c r="A950" s="764"/>
      <c r="B950" s="775"/>
      <c r="C950" s="764"/>
      <c r="D950" s="764"/>
      <c r="E950" s="839"/>
      <c r="F950" s="687"/>
      <c r="G950" s="775"/>
      <c r="H950" s="777"/>
      <c r="I950" s="687"/>
      <c r="J950" s="764"/>
      <c r="K950" s="838"/>
      <c r="L950" s="687"/>
      <c r="M950" s="775"/>
      <c r="N950" s="689"/>
      <c r="O950" s="764"/>
    </row>
    <row r="951">
      <c r="A951" s="764"/>
      <c r="B951" s="775"/>
      <c r="C951" s="764"/>
      <c r="D951" s="764"/>
      <c r="E951" s="839"/>
      <c r="F951" s="687"/>
      <c r="G951" s="775"/>
      <c r="H951" s="777"/>
      <c r="I951" s="687"/>
      <c r="J951" s="764"/>
      <c r="K951" s="838"/>
      <c r="L951" s="687"/>
      <c r="M951" s="775"/>
      <c r="N951" s="689"/>
      <c r="O951" s="764"/>
    </row>
    <row r="952">
      <c r="A952" s="764"/>
      <c r="B952" s="775"/>
      <c r="C952" s="764"/>
      <c r="D952" s="764"/>
      <c r="E952" s="839"/>
      <c r="F952" s="687"/>
      <c r="G952" s="775"/>
      <c r="H952" s="777"/>
      <c r="I952" s="687"/>
      <c r="J952" s="764"/>
      <c r="K952" s="838"/>
      <c r="L952" s="687"/>
      <c r="M952" s="775"/>
      <c r="N952" s="689"/>
      <c r="O952" s="764"/>
    </row>
    <row r="953">
      <c r="A953" s="764"/>
      <c r="B953" s="775"/>
      <c r="C953" s="764"/>
      <c r="D953" s="764"/>
      <c r="E953" s="839"/>
      <c r="F953" s="687"/>
      <c r="G953" s="775"/>
      <c r="H953" s="777"/>
      <c r="I953" s="687"/>
      <c r="J953" s="764"/>
      <c r="K953" s="838"/>
      <c r="L953" s="687"/>
      <c r="M953" s="775"/>
      <c r="N953" s="689"/>
      <c r="O953" s="764"/>
    </row>
    <row r="954">
      <c r="A954" s="764"/>
      <c r="B954" s="775"/>
      <c r="C954" s="764"/>
      <c r="D954" s="764"/>
      <c r="E954" s="839"/>
      <c r="F954" s="687"/>
      <c r="G954" s="775"/>
      <c r="H954" s="777"/>
      <c r="I954" s="687"/>
      <c r="J954" s="764"/>
      <c r="K954" s="838"/>
      <c r="L954" s="687"/>
      <c r="M954" s="775"/>
      <c r="N954" s="689"/>
      <c r="O954" s="764"/>
    </row>
    <row r="955">
      <c r="A955" s="764"/>
      <c r="B955" s="775"/>
      <c r="C955" s="764"/>
      <c r="D955" s="764"/>
      <c r="E955" s="839"/>
      <c r="F955" s="687"/>
      <c r="G955" s="775"/>
      <c r="H955" s="777"/>
      <c r="I955" s="687"/>
      <c r="J955" s="764"/>
      <c r="K955" s="838"/>
      <c r="L955" s="687"/>
      <c r="M955" s="775"/>
      <c r="N955" s="689"/>
      <c r="O955" s="764"/>
    </row>
    <row r="956">
      <c r="A956" s="764"/>
      <c r="B956" s="775"/>
      <c r="C956" s="764"/>
      <c r="D956" s="764"/>
      <c r="E956" s="839"/>
      <c r="F956" s="687"/>
      <c r="G956" s="775"/>
      <c r="H956" s="777"/>
      <c r="I956" s="687"/>
      <c r="J956" s="764"/>
      <c r="K956" s="838"/>
      <c r="L956" s="687"/>
      <c r="M956" s="775"/>
      <c r="N956" s="689"/>
      <c r="O956" s="764"/>
    </row>
    <row r="957">
      <c r="A957" s="764"/>
      <c r="B957" s="775"/>
      <c r="C957" s="764"/>
      <c r="D957" s="764"/>
      <c r="E957" s="839"/>
      <c r="F957" s="687"/>
      <c r="G957" s="775"/>
      <c r="H957" s="777"/>
      <c r="I957" s="687"/>
      <c r="J957" s="764"/>
      <c r="K957" s="838"/>
      <c r="L957" s="687"/>
      <c r="M957" s="775"/>
      <c r="N957" s="689"/>
      <c r="O957" s="764"/>
    </row>
    <row r="958">
      <c r="A958" s="764"/>
      <c r="B958" s="775"/>
      <c r="C958" s="764"/>
      <c r="D958" s="764"/>
      <c r="E958" s="839"/>
      <c r="F958" s="687"/>
      <c r="G958" s="775"/>
      <c r="H958" s="777"/>
      <c r="I958" s="687"/>
      <c r="J958" s="764"/>
      <c r="K958" s="838"/>
      <c r="L958" s="687"/>
      <c r="M958" s="775"/>
      <c r="N958" s="689"/>
      <c r="O958" s="764"/>
    </row>
    <row r="959">
      <c r="A959" s="764"/>
      <c r="B959" s="775"/>
      <c r="C959" s="764"/>
      <c r="D959" s="764"/>
      <c r="E959" s="839"/>
      <c r="F959" s="687"/>
      <c r="G959" s="775"/>
      <c r="H959" s="777"/>
      <c r="I959" s="687"/>
      <c r="J959" s="764"/>
      <c r="K959" s="838"/>
      <c r="L959" s="687"/>
      <c r="M959" s="775"/>
      <c r="N959" s="689"/>
      <c r="O959" s="764"/>
    </row>
    <row r="960">
      <c r="A960" s="764"/>
      <c r="B960" s="775"/>
      <c r="C960" s="764"/>
      <c r="D960" s="764"/>
      <c r="E960" s="839"/>
      <c r="F960" s="687"/>
      <c r="G960" s="775"/>
      <c r="H960" s="777"/>
      <c r="I960" s="687"/>
      <c r="J960" s="764"/>
      <c r="K960" s="838"/>
      <c r="L960" s="687"/>
      <c r="M960" s="775"/>
      <c r="N960" s="689"/>
      <c r="O960" s="764"/>
    </row>
    <row r="961">
      <c r="A961" s="764"/>
      <c r="B961" s="775"/>
      <c r="C961" s="764"/>
      <c r="D961" s="764"/>
      <c r="E961" s="839"/>
      <c r="F961" s="687"/>
      <c r="G961" s="775"/>
      <c r="H961" s="777"/>
      <c r="I961" s="687"/>
      <c r="J961" s="764"/>
      <c r="K961" s="838"/>
      <c r="L961" s="687"/>
      <c r="M961" s="775"/>
      <c r="N961" s="689"/>
      <c r="O961" s="764"/>
    </row>
    <row r="962">
      <c r="A962" s="764"/>
      <c r="B962" s="775"/>
      <c r="C962" s="764"/>
      <c r="D962" s="764"/>
      <c r="E962" s="839"/>
      <c r="F962" s="687"/>
      <c r="G962" s="775"/>
      <c r="H962" s="777"/>
      <c r="I962" s="687"/>
      <c r="J962" s="764"/>
      <c r="K962" s="838"/>
      <c r="L962" s="687"/>
      <c r="M962" s="775"/>
      <c r="N962" s="689"/>
      <c r="O962" s="764"/>
    </row>
    <row r="963">
      <c r="A963" s="764"/>
      <c r="B963" s="775"/>
      <c r="C963" s="764"/>
      <c r="D963" s="764"/>
      <c r="E963" s="839"/>
      <c r="F963" s="687"/>
      <c r="G963" s="775"/>
      <c r="H963" s="777"/>
      <c r="I963" s="687"/>
      <c r="J963" s="764"/>
      <c r="K963" s="838"/>
      <c r="L963" s="687"/>
      <c r="M963" s="775"/>
      <c r="N963" s="689"/>
      <c r="O963" s="764"/>
    </row>
    <row r="964">
      <c r="A964" s="764"/>
      <c r="B964" s="775"/>
      <c r="C964" s="764"/>
      <c r="D964" s="764"/>
      <c r="E964" s="839"/>
      <c r="F964" s="687"/>
      <c r="G964" s="775"/>
      <c r="H964" s="777"/>
      <c r="I964" s="687"/>
      <c r="J964" s="764"/>
      <c r="K964" s="838"/>
      <c r="L964" s="687"/>
      <c r="M964" s="775"/>
      <c r="N964" s="689"/>
      <c r="O964" s="764"/>
    </row>
    <row r="965">
      <c r="A965" s="764"/>
      <c r="B965" s="775"/>
      <c r="C965" s="764"/>
      <c r="D965" s="764"/>
      <c r="E965" s="839"/>
      <c r="F965" s="687"/>
      <c r="G965" s="775"/>
      <c r="H965" s="777"/>
      <c r="I965" s="687"/>
      <c r="J965" s="764"/>
      <c r="K965" s="838"/>
      <c r="L965" s="687"/>
      <c r="M965" s="775"/>
      <c r="N965" s="689"/>
      <c r="O965" s="764"/>
    </row>
    <row r="966">
      <c r="A966" s="764"/>
      <c r="B966" s="775"/>
      <c r="C966" s="764"/>
      <c r="D966" s="764"/>
      <c r="E966" s="839"/>
      <c r="F966" s="687"/>
      <c r="G966" s="775"/>
      <c r="H966" s="777"/>
      <c r="I966" s="687"/>
      <c r="J966" s="764"/>
      <c r="K966" s="838"/>
      <c r="L966" s="687"/>
      <c r="M966" s="775"/>
      <c r="N966" s="689"/>
      <c r="O966" s="764"/>
    </row>
    <row r="967">
      <c r="A967" s="764"/>
      <c r="B967" s="775"/>
      <c r="C967" s="764"/>
      <c r="D967" s="764"/>
      <c r="E967" s="839"/>
      <c r="F967" s="687"/>
      <c r="G967" s="775"/>
      <c r="H967" s="777"/>
      <c r="I967" s="687"/>
      <c r="J967" s="764"/>
      <c r="K967" s="838"/>
      <c r="L967" s="687"/>
      <c r="M967" s="775"/>
      <c r="N967" s="689"/>
      <c r="O967" s="764"/>
    </row>
    <row r="968">
      <c r="A968" s="764"/>
      <c r="B968" s="775"/>
      <c r="C968" s="764"/>
      <c r="D968" s="764"/>
      <c r="E968" s="839"/>
      <c r="F968" s="687"/>
      <c r="G968" s="775"/>
      <c r="H968" s="777"/>
      <c r="I968" s="687"/>
      <c r="J968" s="764"/>
      <c r="K968" s="838"/>
      <c r="L968" s="687"/>
      <c r="M968" s="775"/>
      <c r="N968" s="689"/>
      <c r="O968" s="764"/>
    </row>
    <row r="969">
      <c r="A969" s="764"/>
      <c r="B969" s="775"/>
      <c r="C969" s="764"/>
      <c r="D969" s="764"/>
      <c r="E969" s="839"/>
      <c r="F969" s="687"/>
      <c r="G969" s="775"/>
      <c r="H969" s="777"/>
      <c r="I969" s="687"/>
      <c r="J969" s="764"/>
      <c r="K969" s="838"/>
      <c r="L969" s="687"/>
      <c r="M969" s="775"/>
      <c r="N969" s="689"/>
      <c r="O969" s="764"/>
    </row>
    <row r="970">
      <c r="A970" s="764"/>
      <c r="B970" s="775"/>
      <c r="C970" s="764"/>
      <c r="D970" s="764"/>
      <c r="E970" s="839"/>
      <c r="F970" s="687"/>
      <c r="G970" s="775"/>
      <c r="H970" s="777"/>
      <c r="I970" s="687"/>
      <c r="J970" s="764"/>
      <c r="K970" s="838"/>
      <c r="L970" s="687"/>
      <c r="M970" s="775"/>
      <c r="N970" s="689"/>
      <c r="O970" s="764"/>
    </row>
    <row r="971">
      <c r="A971" s="764"/>
      <c r="B971" s="775"/>
      <c r="C971" s="764"/>
      <c r="D971" s="764"/>
      <c r="E971" s="839"/>
      <c r="F971" s="687"/>
      <c r="G971" s="775"/>
      <c r="H971" s="777"/>
      <c r="I971" s="687"/>
      <c r="J971" s="764"/>
      <c r="K971" s="838"/>
      <c r="L971" s="687"/>
      <c r="M971" s="775"/>
      <c r="N971" s="689"/>
      <c r="O971" s="764"/>
    </row>
    <row r="972">
      <c r="A972" s="764"/>
      <c r="B972" s="775"/>
      <c r="C972" s="764"/>
      <c r="D972" s="764"/>
      <c r="E972" s="839"/>
      <c r="F972" s="687"/>
      <c r="G972" s="775"/>
      <c r="H972" s="777"/>
      <c r="I972" s="687"/>
      <c r="J972" s="764"/>
      <c r="K972" s="838"/>
      <c r="L972" s="687"/>
      <c r="M972" s="775"/>
      <c r="N972" s="689"/>
      <c r="O972" s="764"/>
    </row>
    <row r="973">
      <c r="A973" s="764"/>
      <c r="B973" s="775"/>
      <c r="C973" s="764"/>
      <c r="D973" s="764"/>
      <c r="E973" s="839"/>
      <c r="F973" s="687"/>
      <c r="G973" s="775"/>
      <c r="H973" s="777"/>
      <c r="I973" s="687"/>
      <c r="J973" s="764"/>
      <c r="K973" s="838"/>
      <c r="L973" s="687"/>
      <c r="M973" s="775"/>
      <c r="N973" s="689"/>
      <c r="O973" s="764"/>
    </row>
    <row r="974">
      <c r="A974" s="764"/>
      <c r="B974" s="775"/>
      <c r="C974" s="764"/>
      <c r="D974" s="764"/>
      <c r="E974" s="839"/>
      <c r="F974" s="687"/>
      <c r="G974" s="775"/>
      <c r="H974" s="777"/>
      <c r="I974" s="687"/>
      <c r="J974" s="764"/>
      <c r="K974" s="838"/>
      <c r="L974" s="687"/>
      <c r="M974" s="775"/>
      <c r="N974" s="689"/>
      <c r="O974" s="764"/>
    </row>
    <row r="975">
      <c r="A975" s="764"/>
      <c r="B975" s="775"/>
      <c r="C975" s="764"/>
      <c r="D975" s="764"/>
      <c r="E975" s="839"/>
      <c r="F975" s="687"/>
      <c r="G975" s="775"/>
      <c r="H975" s="777"/>
      <c r="I975" s="687"/>
      <c r="J975" s="764"/>
      <c r="K975" s="838"/>
      <c r="L975" s="687"/>
      <c r="M975" s="775"/>
      <c r="N975" s="689"/>
      <c r="O975" s="764"/>
    </row>
    <row r="976">
      <c r="A976" s="764"/>
      <c r="B976" s="775"/>
      <c r="C976" s="764"/>
      <c r="D976" s="764"/>
      <c r="E976" s="839"/>
      <c r="F976" s="687"/>
      <c r="G976" s="775"/>
      <c r="H976" s="777"/>
      <c r="I976" s="687"/>
      <c r="J976" s="764"/>
      <c r="K976" s="838"/>
      <c r="L976" s="687"/>
      <c r="M976" s="775"/>
      <c r="N976" s="689"/>
      <c r="O976" s="764"/>
    </row>
    <row r="977">
      <c r="A977" s="764"/>
      <c r="B977" s="775"/>
      <c r="C977" s="764"/>
      <c r="D977" s="764"/>
      <c r="E977" s="839"/>
      <c r="F977" s="687"/>
      <c r="G977" s="775"/>
      <c r="H977" s="777"/>
      <c r="I977" s="687"/>
      <c r="J977" s="764"/>
      <c r="K977" s="838"/>
      <c r="L977" s="687"/>
      <c r="M977" s="775"/>
      <c r="N977" s="689"/>
      <c r="O977" s="764"/>
    </row>
    <row r="978">
      <c r="A978" s="764"/>
      <c r="B978" s="775"/>
      <c r="C978" s="764"/>
      <c r="D978" s="764"/>
      <c r="E978" s="839"/>
      <c r="F978" s="687"/>
      <c r="G978" s="775"/>
      <c r="H978" s="777"/>
      <c r="I978" s="687"/>
      <c r="J978" s="764"/>
      <c r="K978" s="838"/>
      <c r="L978" s="687"/>
      <c r="M978" s="775"/>
      <c r="N978" s="689"/>
      <c r="O978" s="764"/>
    </row>
    <row r="979">
      <c r="A979" s="764"/>
      <c r="B979" s="775"/>
      <c r="C979" s="764"/>
      <c r="D979" s="764"/>
      <c r="E979" s="839"/>
      <c r="F979" s="687"/>
      <c r="G979" s="775"/>
      <c r="H979" s="777"/>
      <c r="I979" s="687"/>
      <c r="J979" s="764"/>
      <c r="K979" s="838"/>
      <c r="L979" s="687"/>
      <c r="M979" s="775"/>
      <c r="N979" s="689"/>
      <c r="O979" s="764"/>
    </row>
    <row r="980">
      <c r="A980" s="764"/>
      <c r="B980" s="775"/>
      <c r="C980" s="764"/>
      <c r="D980" s="764"/>
      <c r="E980" s="839"/>
      <c r="F980" s="687"/>
      <c r="G980" s="775"/>
      <c r="H980" s="777"/>
      <c r="I980" s="687"/>
      <c r="J980" s="764"/>
      <c r="K980" s="838"/>
      <c r="L980" s="687"/>
      <c r="M980" s="775"/>
      <c r="N980" s="689"/>
      <c r="O980" s="764"/>
    </row>
    <row r="981">
      <c r="A981" s="764"/>
      <c r="B981" s="775"/>
      <c r="C981" s="764"/>
      <c r="D981" s="764"/>
      <c r="E981" s="839"/>
      <c r="F981" s="687"/>
      <c r="G981" s="775"/>
      <c r="H981" s="777"/>
      <c r="I981" s="687"/>
      <c r="J981" s="764"/>
      <c r="K981" s="838"/>
      <c r="L981" s="687"/>
      <c r="M981" s="775"/>
      <c r="N981" s="689"/>
      <c r="O981" s="764"/>
    </row>
    <row r="982">
      <c r="A982" s="764"/>
      <c r="B982" s="775"/>
      <c r="C982" s="764"/>
      <c r="D982" s="764"/>
      <c r="E982" s="839"/>
      <c r="F982" s="687"/>
      <c r="G982" s="775"/>
      <c r="H982" s="777"/>
      <c r="I982" s="687"/>
      <c r="J982" s="764"/>
      <c r="K982" s="838"/>
      <c r="L982" s="687"/>
      <c r="M982" s="775"/>
      <c r="N982" s="689"/>
      <c r="O982" s="764"/>
    </row>
    <row r="983">
      <c r="A983" s="764"/>
      <c r="B983" s="775"/>
      <c r="C983" s="764"/>
      <c r="D983" s="764"/>
      <c r="E983" s="839"/>
      <c r="F983" s="687"/>
      <c r="G983" s="775"/>
      <c r="H983" s="777"/>
      <c r="I983" s="687"/>
      <c r="J983" s="764"/>
      <c r="K983" s="838"/>
      <c r="L983" s="687"/>
      <c r="M983" s="775"/>
      <c r="N983" s="689"/>
      <c r="O983" s="764"/>
    </row>
    <row r="984">
      <c r="A984" s="764"/>
      <c r="B984" s="775"/>
      <c r="C984" s="764"/>
      <c r="D984" s="764"/>
      <c r="E984" s="839"/>
      <c r="F984" s="687"/>
      <c r="G984" s="775"/>
      <c r="H984" s="777"/>
      <c r="I984" s="687"/>
      <c r="J984" s="764"/>
      <c r="K984" s="838"/>
      <c r="L984" s="687"/>
      <c r="M984" s="775"/>
      <c r="N984" s="689"/>
      <c r="O984" s="764"/>
    </row>
    <row r="985">
      <c r="A985" s="764"/>
      <c r="B985" s="775"/>
      <c r="C985" s="764"/>
      <c r="D985" s="764"/>
      <c r="E985" s="839"/>
      <c r="F985" s="687"/>
      <c r="G985" s="775"/>
      <c r="H985" s="777"/>
      <c r="I985" s="687"/>
      <c r="J985" s="764"/>
      <c r="K985" s="838"/>
      <c r="L985" s="687"/>
      <c r="M985" s="775"/>
      <c r="N985" s="689"/>
      <c r="O985" s="764"/>
    </row>
    <row r="986">
      <c r="A986" s="764"/>
      <c r="B986" s="775"/>
      <c r="C986" s="764"/>
      <c r="D986" s="764"/>
      <c r="E986" s="839"/>
      <c r="F986" s="687"/>
      <c r="G986" s="775"/>
      <c r="H986" s="777"/>
      <c r="I986" s="687"/>
      <c r="J986" s="764"/>
      <c r="K986" s="838"/>
      <c r="L986" s="687"/>
      <c r="M986" s="775"/>
      <c r="N986" s="689"/>
      <c r="O986" s="764"/>
    </row>
    <row r="987">
      <c r="A987" s="764"/>
      <c r="B987" s="775"/>
      <c r="C987" s="764"/>
      <c r="D987" s="764"/>
      <c r="E987" s="839"/>
      <c r="F987" s="687"/>
      <c r="G987" s="775"/>
      <c r="H987" s="777"/>
      <c r="I987" s="687"/>
      <c r="J987" s="764"/>
      <c r="K987" s="838"/>
      <c r="L987" s="687"/>
      <c r="M987" s="775"/>
      <c r="N987" s="689"/>
      <c r="O987" s="764"/>
    </row>
    <row r="988">
      <c r="A988" s="764"/>
      <c r="B988" s="775"/>
      <c r="C988" s="764"/>
      <c r="D988" s="764"/>
      <c r="E988" s="839"/>
      <c r="F988" s="687"/>
      <c r="G988" s="775"/>
      <c r="H988" s="777"/>
      <c r="I988" s="687"/>
      <c r="J988" s="764"/>
      <c r="K988" s="838"/>
      <c r="L988" s="687"/>
      <c r="M988" s="775"/>
      <c r="N988" s="689"/>
      <c r="O988" s="764"/>
    </row>
    <row r="989">
      <c r="A989" s="764"/>
      <c r="B989" s="775"/>
      <c r="C989" s="764"/>
      <c r="D989" s="764"/>
      <c r="E989" s="839"/>
      <c r="F989" s="687"/>
      <c r="G989" s="775"/>
      <c r="H989" s="777"/>
      <c r="I989" s="687"/>
      <c r="J989" s="764"/>
      <c r="K989" s="838"/>
      <c r="L989" s="687"/>
      <c r="M989" s="775"/>
      <c r="N989" s="689"/>
      <c r="O989" s="764"/>
    </row>
    <row r="990">
      <c r="A990" s="764"/>
      <c r="B990" s="775"/>
      <c r="C990" s="764"/>
      <c r="D990" s="764"/>
      <c r="E990" s="839"/>
      <c r="F990" s="687"/>
      <c r="G990" s="775"/>
      <c r="H990" s="777"/>
      <c r="I990" s="687"/>
      <c r="J990" s="764"/>
      <c r="K990" s="838"/>
      <c r="L990" s="687"/>
      <c r="M990" s="775"/>
      <c r="N990" s="689"/>
      <c r="O990" s="764"/>
    </row>
    <row r="991">
      <c r="A991" s="764"/>
      <c r="B991" s="775"/>
      <c r="C991" s="764"/>
      <c r="D991" s="764"/>
      <c r="E991" s="839"/>
      <c r="F991" s="687"/>
      <c r="G991" s="775"/>
      <c r="H991" s="777"/>
      <c r="I991" s="687"/>
      <c r="J991" s="764"/>
      <c r="K991" s="838"/>
      <c r="L991" s="687"/>
      <c r="M991" s="775"/>
      <c r="N991" s="689"/>
      <c r="O991" s="764"/>
    </row>
    <row r="992">
      <c r="A992" s="764"/>
      <c r="B992" s="775"/>
      <c r="C992" s="764"/>
      <c r="D992" s="764"/>
      <c r="E992" s="839"/>
      <c r="F992" s="687"/>
      <c r="G992" s="775"/>
      <c r="H992" s="777"/>
      <c r="I992" s="687"/>
      <c r="J992" s="764"/>
      <c r="K992" s="838"/>
      <c r="L992" s="687"/>
      <c r="M992" s="775"/>
      <c r="N992" s="689"/>
      <c r="O992" s="764"/>
    </row>
    <row r="993">
      <c r="A993" s="764"/>
      <c r="B993" s="775"/>
      <c r="C993" s="764"/>
      <c r="D993" s="764"/>
      <c r="E993" s="839"/>
      <c r="F993" s="687"/>
      <c r="G993" s="775"/>
      <c r="H993" s="777"/>
      <c r="I993" s="687"/>
      <c r="J993" s="764"/>
      <c r="K993" s="838"/>
      <c r="L993" s="687"/>
      <c r="M993" s="775"/>
      <c r="N993" s="689"/>
      <c r="O993" s="764"/>
    </row>
    <row r="994">
      <c r="A994" s="764"/>
      <c r="B994" s="775"/>
      <c r="C994" s="764"/>
      <c r="D994" s="764"/>
      <c r="E994" s="839"/>
      <c r="F994" s="687"/>
      <c r="G994" s="775"/>
      <c r="H994" s="777"/>
      <c r="I994" s="687"/>
      <c r="J994" s="764"/>
      <c r="K994" s="838"/>
      <c r="L994" s="687"/>
      <c r="M994" s="775"/>
      <c r="N994" s="689"/>
      <c r="O994" s="764"/>
    </row>
    <row r="995">
      <c r="A995" s="764"/>
      <c r="B995" s="775"/>
      <c r="C995" s="764"/>
      <c r="D995" s="764"/>
      <c r="E995" s="839"/>
      <c r="F995" s="687"/>
      <c r="G995" s="775"/>
      <c r="H995" s="777"/>
      <c r="I995" s="687"/>
      <c r="J995" s="764"/>
      <c r="K995" s="838"/>
      <c r="L995" s="687"/>
      <c r="M995" s="775"/>
      <c r="N995" s="689"/>
      <c r="O995" s="764"/>
    </row>
    <row r="996">
      <c r="A996" s="764"/>
      <c r="B996" s="775"/>
      <c r="C996" s="764"/>
      <c r="D996" s="764"/>
      <c r="E996" s="839"/>
      <c r="F996" s="687"/>
      <c r="G996" s="775"/>
      <c r="H996" s="777"/>
      <c r="I996" s="687"/>
      <c r="J996" s="764"/>
      <c r="K996" s="838"/>
      <c r="L996" s="687"/>
      <c r="M996" s="775"/>
      <c r="N996" s="689"/>
      <c r="O996" s="764"/>
    </row>
    <row r="997">
      <c r="A997" s="764"/>
      <c r="B997" s="775"/>
      <c r="C997" s="764"/>
      <c r="D997" s="764"/>
      <c r="E997" s="839"/>
      <c r="F997" s="687"/>
      <c r="G997" s="775"/>
      <c r="H997" s="777"/>
      <c r="I997" s="687"/>
      <c r="J997" s="764"/>
      <c r="K997" s="838"/>
      <c r="L997" s="687"/>
      <c r="M997" s="775"/>
      <c r="N997" s="689"/>
      <c r="O997" s="764"/>
    </row>
    <row r="998">
      <c r="A998" s="764"/>
      <c r="B998" s="775"/>
      <c r="C998" s="764"/>
      <c r="D998" s="764"/>
      <c r="E998" s="839"/>
      <c r="F998" s="687"/>
      <c r="G998" s="775"/>
      <c r="H998" s="777"/>
      <c r="I998" s="687"/>
      <c r="J998" s="764"/>
      <c r="K998" s="838"/>
      <c r="L998" s="687"/>
      <c r="M998" s="775"/>
      <c r="N998" s="689"/>
      <c r="O998" s="764"/>
    </row>
    <row r="999">
      <c r="A999" s="764"/>
      <c r="B999" s="775"/>
      <c r="C999" s="764"/>
      <c r="D999" s="764"/>
      <c r="E999" s="839"/>
      <c r="F999" s="687"/>
      <c r="G999" s="775"/>
      <c r="H999" s="777"/>
      <c r="I999" s="687"/>
      <c r="J999" s="764"/>
      <c r="K999" s="838"/>
      <c r="L999" s="687"/>
      <c r="M999" s="775"/>
      <c r="N999" s="689"/>
      <c r="O999" s="764"/>
    </row>
    <row r="1000">
      <c r="A1000" s="764"/>
      <c r="B1000" s="775"/>
      <c r="C1000" s="764"/>
      <c r="D1000" s="764"/>
      <c r="E1000" s="839"/>
      <c r="F1000" s="687"/>
      <c r="G1000" s="775"/>
      <c r="H1000" s="777"/>
      <c r="I1000" s="687"/>
      <c r="J1000" s="764"/>
      <c r="K1000" s="838"/>
      <c r="L1000" s="687"/>
      <c r="M1000" s="775"/>
      <c r="N1000" s="689"/>
      <c r="O1000" s="764"/>
    </row>
    <row r="1001">
      <c r="A1001" s="764"/>
      <c r="B1001" s="775"/>
      <c r="C1001" s="764"/>
      <c r="D1001" s="764"/>
      <c r="E1001" s="839"/>
      <c r="F1001" s="687"/>
      <c r="G1001" s="775"/>
      <c r="H1001" s="777"/>
      <c r="I1001" s="687"/>
      <c r="J1001" s="764"/>
      <c r="K1001" s="838"/>
      <c r="L1001" s="687"/>
      <c r="M1001" s="775"/>
      <c r="N1001" s="689"/>
      <c r="O1001" s="764"/>
    </row>
    <row r="1002">
      <c r="A1002" s="764"/>
      <c r="B1002" s="775"/>
      <c r="C1002" s="764"/>
      <c r="D1002" s="764"/>
      <c r="E1002" s="840"/>
      <c r="F1002" s="764"/>
      <c r="G1002" s="775"/>
      <c r="H1002" s="775"/>
      <c r="I1002" s="764"/>
      <c r="J1002" s="764"/>
      <c r="K1002" s="764"/>
      <c r="L1002" s="764"/>
      <c r="M1002" s="775"/>
      <c r="N1002" s="779"/>
      <c r="O1002" s="764"/>
    </row>
  </sheetData>
  <mergeCells count="28">
    <mergeCell ref="J7:J8"/>
    <mergeCell ref="K7:K8"/>
    <mergeCell ref="M7:M8"/>
    <mergeCell ref="O7:O8"/>
    <mergeCell ref="A1:E1"/>
    <mergeCell ref="G1:H1"/>
    <mergeCell ref="J1:K1"/>
    <mergeCell ref="O1:O2"/>
    <mergeCell ref="A3:A12"/>
    <mergeCell ref="B7:B8"/>
    <mergeCell ref="C7:C8"/>
    <mergeCell ref="B56:B57"/>
    <mergeCell ref="C56:C57"/>
    <mergeCell ref="A64:A84"/>
    <mergeCell ref="A86:A116"/>
    <mergeCell ref="D56:D57"/>
    <mergeCell ref="E56:E57"/>
    <mergeCell ref="J56:J57"/>
    <mergeCell ref="K56:K57"/>
    <mergeCell ref="M56:M57"/>
    <mergeCell ref="O56:O57"/>
    <mergeCell ref="D7:D8"/>
    <mergeCell ref="E7:E8"/>
    <mergeCell ref="A14:A19"/>
    <mergeCell ref="A21:A24"/>
    <mergeCell ref="A26:A34"/>
    <mergeCell ref="A36:A50"/>
    <mergeCell ref="A52:A62"/>
  </mergeCells>
  <conditionalFormatting sqref="H85:I85">
    <cfRule type="containsText" dxfId="36" priority="1" operator="containsText" text="Ja">
      <formula>NOT(ISERROR(SEARCH(("Ja"),(H85))))</formula>
    </cfRule>
  </conditionalFormatting>
  <conditionalFormatting sqref="H85:I85">
    <cfRule type="containsText" dxfId="37" priority="2" operator="containsText" text="Nee">
      <formula>NOT(ISERROR(SEARCH(("Nee"),(H85))))</formula>
    </cfRule>
  </conditionalFormatting>
  <conditionalFormatting sqref="C56:D57 C62:D63 C69:D69 C77:D77 C81:D81 C90:D92 C95:D95 C100:D100 C103:D105 C107:D107 C116:D116">
    <cfRule type="containsText" dxfId="2" priority="3" operator="containsText" text="SO">
      <formula>NOT(ISERROR(SEARCH(("SO"),(C56))))</formula>
    </cfRule>
  </conditionalFormatting>
  <conditionalFormatting sqref="C56:D57 C62:D63 C69:D69 C77:D77 C81:D81 C90:D92 C95:D95 C100:D100 C103:D105 C107:D107 C116:D116">
    <cfRule type="containsText" dxfId="3" priority="4" operator="containsText" text="tegen">
      <formula>NOT(ISERROR(SEARCH(("tegen"),(C56))))</formula>
    </cfRule>
  </conditionalFormatting>
  <conditionalFormatting sqref="C56:D57 C62:D63 C69:D69 C77:D77 C81:D81 C90:D92 C95:D95 C100:D100 C103:D105 C107:D107 C116:D116">
    <cfRule type="containsText" dxfId="4" priority="5" operator="containsText" text="voor">
      <formula>NOT(ISERROR(SEARCH(("voor"),(C56))))</formula>
    </cfRule>
  </conditionalFormatting>
  <conditionalFormatting sqref="C56:D57 C62:D63 C69:D69 C77:D77 C81:D81 C90:D92 C95:D95 C100:D100 C103:D105 C107:D107 C116:D116">
    <cfRule type="cellIs" dxfId="5" priority="6" operator="equal">
      <formula>"NG"</formula>
    </cfRule>
  </conditionalFormatting>
  <conditionalFormatting sqref="C16:D16 C80:D80">
    <cfRule type="containsText" dxfId="0" priority="7" operator="containsText" text="voor">
      <formula>NOT(ISERROR(SEARCH(("voor"),(C16))))</formula>
    </cfRule>
  </conditionalFormatting>
  <conditionalFormatting sqref="C16:D16 C80:D80">
    <cfRule type="containsText" dxfId="1" priority="8" operator="containsText" text="tegen">
      <formula>NOT(ISERROR(SEARCH(("tegen"),(C16))))</formula>
    </cfRule>
  </conditionalFormatting>
  <conditionalFormatting sqref="J1:K1002 L85:O85">
    <cfRule type="containsText" dxfId="36" priority="9" operator="containsText" text="Aangenomen">
      <formula>NOT(ISERROR(SEARCH(("Aangenomen"),(J1))))</formula>
    </cfRule>
  </conditionalFormatting>
  <conditionalFormatting sqref="J1:K1002 L85:O85">
    <cfRule type="containsText" dxfId="34" priority="10" operator="containsText" text="Afgewezen">
      <formula>NOT(ISERROR(SEARCH(("Afgewezen"),(J1))))</formula>
    </cfRule>
  </conditionalFormatting>
  <conditionalFormatting sqref="J1:K1002 L85:O85">
    <cfRule type="containsText" dxfId="38" priority="11" operator="containsText" text="In afwachting">
      <formula>NOT(ISERROR(SEARCH(("In afwachting"),(J1))))</formula>
    </cfRule>
  </conditionalFormatting>
  <conditionalFormatting sqref="H1:H1002">
    <cfRule type="containsText" dxfId="36" priority="12" operator="containsText" text="Aangen.">
      <formula>NOT(ISERROR(SEARCH(("Aangen."),(H1))))</formula>
    </cfRule>
  </conditionalFormatting>
  <conditionalFormatting sqref="H1:H1002">
    <cfRule type="containsText" dxfId="34" priority="13" operator="containsText" text="Afgew.">
      <formula>NOT(ISERROR(SEARCH(("Afgew."),(H1))))</formula>
    </cfRule>
  </conditionalFormatting>
  <conditionalFormatting sqref="H1:H1002">
    <cfRule type="containsText" dxfId="38" priority="14" operator="containsText" text="In afw.">
      <formula>NOT(ISERROR(SEARCH(("In afw."),(H1))))</formula>
    </cfRule>
  </conditionalFormatting>
  <conditionalFormatting sqref="G1:K1002 C56:D57 C62:D63 C69:D69 C77:D77 C81:D81 L85:O85 C90:D92 C95:D95 C100:D100 C103:D105 C107:D107 C116:D116">
    <cfRule type="containsText" dxfId="6" priority="15" operator="containsText" text="NVT">
      <formula>NOT(ISERROR(SEARCH(("NVT"),(G1))))</formula>
    </cfRule>
  </conditionalFormatting>
  <hyperlinks>
    <hyperlink r:id="rId2" ref="E86"/>
    <hyperlink r:id="rId3" ref="E87"/>
    <hyperlink r:id="rId4" ref="E88"/>
    <hyperlink r:id="rId5" ref="E89"/>
    <hyperlink r:id="rId6" ref="E90"/>
    <hyperlink r:id="rId7" ref="E91"/>
    <hyperlink r:id="rId8" ref="E92"/>
    <hyperlink r:id="rId9" ref="E94"/>
    <hyperlink r:id="rId10" ref="E95"/>
    <hyperlink r:id="rId11" ref="E97"/>
    <hyperlink r:id="rId12" ref="E99"/>
    <hyperlink r:id="rId13" ref="E100"/>
    <hyperlink r:id="rId14" ref="E101"/>
    <hyperlink r:id="rId15" ref="E102"/>
    <hyperlink r:id="rId16" ref="E103"/>
    <hyperlink r:id="rId17" ref="E104"/>
    <hyperlink r:id="rId18" ref="E105"/>
    <hyperlink r:id="rId19" ref="E106"/>
    <hyperlink r:id="rId20" ref="E107"/>
    <hyperlink r:id="rId21" ref="E108"/>
    <hyperlink r:id="rId22" ref="E109"/>
    <hyperlink r:id="rId23" ref="E110"/>
    <hyperlink r:id="rId24" ref="E111"/>
    <hyperlink r:id="rId25" ref="E112"/>
    <hyperlink r:id="rId26" ref="E113"/>
    <hyperlink r:id="rId27" ref="E114"/>
    <hyperlink r:id="rId28" ref="G114"/>
  </hyperlinks>
  <drawing r:id="rId29"/>
  <legacyDrawing r:id="rId30"/>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5818E"/>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29.29"/>
    <col customWidth="1" min="2" max="2" width="10.29"/>
    <col customWidth="1" min="3" max="3" width="9.86"/>
    <col customWidth="1" min="4" max="4" width="15.71"/>
    <col customWidth="1" min="5" max="5" width="97.29"/>
    <col customWidth="1" min="6" max="6" width="0.86"/>
    <col customWidth="1" min="7" max="7" width="14.43"/>
    <col customWidth="1" min="8" max="9" width="12.57"/>
    <col customWidth="1" min="10" max="10" width="0.86"/>
    <col customWidth="1" min="11" max="11" width="46.43"/>
  </cols>
  <sheetData>
    <row r="1" ht="30.75" customHeight="1">
      <c r="A1" s="841" t="s">
        <v>882</v>
      </c>
      <c r="B1" s="504"/>
      <c r="C1" s="504"/>
      <c r="D1" s="504"/>
      <c r="E1" s="27"/>
      <c r="F1" s="842"/>
      <c r="G1" s="843" t="s">
        <v>541</v>
      </c>
      <c r="H1" s="504"/>
      <c r="I1" s="614"/>
      <c r="J1" s="844"/>
      <c r="K1" s="845" t="s">
        <v>542</v>
      </c>
    </row>
    <row r="2">
      <c r="A2" s="846" t="s">
        <v>883</v>
      </c>
      <c r="B2" s="847" t="s">
        <v>543</v>
      </c>
      <c r="C2" s="847" t="s">
        <v>544</v>
      </c>
      <c r="D2" s="848" t="s">
        <v>545</v>
      </c>
      <c r="E2" s="849" t="s">
        <v>546</v>
      </c>
      <c r="F2" s="850"/>
      <c r="G2" s="851" t="s">
        <v>548</v>
      </c>
      <c r="H2" s="851" t="s">
        <v>884</v>
      </c>
      <c r="I2" s="852" t="s">
        <v>885</v>
      </c>
      <c r="J2" s="853"/>
      <c r="K2" s="27"/>
    </row>
    <row r="3" ht="17.25" customHeight="1">
      <c r="A3" s="854" t="s">
        <v>498</v>
      </c>
      <c r="B3" s="141" t="s">
        <v>886</v>
      </c>
      <c r="C3" s="855" t="s">
        <v>508</v>
      </c>
      <c r="D3" s="855" t="s">
        <v>56</v>
      </c>
      <c r="E3" s="856" t="str">
        <f>HYPERLINK("https://www.reddit.com/r/RMTK/comments/9whejl/db0001_verbied_filmen_van_ongelukken/","Verbied filmen van ongelukken ")</f>
        <v>Verbied filmen van ongelukken </v>
      </c>
      <c r="F3" s="857"/>
      <c r="G3" s="141" t="s">
        <v>571</v>
      </c>
      <c r="H3" s="858" t="s">
        <v>636</v>
      </c>
      <c r="I3" s="859" t="s">
        <v>119</v>
      </c>
      <c r="J3" s="860"/>
      <c r="K3" s="861" t="s">
        <v>56</v>
      </c>
    </row>
    <row r="4" ht="17.25" customHeight="1">
      <c r="B4" s="141" t="s">
        <v>887</v>
      </c>
      <c r="C4" s="855" t="s">
        <v>508</v>
      </c>
      <c r="D4" s="855" t="s">
        <v>56</v>
      </c>
      <c r="E4" s="856" t="str">
        <f>HYPERLINK("https://www.reddit.com/r/RMTK/comments/9yvtsg/db0002_burgeroolog_in_jemen/","Burgeroolog in Jemen")</f>
        <v>Burgeroolog in Jemen</v>
      </c>
      <c r="F4" s="857"/>
      <c r="G4" s="141" t="s">
        <v>566</v>
      </c>
      <c r="H4" s="858" t="s">
        <v>636</v>
      </c>
      <c r="I4" s="859" t="s">
        <v>119</v>
      </c>
      <c r="J4" s="860"/>
      <c r="K4" s="861" t="s">
        <v>56</v>
      </c>
    </row>
    <row r="5" ht="17.25" customHeight="1">
      <c r="B5" s="141" t="s">
        <v>888</v>
      </c>
      <c r="C5" s="855" t="s">
        <v>508</v>
      </c>
      <c r="D5" s="855" t="s">
        <v>56</v>
      </c>
      <c r="E5" s="856" t="str">
        <f>HYPERLINK("https://www.reddit.com/r/RMTK/comments/a0xd2m/db0003_digitaal_nalatenschap/","Digitaal nalatenschap")</f>
        <v>Digitaal nalatenschap</v>
      </c>
      <c r="F5" s="857"/>
      <c r="G5" s="141" t="s">
        <v>569</v>
      </c>
      <c r="H5" s="862" t="s">
        <v>564</v>
      </c>
      <c r="I5" s="859" t="s">
        <v>119</v>
      </c>
      <c r="J5" s="860"/>
      <c r="K5" s="861" t="s">
        <v>56</v>
      </c>
    </row>
    <row r="6" ht="17.25" customHeight="1">
      <c r="B6" s="141" t="s">
        <v>889</v>
      </c>
      <c r="C6" s="863" t="s">
        <v>784</v>
      </c>
      <c r="D6" s="863" t="s">
        <v>118</v>
      </c>
      <c r="E6" s="856" t="str">
        <f>HYPERLINK("https://www.reddit.com/r/RMTK/comments/a1vi0i/kb0001_koninklijk_besluit_betreffende_aanpak/","Koninklijk Besluit betreffende aanpak &amp; veroordeling van de humanitaire crisis in Jemen ")</f>
        <v>Koninklijk Besluit betreffende aanpak &amp; veroordeling van de humanitaire crisis in Jemen </v>
      </c>
      <c r="F6" s="857"/>
      <c r="G6" s="141" t="s">
        <v>559</v>
      </c>
      <c r="H6" s="864" t="s">
        <v>119</v>
      </c>
      <c r="I6" s="858" t="s">
        <v>636</v>
      </c>
      <c r="J6" s="860"/>
      <c r="K6" s="861" t="s">
        <v>56</v>
      </c>
    </row>
    <row r="7" ht="17.25" customHeight="1">
      <c r="B7" s="141" t="s">
        <v>890</v>
      </c>
      <c r="C7" s="855" t="s">
        <v>508</v>
      </c>
      <c r="D7" s="855" t="s">
        <v>56</v>
      </c>
      <c r="E7" s="856" t="str">
        <f>HYPERLINK("https://www.reddit.com/r/RMTK/comments/a3cvch/db0004_illegaal_verblijven_op_vakantiepark/","Illegaal verblijven op vakantiepark oplossing voor woningtekort? ")</f>
        <v>Illegaal verblijven op vakantiepark oplossing voor woningtekort? </v>
      </c>
      <c r="F7" s="857"/>
      <c r="G7" s="141" t="s">
        <v>563</v>
      </c>
      <c r="H7" s="862" t="s">
        <v>564</v>
      </c>
      <c r="I7" s="859" t="s">
        <v>119</v>
      </c>
      <c r="J7" s="860"/>
      <c r="K7" s="861" t="s">
        <v>56</v>
      </c>
    </row>
    <row r="8" ht="17.25" customHeight="1">
      <c r="B8" s="141" t="s">
        <v>891</v>
      </c>
      <c r="C8" s="863" t="s">
        <v>784</v>
      </c>
      <c r="D8" s="863" t="s">
        <v>118</v>
      </c>
      <c r="E8" s="856" t="str">
        <f>HYPERLINK("https://www.reddit.com/r/RMTK/comments/a7c1t4/ks0001_kamerbrief_aangaande_plundering_venda/","Kamerbrief aangaande plundering Venda Burial Society Mutual Bank (M0007)")</f>
        <v>Kamerbrief aangaande plundering Venda Burial Society Mutual Bank (M0007)</v>
      </c>
      <c r="F8" s="857"/>
      <c r="G8" s="141" t="s">
        <v>566</v>
      </c>
      <c r="H8" s="858" t="s">
        <v>636</v>
      </c>
      <c r="I8" s="859" t="s">
        <v>119</v>
      </c>
      <c r="J8" s="860"/>
      <c r="K8" s="861" t="s">
        <v>56</v>
      </c>
    </row>
    <row r="9" ht="17.25" customHeight="1">
      <c r="B9" s="141" t="s">
        <v>892</v>
      </c>
      <c r="C9" s="863" t="s">
        <v>784</v>
      </c>
      <c r="D9" s="863" t="s">
        <v>118</v>
      </c>
      <c r="E9" s="856" t="str">
        <f>HYPERLINK("https://www.reddit.com/r/RMTK/comments/a8d26g/ks0002_kamerbrief_aangaande_versterkingen_abc/","Kamerbrief aangaande versterkingen ABC eilanden (M0005)")</f>
        <v>Kamerbrief aangaande versterkingen ABC eilanden (M0005)</v>
      </c>
      <c r="F9" s="857"/>
      <c r="G9" s="141" t="s">
        <v>561</v>
      </c>
      <c r="H9" s="858" t="s">
        <v>636</v>
      </c>
      <c r="I9" s="859" t="s">
        <v>119</v>
      </c>
      <c r="J9" s="860"/>
      <c r="K9" s="861" t="s">
        <v>56</v>
      </c>
    </row>
    <row r="10" ht="17.25" customHeight="1">
      <c r="B10" s="141" t="s">
        <v>893</v>
      </c>
      <c r="C10" s="863" t="s">
        <v>784</v>
      </c>
      <c r="D10" s="863" t="s">
        <v>118</v>
      </c>
      <c r="E10" s="856" t="str">
        <f>HYPERLINK("https://www.reddit.com/r/RMTK/comments/a943eb/ks0003_kamerbrief_aangaande_het_sluiten_van/","Kamerbrief aangaande het sluiten van Chinese heropvoedingskampen ")</f>
        <v>Kamerbrief aangaande het sluiten van Chinese heropvoedingskampen </v>
      </c>
      <c r="F10" s="857"/>
      <c r="G10" s="141" t="s">
        <v>566</v>
      </c>
      <c r="H10" s="858" t="s">
        <v>636</v>
      </c>
      <c r="I10" s="859" t="s">
        <v>119</v>
      </c>
      <c r="J10" s="860"/>
      <c r="K10" s="861" t="s">
        <v>56</v>
      </c>
    </row>
    <row r="11" ht="17.25" customHeight="1">
      <c r="B11" s="141" t="s">
        <v>894</v>
      </c>
      <c r="C11" s="865" t="s">
        <v>524</v>
      </c>
      <c r="D11" s="865" t="s">
        <v>155</v>
      </c>
      <c r="E11" s="856" t="str">
        <f>HYPERLINK("https://reddit.com/r/RMTK/comments/ae7fhl/db0005_debat_aangaande_het_gekapseisde/","Debat aangaande het gekapseisde containerschip in de Noordzee")</f>
        <v>Debat aangaande het gekapseisde containerschip in de Noordzee</v>
      </c>
      <c r="F11" s="857"/>
      <c r="G11" s="141" t="s">
        <v>895</v>
      </c>
      <c r="H11" s="862" t="s">
        <v>564</v>
      </c>
      <c r="I11" s="859" t="s">
        <v>119</v>
      </c>
      <c r="J11" s="860"/>
      <c r="K11" s="861" t="s">
        <v>56</v>
      </c>
    </row>
    <row r="12" ht="17.25" customHeight="1">
      <c r="B12" s="141" t="s">
        <v>896</v>
      </c>
      <c r="C12" s="863" t="s">
        <v>784</v>
      </c>
      <c r="D12" s="863" t="s">
        <v>118</v>
      </c>
      <c r="E12" s="856" t="str">
        <f>HYPERLINK("https://reddit.com/r/RMTK/comments/afvfe1/ks0004_kamerbrief_aangaande_politieke_moorden_die/","Kamerbrief aangaande politieke moorden die door de Iraanse overheid zijn aangestuurd")</f>
        <v>Kamerbrief aangaande politieke moorden die door de Iraanse overheid zijn aangestuurd</v>
      </c>
      <c r="F12" s="857"/>
      <c r="G12" s="141" t="s">
        <v>566</v>
      </c>
      <c r="H12" s="858" t="s">
        <v>636</v>
      </c>
      <c r="I12" s="859" t="s">
        <v>119</v>
      </c>
      <c r="J12" s="860"/>
      <c r="K12" s="861" t="s">
        <v>56</v>
      </c>
    </row>
    <row r="13" ht="7.5" customHeight="1">
      <c r="A13" s="866"/>
      <c r="B13" s="867"/>
      <c r="C13" s="868"/>
      <c r="D13" s="868"/>
      <c r="E13" s="869"/>
      <c r="F13" s="870"/>
      <c r="G13" s="867"/>
      <c r="H13" s="866"/>
      <c r="I13" s="866"/>
      <c r="J13" s="871"/>
      <c r="K13" s="866"/>
    </row>
    <row r="14" ht="17.25" customHeight="1">
      <c r="A14" s="854" t="s">
        <v>586</v>
      </c>
      <c r="B14" s="141" t="s">
        <v>897</v>
      </c>
      <c r="C14" s="863" t="s">
        <v>784</v>
      </c>
      <c r="D14" s="863" t="s">
        <v>157</v>
      </c>
      <c r="E14" s="872" t="str">
        <f>HYPERLINK("https://old.reddit.com/r/RMTK/comments/akq527/ks0005_kamerbrief_aangaande_de_situatie_in/?","Kamerbrief aangaande de situatie in Venezuela en de daarop te ondernemen acties")</f>
        <v>Kamerbrief aangaande de situatie in Venezuela en de daarop te ondernemen acties</v>
      </c>
      <c r="F14" s="857"/>
      <c r="G14" s="141" t="s">
        <v>898</v>
      </c>
      <c r="H14" s="858" t="s">
        <v>636</v>
      </c>
      <c r="I14" s="859" t="s">
        <v>119</v>
      </c>
      <c r="J14" s="860"/>
      <c r="K14" s="861" t="s">
        <v>56</v>
      </c>
    </row>
    <row r="15" ht="17.25" customHeight="1">
      <c r="B15" s="141" t="s">
        <v>899</v>
      </c>
      <c r="C15" s="873" t="s">
        <v>31</v>
      </c>
      <c r="D15" s="873" t="s">
        <v>148</v>
      </c>
      <c r="E15" s="874" t="str">
        <f>HYPERLINK("https://old.reddit.com/r/RMTK/comments/anfbph/db0006_ontwikkelingshulp_zegen_of_weggegooid_geld/?","Ontwikkelingshulp: Zegen of weggegooid geld?")</f>
        <v>Ontwikkelingshulp: Zegen of weggegooid geld?</v>
      </c>
      <c r="F15" s="857"/>
      <c r="G15" s="141" t="s">
        <v>900</v>
      </c>
      <c r="H15" s="862" t="s">
        <v>564</v>
      </c>
      <c r="I15" s="859" t="s">
        <v>119</v>
      </c>
      <c r="J15" s="860"/>
      <c r="K15" s="861" t="s">
        <v>56</v>
      </c>
    </row>
    <row r="16" ht="17.25" customHeight="1">
      <c r="B16" s="141" t="s">
        <v>901</v>
      </c>
      <c r="C16" s="863" t="s">
        <v>784</v>
      </c>
      <c r="D16" s="863" t="s">
        <v>122</v>
      </c>
      <c r="E16" s="874" t="str">
        <f>hyperlink("https://old.reddit.com/r/RMTK/comments/apj19i/ks0007_kamerbrief_aangaande_nepleerlingen/","Kamerbrief aangaande nepleerlingen")</f>
        <v>Kamerbrief aangaande nepleerlingen</v>
      </c>
      <c r="F16" s="857"/>
      <c r="G16" s="141" t="s">
        <v>593</v>
      </c>
      <c r="H16" s="858" t="s">
        <v>636</v>
      </c>
      <c r="I16" s="859" t="s">
        <v>119</v>
      </c>
      <c r="J16" s="860"/>
      <c r="K16" s="861" t="s">
        <v>902</v>
      </c>
    </row>
    <row r="17" ht="17.25" customHeight="1">
      <c r="B17" s="875" t="s">
        <v>903</v>
      </c>
      <c r="C17" s="876" t="s">
        <v>597</v>
      </c>
      <c r="D17" s="876" t="s">
        <v>118</v>
      </c>
      <c r="E17" s="877" t="str">
        <f>hyperlink("https://old.reddit.com/r/RMTK/comments/arzf6j/db0007_debat_naar_aanleiding_van_de_asbestdumping/","Debat naar aanleiding van de asbestdumping in Delfzijl door anti-windmolenactivisten")</f>
        <v>Debat naar aanleiding van de asbestdumping in Delfzijl door anti-windmolenactivisten</v>
      </c>
      <c r="F17" s="857"/>
      <c r="G17" s="875" t="s">
        <v>904</v>
      </c>
      <c r="H17" s="858" t="s">
        <v>636</v>
      </c>
      <c r="I17" s="859" t="s">
        <v>119</v>
      </c>
      <c r="J17" s="860"/>
      <c r="K17" s="861" t="s">
        <v>56</v>
      </c>
    </row>
    <row r="18" ht="17.25" customHeight="1">
      <c r="B18" s="141" t="s">
        <v>905</v>
      </c>
      <c r="C18" s="863" t="s">
        <v>784</v>
      </c>
      <c r="D18" s="863" t="s">
        <v>378</v>
      </c>
      <c r="E18" s="874" t="str">
        <f>hyperlink("https://old.reddit.com/r/RMTK/comments/as0atq/ks0007_kamerbrief_aangaande_erkenning_van_een/","Kamerbrief aangaande erkenning van een president in Congo")</f>
        <v>Kamerbrief aangaande erkenning van een president in Congo</v>
      </c>
      <c r="F18" s="857"/>
      <c r="G18" s="141" t="s">
        <v>566</v>
      </c>
      <c r="H18" s="858" t="s">
        <v>636</v>
      </c>
      <c r="I18" s="859" t="s">
        <v>119</v>
      </c>
      <c r="J18" s="860"/>
      <c r="K18" s="861" t="s">
        <v>56</v>
      </c>
    </row>
    <row r="19" ht="17.25" customHeight="1">
      <c r="B19" s="141" t="s">
        <v>906</v>
      </c>
      <c r="C19" s="855" t="s">
        <v>508</v>
      </c>
      <c r="D19" s="855" t="s">
        <v>56</v>
      </c>
      <c r="E19" s="874" t="str">
        <f>hyperlink("https://old.reddit.com/r/RMTK/comments/asdfm3/db0008_brexit_komt_dichterbij_hoe_staan_wij_er/?","Brexit komt dichterbij: Hoe staan wij ervoor?")</f>
        <v>Brexit komt dichterbij: Hoe staan wij ervoor?</v>
      </c>
      <c r="F19" s="857"/>
      <c r="G19" s="141" t="s">
        <v>566</v>
      </c>
      <c r="H19" s="862" t="s">
        <v>564</v>
      </c>
      <c r="I19" s="859" t="s">
        <v>119</v>
      </c>
      <c r="J19" s="860"/>
      <c r="K19" s="861" t="s">
        <v>56</v>
      </c>
    </row>
    <row r="20" ht="17.25" customHeight="1">
      <c r="B20" s="141" t="s">
        <v>907</v>
      </c>
      <c r="C20" s="863" t="s">
        <v>784</v>
      </c>
      <c r="D20" s="863" t="s">
        <v>122</v>
      </c>
      <c r="E20" s="874" t="str">
        <f>hyperlink("https://old.reddit.com/r/RMTK/comments/asr47d/ks0008_kamerbrief_ter_reactie_op_m0016_over_het/?","Kamerbrief ter reactie op M0016 over het inburgeringsproces")</f>
        <v>Kamerbrief ter reactie op M0016 over het inburgeringsproces</v>
      </c>
      <c r="F20" s="857"/>
      <c r="G20" s="141" t="s">
        <v>593</v>
      </c>
      <c r="H20" s="858" t="s">
        <v>636</v>
      </c>
      <c r="I20" s="859" t="s">
        <v>119</v>
      </c>
      <c r="J20" s="860"/>
      <c r="K20" s="861" t="s">
        <v>56</v>
      </c>
    </row>
    <row r="21" ht="17.25" customHeight="1">
      <c r="B21" s="141" t="s">
        <v>908</v>
      </c>
      <c r="C21" s="863" t="s">
        <v>784</v>
      </c>
      <c r="D21" s="863" t="s">
        <v>122</v>
      </c>
      <c r="E21" s="874" t="str">
        <f>hyperlink("https://old.reddit.com/r/RMTK/comments/at6rev/ks0009_kamerbrief_aangaande_nederlandse_scholen/","Kamerbrief aangaande nederlandse scholen in het buitenland")</f>
        <v>Kamerbrief aangaande nederlandse scholen in het buitenland</v>
      </c>
      <c r="F21" s="857"/>
      <c r="G21" s="141" t="s">
        <v>593</v>
      </c>
      <c r="H21" s="858" t="s">
        <v>636</v>
      </c>
      <c r="I21" s="859" t="s">
        <v>119</v>
      </c>
      <c r="J21" s="860"/>
      <c r="K21" s="861" t="s">
        <v>56</v>
      </c>
    </row>
    <row r="22" ht="17.25" customHeight="1">
      <c r="B22" s="141" t="s">
        <v>909</v>
      </c>
      <c r="C22" s="863" t="s">
        <v>784</v>
      </c>
      <c r="D22" s="863" t="s">
        <v>157</v>
      </c>
      <c r="E22" s="874" t="str">
        <f>hyperlink("https://old.reddit.com/r/RMTK/comments/auo7wa/ks0010_kamerbrief_aangaande_adopteren_wintertijd/?","Kamerbrief aangaande adopteren wintertijd")</f>
        <v>Kamerbrief aangaande adopteren wintertijd</v>
      </c>
      <c r="F22" s="857"/>
      <c r="G22" s="141" t="s">
        <v>559</v>
      </c>
      <c r="H22" s="858" t="s">
        <v>636</v>
      </c>
      <c r="I22" s="859" t="s">
        <v>119</v>
      </c>
      <c r="J22" s="860"/>
      <c r="K22" s="861" t="s">
        <v>56</v>
      </c>
    </row>
    <row r="23" ht="17.25" customHeight="1">
      <c r="B23" s="141" t="s">
        <v>910</v>
      </c>
      <c r="C23" s="863" t="s">
        <v>784</v>
      </c>
      <c r="D23" s="863" t="s">
        <v>617</v>
      </c>
      <c r="E23" s="874" t="str">
        <f>hyperlink("https://old.reddit.com/r/RMTK/comments/avj2da/kb0011_kamerbrief_reactie_op_m0020_motie_tot_het/","Kamerbrief reactie op M0020 Motie tot het aanleggen van een spoorverbinding tussen Noord-Holland en Friesland")</f>
        <v>Kamerbrief reactie op M0020 Motie tot het aanleggen van een spoorverbinding tussen Noord-Holland en Friesland</v>
      </c>
      <c r="F23" s="860"/>
      <c r="G23" s="141" t="s">
        <v>611</v>
      </c>
      <c r="H23" s="858" t="s">
        <v>636</v>
      </c>
      <c r="I23" s="859" t="s">
        <v>119</v>
      </c>
      <c r="J23" s="860"/>
      <c r="K23" s="861" t="s">
        <v>911</v>
      </c>
    </row>
    <row r="24" ht="17.25" customHeight="1">
      <c r="B24" s="141" t="s">
        <v>912</v>
      </c>
      <c r="C24" s="873" t="s">
        <v>31</v>
      </c>
      <c r="D24" s="873" t="s">
        <v>16</v>
      </c>
      <c r="E24" s="874" t="str">
        <f>hyperlink("https://old.reddit.com/r/RMTK/comments/axogxw/kv0001_kamervragen_over_klimaatmaatregelen/?","Kamervragen over klimaatmaatregelen ")</f>
        <v>Kamervragen over klimaatmaatregelen </v>
      </c>
      <c r="F24" s="857"/>
      <c r="G24" s="141" t="s">
        <v>611</v>
      </c>
      <c r="H24" s="858" t="s">
        <v>636</v>
      </c>
      <c r="I24" s="859" t="s">
        <v>119</v>
      </c>
      <c r="J24" s="860"/>
      <c r="K24" s="861" t="s">
        <v>56</v>
      </c>
    </row>
    <row r="25" ht="7.5" customHeight="1">
      <c r="A25" s="866"/>
      <c r="B25" s="867"/>
      <c r="C25" s="868"/>
      <c r="D25" s="868"/>
      <c r="E25" s="869"/>
      <c r="F25" s="870"/>
      <c r="G25" s="867"/>
      <c r="H25" s="866"/>
      <c r="I25" s="866"/>
      <c r="J25" s="871"/>
      <c r="K25" s="866"/>
    </row>
    <row r="26" ht="17.25" customHeight="1">
      <c r="A26" s="854" t="s">
        <v>469</v>
      </c>
      <c r="B26" s="878" t="s">
        <v>913</v>
      </c>
      <c r="C26" s="879" t="s">
        <v>784</v>
      </c>
      <c r="D26" s="879" t="s">
        <v>16</v>
      </c>
      <c r="E26" s="880" t="str">
        <f>hyperlink("https://old.reddit.com/r/RMTK/comments/bax0bk/ks0012_kamerbrief_aangaande_cpb_rapport_woningbouw/?","Kamerbrief aangaande CPB Rapport Woningbouw")</f>
        <v>Kamerbrief aangaande CPB Rapport Woningbouw</v>
      </c>
      <c r="F26" s="881"/>
      <c r="G26" s="878" t="s">
        <v>619</v>
      </c>
      <c r="H26" s="882" t="s">
        <v>636</v>
      </c>
      <c r="I26" s="883" t="s">
        <v>119</v>
      </c>
      <c r="J26" s="884"/>
      <c r="K26" s="885" t="s">
        <v>56</v>
      </c>
    </row>
    <row r="27" ht="17.25" customHeight="1">
      <c r="B27" s="141" t="s">
        <v>914</v>
      </c>
      <c r="C27" s="863" t="s">
        <v>784</v>
      </c>
      <c r="D27" s="863" t="s">
        <v>122</v>
      </c>
      <c r="E27" s="886" t="str">
        <f>HYPERLINK("https://www.reddit.com/r/RMTK/comments/bbpj7f/ks0013_kamerbrief_verantwoording_vragen_ocw/","Kamerbrief verantwoording vragen OCW")</f>
        <v>Kamerbrief verantwoording vragen OCW</v>
      </c>
      <c r="F27" s="857"/>
      <c r="G27" s="141" t="s">
        <v>593</v>
      </c>
      <c r="H27" s="858" t="s">
        <v>636</v>
      </c>
      <c r="I27" s="859" t="s">
        <v>119</v>
      </c>
      <c r="J27" s="860"/>
      <c r="K27" s="861" t="s">
        <v>56</v>
      </c>
    </row>
    <row r="28" ht="17.25" customHeight="1">
      <c r="B28" s="141" t="s">
        <v>915</v>
      </c>
      <c r="C28" s="863" t="s">
        <v>784</v>
      </c>
      <c r="D28" s="863" t="s">
        <v>16</v>
      </c>
      <c r="E28" s="856" t="str">
        <f>HYPERLINK("https://www.reddit.com/r/RMTK/comments/bc13zy/ks0014_kamerbrief_aangaande_start_onderzoek/","Kamerbrief aangaande start onderzoek Koningshuis")</f>
        <v>Kamerbrief aangaande start onderzoek Koningshuis</v>
      </c>
      <c r="F28" s="887"/>
      <c r="G28" s="151" t="s">
        <v>619</v>
      </c>
      <c r="H28" s="858" t="s">
        <v>636</v>
      </c>
      <c r="I28" s="859" t="s">
        <v>119</v>
      </c>
      <c r="J28" s="857"/>
      <c r="K28" s="861" t="s">
        <v>56</v>
      </c>
    </row>
    <row r="29" ht="17.25" customHeight="1">
      <c r="B29" s="141" t="s">
        <v>916</v>
      </c>
      <c r="C29" s="863" t="s">
        <v>784</v>
      </c>
      <c r="D29" s="863" t="s">
        <v>16</v>
      </c>
      <c r="E29" s="856" t="str">
        <f>HYPERLINK("https://www.reddit.com/r/RMTK/comments/bf3ps7/ks0015_kamerbrief_aangaande_resultaten_onderzoek/","Kamerbrief aangaande resultaten onderzoek Koningshuis en debat daarover ")</f>
        <v>Kamerbrief aangaande resultaten onderzoek Koningshuis en debat daarover </v>
      </c>
      <c r="F29" s="857"/>
      <c r="G29" s="151" t="s">
        <v>619</v>
      </c>
      <c r="H29" s="858" t="s">
        <v>636</v>
      </c>
      <c r="I29" s="859" t="s">
        <v>119</v>
      </c>
      <c r="J29" s="860"/>
      <c r="K29" s="861" t="s">
        <v>56</v>
      </c>
    </row>
    <row r="30" ht="17.25" customHeight="1">
      <c r="B30" s="141" t="s">
        <v>917</v>
      </c>
      <c r="C30" s="863" t="s">
        <v>784</v>
      </c>
      <c r="D30" s="863" t="s">
        <v>16</v>
      </c>
      <c r="E30" s="856" t="str">
        <f>HYPERLINK("https://www.reddit.com/r/RMTK/comments/bg5691/db0009_debat_aangaande_resultaten_onderzoek/","Debat aangaande resultaten onderzoek Koningshuis")</f>
        <v>Debat aangaande resultaten onderzoek Koningshuis</v>
      </c>
      <c r="F30" s="857"/>
      <c r="G30" s="151" t="s">
        <v>619</v>
      </c>
      <c r="H30" s="858" t="s">
        <v>636</v>
      </c>
      <c r="I30" s="859" t="s">
        <v>119</v>
      </c>
      <c r="J30" s="860"/>
      <c r="K30" s="861" t="s">
        <v>56</v>
      </c>
    </row>
    <row r="31" ht="17.25" customHeight="1">
      <c r="B31" s="141" t="s">
        <v>918</v>
      </c>
      <c r="C31" s="863" t="s">
        <v>784</v>
      </c>
      <c r="D31" s="863" t="s">
        <v>157</v>
      </c>
      <c r="E31" s="856" t="str">
        <f>HYPERLINK("https://www.reddit.com/r/RMTK/comments/bhbque/kb0002_koninklijk_besluit_tot_wijziging/","Koninklijk Besluit tot wijziging discretionaire bevoegdheid")</f>
        <v>Koninklijk Besluit tot wijziging discretionaire bevoegdheid</v>
      </c>
      <c r="F31" s="857"/>
      <c r="G31" s="141" t="s">
        <v>559</v>
      </c>
      <c r="H31" s="864" t="s">
        <v>119</v>
      </c>
      <c r="I31" s="862" t="s">
        <v>564</v>
      </c>
      <c r="J31" s="860"/>
      <c r="K31" s="861" t="s">
        <v>56</v>
      </c>
    </row>
    <row r="32" ht="17.25" customHeight="1">
      <c r="B32" s="141" t="s">
        <v>919</v>
      </c>
      <c r="C32" s="888" t="s">
        <v>920</v>
      </c>
      <c r="D32" s="888" t="s">
        <v>691</v>
      </c>
      <c r="E32" s="856" t="str">
        <f>HYPERLINK("https://www.reddit.com/r/RMTK/comments/bhq6ae/ks0016_rapport_parlementaire_onderzoekscommissie/","Rapport Parlementaire Onderzoekscommissie")</f>
        <v>Rapport Parlementaire Onderzoekscommissie</v>
      </c>
      <c r="F32" s="857"/>
      <c r="G32" s="141" t="s">
        <v>508</v>
      </c>
      <c r="H32" s="858" t="s">
        <v>636</v>
      </c>
      <c r="I32" s="859" t="s">
        <v>119</v>
      </c>
      <c r="J32" s="860"/>
      <c r="K32" s="861" t="s">
        <v>56</v>
      </c>
    </row>
    <row r="33" ht="17.25" customHeight="1">
      <c r="B33" s="141" t="s">
        <v>921</v>
      </c>
      <c r="C33" s="863" t="s">
        <v>784</v>
      </c>
      <c r="D33" s="863" t="s">
        <v>122</v>
      </c>
      <c r="E33" s="856" t="str">
        <f>HYPERLINK("https://www.reddit.com/r/RMTK/comments/bitzbo/kb0003_koninklijk_besluit_examenprogramma_voor/","Koninklijk Besluit examenprogramma voor wetenschapsoriëntatie")</f>
        <v>Koninklijk Besluit examenprogramma voor wetenschapsoriëntatie</v>
      </c>
      <c r="F33" s="857"/>
      <c r="G33" s="141" t="s">
        <v>593</v>
      </c>
      <c r="H33" s="864" t="s">
        <v>119</v>
      </c>
      <c r="I33" s="858" t="s">
        <v>636</v>
      </c>
      <c r="J33" s="860"/>
      <c r="K33" s="861" t="s">
        <v>56</v>
      </c>
    </row>
    <row r="34" ht="17.25" customHeight="1">
      <c r="B34" s="141" t="s">
        <v>922</v>
      </c>
      <c r="C34" s="863" t="s">
        <v>784</v>
      </c>
      <c r="D34" s="863" t="s">
        <v>122</v>
      </c>
      <c r="E34" s="856" t="str">
        <f>HYPERLINK("https://www.reddit.com/r/RMTK/comments/bmajz3/kb0004_besluit_wijziging_uitvoeringsbesluit_whw/","Besluit Wijziging Uitvoeringsbesluit WHW 2008")</f>
        <v>Besluit Wijziging Uitvoeringsbesluit WHW 2008</v>
      </c>
      <c r="F34" s="857"/>
      <c r="G34" s="141" t="s">
        <v>593</v>
      </c>
      <c r="H34" s="864" t="s">
        <v>119</v>
      </c>
      <c r="I34" s="858" t="s">
        <v>636</v>
      </c>
      <c r="J34" s="860"/>
      <c r="K34" s="861" t="s">
        <v>56</v>
      </c>
    </row>
    <row r="35" ht="17.25" customHeight="1">
      <c r="B35" s="141" t="s">
        <v>923</v>
      </c>
      <c r="C35" s="863" t="s">
        <v>784</v>
      </c>
      <c r="D35" s="863" t="s">
        <v>122</v>
      </c>
      <c r="E35" s="856" t="str">
        <f>HYPERLINK("https://www.reddit.com/r/RMTK/comments/bmn749/ks0017_brief_inzake_gratis_toegang_rijksmusea/","Brief inzake gratis toegang Rijksmusea")</f>
        <v>Brief inzake gratis toegang Rijksmusea</v>
      </c>
      <c r="F35" s="857"/>
      <c r="G35" s="141" t="s">
        <v>593</v>
      </c>
      <c r="H35" s="858" t="s">
        <v>636</v>
      </c>
      <c r="I35" s="859" t="s">
        <v>119</v>
      </c>
      <c r="J35" s="860"/>
      <c r="K35" s="861" t="s">
        <v>56</v>
      </c>
    </row>
    <row r="36" ht="7.5" customHeight="1">
      <c r="A36" s="866"/>
      <c r="B36" s="867"/>
      <c r="C36" s="868"/>
      <c r="D36" s="868"/>
      <c r="E36" s="869"/>
      <c r="F36" s="870"/>
      <c r="G36" s="867"/>
      <c r="H36" s="866"/>
      <c r="I36" s="866"/>
      <c r="J36" s="871"/>
      <c r="K36" s="866"/>
    </row>
    <row r="37" ht="17.25" customHeight="1">
      <c r="A37" s="854" t="s">
        <v>632</v>
      </c>
      <c r="B37" s="141" t="s">
        <v>924</v>
      </c>
      <c r="C37" s="855" t="s">
        <v>508</v>
      </c>
      <c r="D37" s="855" t="s">
        <v>56</v>
      </c>
      <c r="E37" s="856" t="str">
        <f>HYPERLINK("https://www.reddit.com/r/RMTK/comments/bo6nv2/db0010_debat_over_het_conflict_tussen_isra%C3%ABl_en/","Debat over het conflict tussen Israël en Gaza")</f>
        <v>Debat over het conflict tussen Israël en Gaza</v>
      </c>
      <c r="F37" s="857"/>
      <c r="G37" s="141" t="s">
        <v>566</v>
      </c>
      <c r="H37" s="858" t="s">
        <v>636</v>
      </c>
      <c r="I37" s="859" t="s">
        <v>119</v>
      </c>
      <c r="J37" s="860"/>
      <c r="K37" s="861" t="s">
        <v>56</v>
      </c>
    </row>
    <row r="38" ht="17.25" customHeight="1">
      <c r="B38" s="141" t="s">
        <v>925</v>
      </c>
      <c r="C38" s="863" t="s">
        <v>784</v>
      </c>
      <c r="D38" s="863" t="s">
        <v>157</v>
      </c>
      <c r="E38" s="874" t="str">
        <f>hyperlink("https://old.reddit.com/r/RMTK/comments/brcrp9/ks0018_kamerbrief_aangaande_het_reisadvies_rond/?","Kamerbrief aangaande het reisadvies rond de Gazastrook")</f>
        <v>Kamerbrief aangaande het reisadvies rond de Gazastrook</v>
      </c>
      <c r="F38" s="857"/>
      <c r="G38" s="141" t="s">
        <v>566</v>
      </c>
      <c r="H38" s="858" t="s">
        <v>636</v>
      </c>
      <c r="I38" s="859" t="s">
        <v>119</v>
      </c>
      <c r="J38" s="860"/>
      <c r="K38" s="861" t="s">
        <v>56</v>
      </c>
    </row>
    <row r="39" ht="17.25" customHeight="1">
      <c r="B39" s="141" t="s">
        <v>926</v>
      </c>
      <c r="C39" s="863" t="s">
        <v>784</v>
      </c>
      <c r="D39" s="863" t="s">
        <v>629</v>
      </c>
      <c r="E39" s="856" t="str">
        <f>HYPERLINK("https://www.reddit.com/r/RMTK/comments/brrupz/kb0005_besluit_uitbreiding_vergoeding/","Besluit uitbreiding vergoeding anticonceptie")</f>
        <v>Besluit uitbreiding vergoeding anticonceptie</v>
      </c>
      <c r="F39" s="857"/>
      <c r="G39" s="141" t="s">
        <v>624</v>
      </c>
      <c r="H39" s="864" t="s">
        <v>119</v>
      </c>
      <c r="I39" s="858" t="s">
        <v>636</v>
      </c>
      <c r="J39" s="860"/>
      <c r="K39" s="861" t="s">
        <v>56</v>
      </c>
    </row>
    <row r="40" ht="17.25" customHeight="1">
      <c r="B40" s="141" t="s">
        <v>927</v>
      </c>
      <c r="C40" s="863" t="s">
        <v>784</v>
      </c>
      <c r="D40" s="863" t="s">
        <v>629</v>
      </c>
      <c r="E40" s="874" t="str">
        <f>HYPERLINK("https://www.reddit.com/r/RMTK/comments/bv8zve/kb0006_besluit_minimumjeugdloon/", "Besluit minimumloon")</f>
        <v>Besluit minimumloon</v>
      </c>
      <c r="F40" s="857"/>
      <c r="G40" s="141" t="s">
        <v>624</v>
      </c>
      <c r="H40" s="864" t="s">
        <v>119</v>
      </c>
      <c r="I40" s="858" t="s">
        <v>636</v>
      </c>
      <c r="J40" s="860"/>
      <c r="K40" s="861" t="s">
        <v>56</v>
      </c>
    </row>
    <row r="41" ht="17.25" customHeight="1">
      <c r="B41" s="141" t="s">
        <v>928</v>
      </c>
      <c r="C41" s="863" t="s">
        <v>784</v>
      </c>
      <c r="D41" s="863" t="s">
        <v>122</v>
      </c>
      <c r="E41" s="874" t="str">
        <f>HYPERLINK("https://www.reddit.com/r/RMTK/comments/bw90ia/kb0007_besluit_ontslag_en_tijdelijke_vervanging/","Besluit ontslag en tijdelijke vervanging ministers")</f>
        <v>Besluit ontslag en tijdelijke vervanging ministers</v>
      </c>
      <c r="F41" s="857"/>
      <c r="G41" s="141" t="s">
        <v>559</v>
      </c>
      <c r="H41" s="864" t="s">
        <v>119</v>
      </c>
      <c r="I41" s="858" t="s">
        <v>636</v>
      </c>
      <c r="J41" s="860"/>
      <c r="K41" s="861" t="s">
        <v>56</v>
      </c>
    </row>
    <row r="42" ht="17.25" customHeight="1">
      <c r="B42" s="141" t="s">
        <v>929</v>
      </c>
      <c r="C42" s="863" t="s">
        <v>784</v>
      </c>
      <c r="D42" s="863" t="s">
        <v>122</v>
      </c>
      <c r="E42" s="874" t="str">
        <f>HYPERLINK("https://www.reddit.com/r/RMTK/comments/bybuvj/kb0008_besluit_ontslag_en_aanstelling_minister/","Besluit ontslag en aanstelling minister van R&amp;D")</f>
        <v>Besluit ontslag en aanstelling minister van R&amp;D</v>
      </c>
      <c r="F42" s="857"/>
      <c r="G42" s="141" t="s">
        <v>559</v>
      </c>
      <c r="H42" s="864" t="s">
        <v>119</v>
      </c>
      <c r="I42" s="858" t="s">
        <v>636</v>
      </c>
      <c r="J42" s="860"/>
      <c r="K42" s="861" t="s">
        <v>56</v>
      </c>
    </row>
    <row r="43" ht="17.25" customHeight="1">
      <c r="B43" s="141" t="s">
        <v>930</v>
      </c>
      <c r="C43" s="863" t="s">
        <v>784</v>
      </c>
      <c r="D43" s="863" t="s">
        <v>617</v>
      </c>
      <c r="E43" s="856" t="str">
        <f>HYPERLINK("https://www.reddit.com/r/RMTK/comments/c1pmoq/ks0019_kamerbrief_aangaande_klimaatnota_en/","Kamerbrief aangaande klimaatnota en klimaatplannen")</f>
        <v>Kamerbrief aangaande klimaatnota en klimaatplannen</v>
      </c>
      <c r="F43" s="857"/>
      <c r="G43" s="141" t="s">
        <v>611</v>
      </c>
      <c r="H43" s="858" t="s">
        <v>636</v>
      </c>
      <c r="I43" s="859" t="s">
        <v>119</v>
      </c>
      <c r="J43" s="860"/>
      <c r="K43" s="861" t="s">
        <v>56</v>
      </c>
    </row>
    <row r="44" ht="17.25" customHeight="1">
      <c r="B44" s="141" t="s">
        <v>931</v>
      </c>
      <c r="C44" s="863" t="s">
        <v>784</v>
      </c>
      <c r="D44" s="863" t="s">
        <v>122</v>
      </c>
      <c r="E44" s="874" t="str">
        <f>hyperlink("https://old.reddit.com/r/RMTK/comments/c24vcl/ks0020_berekeningen_financi%C3%ABle_bijlage/","Berekeningen financiële bijlage regeerakkoord")</f>
        <v>Berekeningen financiële bijlage regeerakkoord</v>
      </c>
      <c r="F44" s="857"/>
      <c r="G44" s="141" t="s">
        <v>559</v>
      </c>
      <c r="H44" s="864" t="s">
        <v>119</v>
      </c>
      <c r="I44" s="859" t="s">
        <v>119</v>
      </c>
      <c r="J44" s="860"/>
      <c r="K44" s="861" t="s">
        <v>56</v>
      </c>
    </row>
    <row r="45" ht="17.25" customHeight="1">
      <c r="B45" s="141" t="s">
        <v>932</v>
      </c>
      <c r="C45" s="863" t="s">
        <v>784</v>
      </c>
      <c r="D45" s="863" t="s">
        <v>629</v>
      </c>
      <c r="E45" s="874" t="str">
        <f>hyperlink("https://www.reddit.com/r/RMTK/comments/c2ktzu/db0011_debat_beschermde_werkplekken/","Debat beschermde werkplekken")</f>
        <v>Debat beschermde werkplekken</v>
      </c>
      <c r="F45" s="857"/>
      <c r="G45" s="141" t="s">
        <v>624</v>
      </c>
      <c r="H45" s="864" t="s">
        <v>119</v>
      </c>
      <c r="I45" s="859" t="s">
        <v>119</v>
      </c>
      <c r="J45" s="860"/>
      <c r="K45" s="861" t="s">
        <v>56</v>
      </c>
    </row>
    <row r="46" ht="17.25" customHeight="1">
      <c r="B46" s="141" t="s">
        <v>933</v>
      </c>
      <c r="C46" s="863" t="s">
        <v>784</v>
      </c>
      <c r="D46" s="863" t="s">
        <v>157</v>
      </c>
      <c r="E46" s="856" t="str">
        <f>HYPERLINK("https://www.reddit.com/r/RMTK/comments/c5tzli/kb0009_koninklijk_besluit_tot_formele_erkenning/","Koninklijk Besluit tot formele erkenning Palestina als onafhankelijke staat")</f>
        <v>Koninklijk Besluit tot formele erkenning Palestina als onafhankelijke staat</v>
      </c>
      <c r="F46" s="857"/>
      <c r="G46" s="141" t="s">
        <v>566</v>
      </c>
      <c r="H46" s="864" t="s">
        <v>119</v>
      </c>
      <c r="I46" s="858" t="s">
        <v>636</v>
      </c>
      <c r="J46" s="860"/>
      <c r="K46" s="861" t="s">
        <v>56</v>
      </c>
    </row>
    <row r="47" ht="7.5" customHeight="1">
      <c r="A47" s="866"/>
      <c r="B47" s="867"/>
      <c r="C47" s="868"/>
      <c r="D47" s="868"/>
      <c r="E47" s="869"/>
      <c r="F47" s="870"/>
      <c r="G47" s="867"/>
      <c r="H47" s="866"/>
      <c r="I47" s="866"/>
      <c r="J47" s="871"/>
      <c r="K47" s="866"/>
    </row>
    <row r="48" ht="17.25" customHeight="1">
      <c r="A48" s="854" t="s">
        <v>441</v>
      </c>
      <c r="B48" s="141" t="s">
        <v>934</v>
      </c>
      <c r="C48" s="889" t="s">
        <v>458</v>
      </c>
      <c r="D48" s="889" t="s">
        <v>155</v>
      </c>
      <c r="E48" s="874" t="str">
        <f>HYPERLINK("https://www.reddit.com/r/RMTK/comments/c9i2j8/db0012_debat_aangaande_storing_kpn_en_noodnummer/","Debat aangaande storing KPN en noodnummer 112")</f>
        <v>Debat aangaande storing KPN en noodnummer 112</v>
      </c>
      <c r="F48" s="857"/>
      <c r="G48" s="141" t="s">
        <v>579</v>
      </c>
      <c r="H48" s="862" t="s">
        <v>636</v>
      </c>
      <c r="I48" s="859" t="s">
        <v>119</v>
      </c>
      <c r="J48" s="860"/>
      <c r="K48" s="861" t="s">
        <v>56</v>
      </c>
    </row>
    <row r="49" ht="17.25" customHeight="1">
      <c r="B49" s="141" t="s">
        <v>935</v>
      </c>
      <c r="C49" s="890" t="s">
        <v>446</v>
      </c>
      <c r="D49" s="890" t="s">
        <v>617</v>
      </c>
      <c r="E49" s="874" t="str">
        <f>HYPERLINK("https://www.reddit.com/r/RMTK/comments/cand14/db0013_debat_aangaande_de_verklaring_van_het_jit/","Debat aangaande de verklaring van het JIT over MH17")</f>
        <v>Debat aangaande de verklaring van het JIT over MH17</v>
      </c>
      <c r="F49" s="857"/>
      <c r="G49" s="141" t="s">
        <v>566</v>
      </c>
      <c r="H49" s="862" t="s">
        <v>636</v>
      </c>
      <c r="I49" s="859" t="s">
        <v>119</v>
      </c>
      <c r="J49" s="860"/>
      <c r="K49" s="861" t="s">
        <v>56</v>
      </c>
    </row>
    <row r="50" ht="17.25" customHeight="1">
      <c r="B50" s="141" t="s">
        <v>936</v>
      </c>
      <c r="C50" s="863" t="s">
        <v>784</v>
      </c>
      <c r="D50" s="863" t="s">
        <v>118</v>
      </c>
      <c r="E50" s="874" t="str">
        <f>HYPERLINK("https://www.reddit.com/r/RMTK/comments/cbic6i/ks0021_kamerbrief_aangaande_realisatie/","Brief aangaande realisatie Nedersaksenlijn")</f>
        <v>Brief aangaande realisatie Nedersaksenlijn</v>
      </c>
      <c r="F50" s="857"/>
      <c r="G50" s="141" t="s">
        <v>622</v>
      </c>
      <c r="H50" s="864" t="s">
        <v>119</v>
      </c>
      <c r="I50" s="859" t="s">
        <v>119</v>
      </c>
      <c r="J50" s="860"/>
      <c r="K50" s="861" t="s">
        <v>56</v>
      </c>
    </row>
    <row r="51" ht="17.25" customHeight="1">
      <c r="B51" s="141" t="s">
        <v>937</v>
      </c>
      <c r="C51" s="873" t="s">
        <v>31</v>
      </c>
      <c r="D51" s="873" t="s">
        <v>662</v>
      </c>
      <c r="E51" s="874" t="str">
        <f>hyperlink("https://www.reddit.com/r/RMTK/comments/cccy75/db0014_debat_over_de_toekomst_van_de_publieke/","Debat over de toekomst van de publieke omroep")</f>
        <v>Debat over de toekomst van de publieke omroep</v>
      </c>
      <c r="F51" s="857"/>
      <c r="G51" s="141" t="s">
        <v>593</v>
      </c>
      <c r="H51" s="862" t="s">
        <v>636</v>
      </c>
      <c r="I51" s="859" t="s">
        <v>119</v>
      </c>
      <c r="J51" s="860"/>
      <c r="K51" s="861" t="s">
        <v>56</v>
      </c>
    </row>
    <row r="52" ht="17.25" customHeight="1">
      <c r="B52" s="141" t="s">
        <v>938</v>
      </c>
      <c r="C52" s="863" t="s">
        <v>784</v>
      </c>
      <c r="D52" s="863" t="s">
        <v>118</v>
      </c>
      <c r="E52" s="874" t="str">
        <f>HYPERLINK("https://www.reddit.com/r/RMTK/comments/cdkhev/ks0022_brief_aangaande_preventie/","Brief aangaande Preventie Eikenprocessierups")</f>
        <v>Brief aangaande Preventie Eikenprocessierups</v>
      </c>
      <c r="F52" s="857"/>
      <c r="G52" s="141" t="s">
        <v>622</v>
      </c>
      <c r="H52" s="864" t="s">
        <v>119</v>
      </c>
      <c r="I52" s="859" t="s">
        <v>119</v>
      </c>
      <c r="J52" s="860"/>
      <c r="K52" s="861" t="s">
        <v>56</v>
      </c>
    </row>
    <row r="53" ht="17.25" customHeight="1">
      <c r="B53" s="141" t="s">
        <v>939</v>
      </c>
      <c r="C53" s="863" t="s">
        <v>784</v>
      </c>
      <c r="D53" s="863" t="s">
        <v>157</v>
      </c>
      <c r="E53" s="856" t="str">
        <f>HYPERLINK("https://www.reddit.com/r/RMTK/comments/cdxtkt/ks0023_kamerbrief_aangaande_verzoek_aan_permanent/","Kamerbrief aangaande verzoek aan Permanent Hof van Arbitrage ")</f>
        <v>Kamerbrief aangaande verzoek aan Permanent Hof van Arbitrage </v>
      </c>
      <c r="F53" s="857"/>
      <c r="G53" s="141" t="s">
        <v>566</v>
      </c>
      <c r="H53" s="864" t="s">
        <v>119</v>
      </c>
      <c r="I53" s="859" t="s">
        <v>119</v>
      </c>
      <c r="J53" s="860"/>
      <c r="K53" s="861" t="s">
        <v>56</v>
      </c>
    </row>
    <row r="54" ht="17.25" customHeight="1">
      <c r="B54" s="141" t="s">
        <v>940</v>
      </c>
      <c r="C54" s="891" t="s">
        <v>456</v>
      </c>
      <c r="D54" s="891" t="s">
        <v>118</v>
      </c>
      <c r="E54" s="874" t="str">
        <f>HYPERLINK("https://www.reddit.com/r/RMTK/comments/cf9n19/db0015_debat_na_aanleiding_berichtgeving/","Debat na aanleiding berichtgeving misstanden binnen de politie")</f>
        <v>Debat na aanleiding berichtgeving misstanden binnen de politie</v>
      </c>
      <c r="F54" s="857"/>
      <c r="G54" s="141" t="s">
        <v>579</v>
      </c>
      <c r="H54" s="862" t="s">
        <v>636</v>
      </c>
      <c r="I54" s="859" t="s">
        <v>119</v>
      </c>
      <c r="J54" s="860"/>
      <c r="K54" s="861" t="s">
        <v>56</v>
      </c>
    </row>
    <row r="55" ht="17.25" customHeight="1">
      <c r="B55" s="141" t="s">
        <v>941</v>
      </c>
      <c r="C55" s="891" t="s">
        <v>456</v>
      </c>
      <c r="D55" s="891" t="s">
        <v>118</v>
      </c>
      <c r="E55" s="874" t="str">
        <f>HYPERLINK("https://www.reddit.com/r/RMTK/comments/ci4t5q/db0016_debat_naar_aanleiding_verhandeling/","Debat naar aanleiding verhandeling privégegevens kentekenregister")</f>
        <v>Debat naar aanleiding verhandeling privégegevens kentekenregister</v>
      </c>
      <c r="F55" s="857"/>
      <c r="G55" s="141" t="s">
        <v>942</v>
      </c>
      <c r="H55" s="862" t="s">
        <v>636</v>
      </c>
      <c r="I55" s="859" t="s">
        <v>119</v>
      </c>
      <c r="J55" s="860"/>
      <c r="K55" s="861" t="s">
        <v>56</v>
      </c>
    </row>
    <row r="56" ht="17.25" customHeight="1">
      <c r="B56" s="141" t="s">
        <v>943</v>
      </c>
      <c r="C56" s="863" t="s">
        <v>784</v>
      </c>
      <c r="D56" s="863" t="s">
        <v>154</v>
      </c>
      <c r="E56" s="874" t="str">
        <f>HYPERLINK("https://www.reddit.com/r/RMTK/comments/cjeyca/ks0024_kamerbrief_aangaande_de_vaccinatiegraad/","Kamerbrief aangaande de vaccinatiegraad")</f>
        <v>Kamerbrief aangaande de vaccinatiegraad</v>
      </c>
      <c r="F56" s="857"/>
      <c r="G56" s="141" t="s">
        <v>624</v>
      </c>
      <c r="H56" s="864" t="s">
        <v>119</v>
      </c>
      <c r="I56" s="859" t="s">
        <v>119</v>
      </c>
      <c r="J56" s="860"/>
      <c r="K56" s="861" t="s">
        <v>56</v>
      </c>
    </row>
    <row r="57" ht="17.25" customHeight="1">
      <c r="B57" s="141" t="s">
        <v>944</v>
      </c>
      <c r="C57" s="863" t="s">
        <v>784</v>
      </c>
      <c r="D57" s="863" t="s">
        <v>157</v>
      </c>
      <c r="E57" s="874" t="str">
        <f>HYPERLINK("https://www.reddit.com/r/RMTK/comments/cl7s28/db0017_debat_naar_aanleiding_van_de_situatie_in/","Debat naar aanleiding van de situatie in Hong Kong")</f>
        <v>Debat naar aanleiding van de situatie in Hong Kong</v>
      </c>
      <c r="F57" s="857"/>
      <c r="G57" s="141" t="s">
        <v>566</v>
      </c>
      <c r="H57" s="862" t="s">
        <v>564</v>
      </c>
      <c r="I57" s="859" t="s">
        <v>119</v>
      </c>
      <c r="J57" s="860"/>
      <c r="K57" s="861" t="s">
        <v>56</v>
      </c>
    </row>
    <row r="58" ht="17.25" customHeight="1">
      <c r="B58" s="141" t="s">
        <v>945</v>
      </c>
      <c r="C58" s="863" t="s">
        <v>784</v>
      </c>
      <c r="D58" s="863" t="s">
        <v>662</v>
      </c>
      <c r="E58" s="874" t="str">
        <f>HYPERLINK("https://www.reddit.com/r/RMTK/comments/cn3ere/ks0025_kamerbrief_betreft_reactie_op_aangenomen/","Kamerbrief betreft reactie op aangenomen moties K&amp;N")</f>
        <v>Kamerbrief betreft reactie op aangenomen moties K&amp;N</v>
      </c>
      <c r="F58" s="857"/>
      <c r="G58" s="141" t="s">
        <v>622</v>
      </c>
      <c r="H58" s="864" t="s">
        <v>119</v>
      </c>
      <c r="I58" s="859" t="s">
        <v>119</v>
      </c>
      <c r="J58" s="860"/>
      <c r="K58" s="861" t="s">
        <v>56</v>
      </c>
    </row>
    <row r="59" ht="17.25" customHeight="1">
      <c r="B59" s="141" t="s">
        <v>946</v>
      </c>
      <c r="C59" s="873" t="s">
        <v>31</v>
      </c>
      <c r="D59" s="873" t="s">
        <v>16</v>
      </c>
      <c r="E59" s="892" t="str">
        <f>HYPERLINK("https://www.reddit.com/r/RMTK/comments/co0pn8/db0018_debat_naar_aanleiding_van_het_rapport_van/","Debat naar aanleiding van het rapport van de Onderzoeksraad voor Veiligheid over het voedselveiligheidssysteem in Nederland")</f>
        <v>Debat naar aanleiding van het rapport van de Onderzoeksraad voor Veiligheid over het voedselveiligheidssysteem in Nederland</v>
      </c>
      <c r="F59" s="857"/>
      <c r="G59" s="141" t="s">
        <v>624</v>
      </c>
      <c r="H59" s="862" t="s">
        <v>636</v>
      </c>
      <c r="I59" s="859" t="s">
        <v>119</v>
      </c>
      <c r="J59" s="860"/>
      <c r="K59" s="861" t="s">
        <v>56</v>
      </c>
    </row>
    <row r="60" ht="17.25" customHeight="1">
      <c r="B60" s="141" t="s">
        <v>947</v>
      </c>
      <c r="C60" s="863" t="s">
        <v>784</v>
      </c>
      <c r="D60" s="863" t="s">
        <v>650</v>
      </c>
      <c r="E60" s="874" t="str">
        <f>HYPERLINK("https://www.reddit.com/r/RMTK/comments/co0oud/ks0026_kamerbrief_omtrent_discretionaire/","Kamerbrief omtrent discretionaire bevoegdheid voor immigratie")</f>
        <v>Kamerbrief omtrent discretionaire bevoegdheid voor immigratie</v>
      </c>
      <c r="F60" s="857"/>
      <c r="G60" s="141" t="s">
        <v>579</v>
      </c>
      <c r="H60" s="864" t="s">
        <v>119</v>
      </c>
      <c r="I60" s="859" t="s">
        <v>119</v>
      </c>
      <c r="J60" s="860"/>
      <c r="K60" s="861" t="s">
        <v>56</v>
      </c>
    </row>
    <row r="61" ht="17.25" customHeight="1">
      <c r="B61" s="141" t="s">
        <v>948</v>
      </c>
      <c r="C61" s="863" t="s">
        <v>784</v>
      </c>
      <c r="D61" s="863" t="s">
        <v>175</v>
      </c>
      <c r="E61" s="874" t="str">
        <f>HYPERLINK("https://www.reddit.com/r/RMTK/comments/cpghk3/kamerbrief_aangaande_publicatie_rapport_wet/","Kamerbrief aangaande publicatie Rapport Wet nationaal Woonplan")</f>
        <v>Kamerbrief aangaande publicatie Rapport Wet nationaal Woonplan</v>
      </c>
      <c r="F61" s="857"/>
      <c r="G61" s="141" t="s">
        <v>619</v>
      </c>
      <c r="H61" s="864" t="s">
        <v>119</v>
      </c>
      <c r="I61" s="859" t="s">
        <v>119</v>
      </c>
      <c r="J61" s="860"/>
      <c r="K61" s="861" t="s">
        <v>56</v>
      </c>
    </row>
    <row r="62" ht="17.25" customHeight="1">
      <c r="B62" s="141" t="s">
        <v>359</v>
      </c>
      <c r="C62" s="863" t="s">
        <v>784</v>
      </c>
      <c r="D62" s="863" t="s">
        <v>650</v>
      </c>
      <c r="E62" s="874" t="str">
        <f>HYPERLINK("https://www.reddit.com/r/RMTK/comments/cr3zii/ks0028_kamerbrief_aangaande_gegevens_rondom/","Kamerbrief aangaande gegevens rondom incidenten asielzoekers")</f>
        <v>Kamerbrief aangaande gegevens rondom incidenten asielzoekers</v>
      </c>
      <c r="F62" s="857"/>
      <c r="G62" s="141" t="s">
        <v>579</v>
      </c>
      <c r="H62" s="864" t="s">
        <v>119</v>
      </c>
      <c r="I62" s="859" t="s">
        <v>119</v>
      </c>
      <c r="J62" s="860"/>
      <c r="K62" s="861" t="s">
        <v>56</v>
      </c>
    </row>
    <row r="63" ht="17.25" customHeight="1">
      <c r="B63" s="141" t="s">
        <v>949</v>
      </c>
      <c r="C63" s="891" t="s">
        <v>456</v>
      </c>
      <c r="D63" s="891" t="s">
        <v>118</v>
      </c>
      <c r="E63" s="874" t="str">
        <f>HYPERLINK("https://www.reddit.com/r/RMTK/comments/crbay6/db0019_debat_naar_aanleiding_overlast_amerikaanse/","Debat naar aanleiding overlast Amerikaanse rivierkreeft")</f>
        <v>Debat naar aanleiding overlast Amerikaanse rivierkreeft</v>
      </c>
      <c r="F63" s="857"/>
      <c r="G63" s="141" t="s">
        <v>622</v>
      </c>
      <c r="H63" s="862" t="s">
        <v>636</v>
      </c>
      <c r="I63" s="859" t="s">
        <v>119</v>
      </c>
      <c r="J63" s="860"/>
      <c r="K63" s="861" t="s">
        <v>56</v>
      </c>
    </row>
    <row r="64" ht="17.25" customHeight="1">
      <c r="B64" s="141" t="s">
        <v>369</v>
      </c>
      <c r="C64" s="863" t="s">
        <v>784</v>
      </c>
      <c r="D64" s="863" t="s">
        <v>662</v>
      </c>
      <c r="E64" s="874" t="str">
        <f>HYPERLINK("https://www.reddit.com/r/RMTK/comments/csgdiv/ks0029_kamerbrief_aangaande_het_klimaatjaarverslag/","Kamerbrief aangaande het Klimaatjaarverslag")</f>
        <v>Kamerbrief aangaande het Klimaatjaarverslag</v>
      </c>
      <c r="F64" s="857"/>
      <c r="G64" s="141" t="s">
        <v>622</v>
      </c>
      <c r="H64" s="864" t="s">
        <v>119</v>
      </c>
      <c r="I64" s="859" t="s">
        <v>119</v>
      </c>
      <c r="J64" s="860"/>
      <c r="K64" s="861" t="s">
        <v>56</v>
      </c>
    </row>
    <row r="65" ht="17.25" customHeight="1">
      <c r="B65" s="141" t="s">
        <v>396</v>
      </c>
      <c r="C65" s="863" t="s">
        <v>784</v>
      </c>
      <c r="D65" s="863" t="s">
        <v>578</v>
      </c>
      <c r="E65" s="874" t="str">
        <f>HYPERLINK("https://www.reddit.com/r/RMTK/comments/ctksvu/ks0030_kamerbrief_aangaande_aanschaf_f35/","Kamerbrief aangaande aanschaf F-35")</f>
        <v>Kamerbrief aangaande aanschaf F-35</v>
      </c>
      <c r="F65" s="857"/>
      <c r="G65" s="141" t="s">
        <v>561</v>
      </c>
      <c r="H65" s="864" t="s">
        <v>119</v>
      </c>
      <c r="I65" s="859" t="s">
        <v>119</v>
      </c>
      <c r="J65" s="860"/>
      <c r="K65" s="861" t="s">
        <v>56</v>
      </c>
    </row>
    <row r="66" ht="17.25" customHeight="1">
      <c r="B66" s="141" t="s">
        <v>950</v>
      </c>
      <c r="C66" s="893" t="s">
        <v>461</v>
      </c>
      <c r="D66" s="893" t="s">
        <v>673</v>
      </c>
      <c r="E66" s="874" t="str">
        <f>HYPERLINK("https://www.reddit.com/r/RMTK/comments/cuesp9/db0020_debat_aangaande_het_cre%C3%ABren_en_handhaven/:","Debat aangaande het creëren en handhaven van vuurwerkvrije zones")</f>
        <v>Debat aangaande het creëren en handhaven van vuurwerkvrije zones</v>
      </c>
      <c r="F66" s="857"/>
      <c r="G66" s="141" t="s">
        <v>579</v>
      </c>
      <c r="H66" s="862" t="s">
        <v>636</v>
      </c>
      <c r="I66" s="859" t="s">
        <v>119</v>
      </c>
      <c r="J66" s="860"/>
      <c r="K66" s="861" t="s">
        <v>56</v>
      </c>
    </row>
    <row r="67" ht="17.25" customHeight="1">
      <c r="B67" s="141" t="s">
        <v>951</v>
      </c>
      <c r="C67" s="863" t="s">
        <v>784</v>
      </c>
      <c r="D67" s="863" t="s">
        <v>16</v>
      </c>
      <c r="E67" s="874" t="str">
        <f>HYPERLINK("https://www.reddit.com/r/RMTK/comments/cvotsp/ks0031_kamerbrief_aangaande_recente_zaken/","Kamerbrief aangaande recente zaken Financiën")</f>
        <v>Kamerbrief aangaande recente zaken Financiën</v>
      </c>
      <c r="F67" s="857"/>
      <c r="G67" s="141" t="s">
        <v>675</v>
      </c>
      <c r="H67" s="864" t="s">
        <v>119</v>
      </c>
      <c r="I67" s="859" t="s">
        <v>119</v>
      </c>
      <c r="J67" s="860"/>
      <c r="K67" s="861" t="s">
        <v>56</v>
      </c>
    </row>
    <row r="68" ht="17.25" customHeight="1">
      <c r="B68" s="141" t="s">
        <v>952</v>
      </c>
      <c r="C68" s="890" t="s">
        <v>446</v>
      </c>
      <c r="D68" s="890" t="s">
        <v>122</v>
      </c>
      <c r="E68" s="874" t="str">
        <f>HYPERLINK("https://www.reddit.com/r/RMTK/comments/cxl9uw/db0021_debat_aangaande_de_evenementen_in_mei_2020/","Debat aangaande de evenementen in mei 2020")</f>
        <v>Debat aangaande de evenementen in mei 2020</v>
      </c>
      <c r="F68" s="857"/>
      <c r="G68" s="141" t="s">
        <v>953</v>
      </c>
      <c r="H68" s="862" t="s">
        <v>636</v>
      </c>
      <c r="I68" s="859" t="s">
        <v>119</v>
      </c>
      <c r="J68" s="860"/>
      <c r="K68" s="861" t="s">
        <v>56</v>
      </c>
    </row>
    <row r="69" ht="17.25" customHeight="1">
      <c r="B69" s="141" t="s">
        <v>414</v>
      </c>
      <c r="C69" s="863" t="s">
        <v>784</v>
      </c>
      <c r="D69" s="863" t="s">
        <v>157</v>
      </c>
      <c r="E69" s="874" t="str">
        <f>HYPERLINK("https://www.reddit.com/r/RMTK/comments/cyt7s6/ks0032_kamerbrief_aangaande_tweedaags_amerikaans/","Kamerbrief aangaande tweedaags Amerikaans staatsbezoek en NAVO-top in Nederland")</f>
        <v>Kamerbrief aangaande tweedaags Amerikaans staatsbezoek en NAVO-top in Nederland</v>
      </c>
      <c r="F69" s="857"/>
      <c r="G69" s="141" t="s">
        <v>566</v>
      </c>
      <c r="H69" s="864" t="s">
        <v>119</v>
      </c>
      <c r="I69" s="859" t="s">
        <v>119</v>
      </c>
      <c r="J69" s="860"/>
      <c r="K69" s="861" t="s">
        <v>56</v>
      </c>
    </row>
    <row r="70" ht="17.25" customHeight="1">
      <c r="B70" s="141" t="s">
        <v>954</v>
      </c>
      <c r="C70" s="863" t="s">
        <v>784</v>
      </c>
      <c r="D70" s="863" t="s">
        <v>175</v>
      </c>
      <c r="E70" s="874" t="str">
        <f>HYPERLINK("https://www.reddit.com/r/RMTK/comments/cz87wh/kb0010_koninklijk_besluit_aanwijzing/","Koninklijk Besluit aanwijzing natuurramp-gemeenten")</f>
        <v>Koninklijk Besluit aanwijzing natuurramp-gemeenten</v>
      </c>
      <c r="F70" s="857"/>
      <c r="G70" s="141" t="s">
        <v>619</v>
      </c>
      <c r="H70" s="864" t="s">
        <v>119</v>
      </c>
      <c r="I70" s="859" t="s">
        <v>636</v>
      </c>
      <c r="J70" s="860"/>
      <c r="K70" s="861" t="s">
        <v>56</v>
      </c>
    </row>
    <row r="71" ht="17.25" customHeight="1">
      <c r="B71" s="141" t="s">
        <v>955</v>
      </c>
      <c r="C71" s="863" t="s">
        <v>784</v>
      </c>
      <c r="D71" s="863" t="s">
        <v>650</v>
      </c>
      <c r="E71" s="874" t="str">
        <f>HYPERLINK("https://www.reddit.com/r/RMTK/comments/d00zna/ks0033_kamerbrief_aangaande_storingen_bij_het/","Kamerbrief aangaande storingen bij het alarmnummer 112")</f>
        <v>Kamerbrief aangaande storingen bij het alarmnummer 112</v>
      </c>
      <c r="F71" s="857"/>
      <c r="G71" s="141" t="s">
        <v>579</v>
      </c>
      <c r="H71" s="864" t="s">
        <v>119</v>
      </c>
      <c r="I71" s="859" t="s">
        <v>119</v>
      </c>
      <c r="J71" s="860"/>
      <c r="K71" s="861" t="s">
        <v>56</v>
      </c>
    </row>
    <row r="72" ht="17.25" customHeight="1">
      <c r="B72" s="141" t="s">
        <v>956</v>
      </c>
      <c r="C72" s="863" t="s">
        <v>784</v>
      </c>
      <c r="D72" s="863" t="s">
        <v>16</v>
      </c>
      <c r="E72" s="894" t="str">
        <f>HYPERLINK("https://www.reddit.com/r/RMTK/comments/d1s94p/ks0034_nota_van_verantwoordingsdag_begrotingsjaar/","Nota van Verantwoordingsdag Begrotingsjaar 1")</f>
        <v>Nota van Verantwoordingsdag Begrotingsjaar 1</v>
      </c>
      <c r="F72" s="857"/>
      <c r="G72" s="141" t="s">
        <v>675</v>
      </c>
      <c r="H72" s="864" t="s">
        <v>119</v>
      </c>
      <c r="I72" s="859" t="s">
        <v>119</v>
      </c>
      <c r="J72" s="860"/>
      <c r="K72" s="861" t="s">
        <v>56</v>
      </c>
    </row>
    <row r="73" ht="17.25" customHeight="1">
      <c r="B73" s="141" t="s">
        <v>957</v>
      </c>
      <c r="C73" s="863" t="s">
        <v>784</v>
      </c>
      <c r="D73" s="863" t="s">
        <v>662</v>
      </c>
      <c r="E73" s="874" t="str">
        <f>HYPERLINK("https://www.reddit.com/r/RMTK/comments/d29t81/ks0035_kamerbrief_aangaande_een_update_van_het/","Kamerbrief aangaande een update van het Klimaatplan")</f>
        <v>Kamerbrief aangaande een update van het Klimaatplan</v>
      </c>
      <c r="F73" s="857"/>
      <c r="G73" s="141" t="s">
        <v>622</v>
      </c>
      <c r="H73" s="864" t="s">
        <v>119</v>
      </c>
      <c r="I73" s="859" t="s">
        <v>119</v>
      </c>
      <c r="J73" s="860"/>
      <c r="K73" s="861" t="s">
        <v>56</v>
      </c>
    </row>
    <row r="74" ht="17.25" customHeight="1">
      <c r="B74" s="141" t="s">
        <v>958</v>
      </c>
      <c r="C74" s="873" t="s">
        <v>31</v>
      </c>
      <c r="D74" s="873" t="s">
        <v>662</v>
      </c>
      <c r="E74" s="874" t="str">
        <f>HYPERLINK("https://www.reddit.com/r/RMTK/comments/d3rovq/db0022_debat_over_de_activiteit_van_het_kabinet/
","Debat over de activiteit van het kabinet en de motiedruk vanuit de kamer")</f>
        <v>Debat over de activiteit van het kabinet en de motiedruk vanuit de kamer</v>
      </c>
      <c r="F74" s="857"/>
      <c r="G74" s="141" t="s">
        <v>559</v>
      </c>
      <c r="H74" s="862" t="s">
        <v>636</v>
      </c>
      <c r="I74" s="859" t="s">
        <v>119</v>
      </c>
      <c r="J74" s="860"/>
      <c r="K74" s="861" t="s">
        <v>56</v>
      </c>
    </row>
    <row r="75" ht="17.25" customHeight="1">
      <c r="B75" s="141" t="s">
        <v>959</v>
      </c>
      <c r="C75" s="863" t="s">
        <v>784</v>
      </c>
      <c r="D75" s="863" t="s">
        <v>118</v>
      </c>
      <c r="E75" s="874" t="str">
        <f>HYPERLINK("https://www.reddit.com/r/RMTK/comments/d5782p/ks0036_kamerbrief_aangaande_diverse/","Kamerbrief aangaande diverse infrastructurele moties")</f>
        <v>Kamerbrief aangaande diverse infrastructurele moties</v>
      </c>
      <c r="F75" s="857"/>
      <c r="G75" s="141" t="s">
        <v>622</v>
      </c>
      <c r="H75" s="864" t="s">
        <v>119</v>
      </c>
      <c r="I75" s="859" t="s">
        <v>119</v>
      </c>
      <c r="J75" s="860"/>
      <c r="K75" s="861" t="s">
        <v>56</v>
      </c>
    </row>
    <row r="76" ht="17.25" customHeight="1">
      <c r="B76" s="141" t="s">
        <v>960</v>
      </c>
      <c r="C76" s="863" t="s">
        <v>784</v>
      </c>
      <c r="D76" s="863" t="s">
        <v>299</v>
      </c>
      <c r="E76" s="895" t="str">
        <f>HYPERLINK("https://www.reddit.com/r/RMTK/comments/d6jk2w/ks0037_kamerbrief_inzake_engels_in_het/","Kamerbrief inzake Engels in het basisonderwijs en aansturing decanen voortgezet onderwijs")</f>
        <v>Kamerbrief inzake Engels in het basisonderwijs en aansturing decanen voortgezet onderwijs</v>
      </c>
      <c r="F76" s="857"/>
      <c r="G76" s="141" t="s">
        <v>593</v>
      </c>
      <c r="H76" s="864" t="s">
        <v>119</v>
      </c>
      <c r="I76" s="859" t="s">
        <v>119</v>
      </c>
      <c r="J76" s="860"/>
      <c r="K76" s="861" t="s">
        <v>56</v>
      </c>
    </row>
    <row r="77" ht="17.25" customHeight="1">
      <c r="B77" s="141" t="s">
        <v>961</v>
      </c>
      <c r="C77" s="855" t="s">
        <v>508</v>
      </c>
      <c r="D77" s="855" t="s">
        <v>56</v>
      </c>
      <c r="E77" s="896" t="str">
        <f>HYPERLINK("https://www.reddit.com/r/RMTK/comments/d6x1mc/db0023_toespraak_van_de_amerikaanse_president/","Toespraak van de Amerikaanse President")</f>
        <v>Toespraak van de Amerikaanse President</v>
      </c>
      <c r="F77" s="857"/>
      <c r="G77" s="141" t="s">
        <v>566</v>
      </c>
      <c r="H77" s="862" t="s">
        <v>564</v>
      </c>
      <c r="I77" s="859" t="s">
        <v>119</v>
      </c>
      <c r="J77" s="860"/>
      <c r="K77" s="861" t="s">
        <v>56</v>
      </c>
    </row>
    <row r="78" ht="17.25" customHeight="1">
      <c r="B78" s="141" t="s">
        <v>962</v>
      </c>
      <c r="C78" s="897" t="s">
        <v>440</v>
      </c>
      <c r="D78" s="897" t="s">
        <v>116</v>
      </c>
      <c r="E78" s="874" t="str">
        <f>HYPERLINK("https://www.reddit.com/r/RMTK/comments/d6x2m1/db0024_debat_over_de_vrijheid_van_onderwijs/","Debat over de vrijheid van onderwijs")</f>
        <v>Debat over de vrijheid van onderwijs</v>
      </c>
      <c r="F78" s="857"/>
      <c r="G78" s="141" t="s">
        <v>593</v>
      </c>
      <c r="H78" s="862" t="s">
        <v>564</v>
      </c>
      <c r="I78" s="859" t="s">
        <v>119</v>
      </c>
      <c r="J78" s="860"/>
      <c r="K78" s="861" t="s">
        <v>56</v>
      </c>
    </row>
    <row r="79" ht="17.25" customHeight="1">
      <c r="B79" s="141" t="s">
        <v>960</v>
      </c>
      <c r="C79" s="863" t="s">
        <v>784</v>
      </c>
      <c r="D79" s="863" t="s">
        <v>154</v>
      </c>
      <c r="E79" s="874" t="str">
        <f>HYPERLINK("https://www.reddit.com/r/RMTK/comments/d8u4wo/ks0038_kamerbrief_aangaande_meerdere_kamerstukken/","Kamerbrief aangaande meerdere kamerstukken en mijn afwezigheid")</f>
        <v>Kamerbrief aangaande meerdere kamerstukken en mijn afwezigheid</v>
      </c>
      <c r="F79" s="857"/>
      <c r="G79" s="141" t="s">
        <v>624</v>
      </c>
      <c r="H79" s="864" t="s">
        <v>119</v>
      </c>
      <c r="I79" s="859" t="s">
        <v>119</v>
      </c>
      <c r="J79" s="860"/>
      <c r="K79" s="861" t="s">
        <v>56</v>
      </c>
    </row>
    <row r="80" ht="17.25" customHeight="1">
      <c r="B80" s="141" t="s">
        <v>963</v>
      </c>
      <c r="C80" s="141" t="s">
        <v>713</v>
      </c>
      <c r="D80" s="141" t="s">
        <v>662</v>
      </c>
      <c r="E80" s="874" t="str">
        <f>HYPERLINK("https://www.reddit.com/r/RMTK/comments/da445c/db0025_debat_over_democratische_vernieuwing/","Debat over democratische vernieuwing")</f>
        <v>Debat over democratische vernieuwing</v>
      </c>
      <c r="F80" s="857"/>
      <c r="G80" s="141" t="s">
        <v>619</v>
      </c>
      <c r="H80" s="864" t="s">
        <v>119</v>
      </c>
      <c r="I80" s="859" t="s">
        <v>119</v>
      </c>
      <c r="J80" s="860"/>
      <c r="K80" s="861" t="s">
        <v>56</v>
      </c>
    </row>
    <row r="81" ht="7.5" customHeight="1">
      <c r="A81" s="866"/>
      <c r="B81" s="867"/>
      <c r="C81" s="868"/>
      <c r="D81" s="868"/>
      <c r="E81" s="869"/>
      <c r="F81" s="870"/>
      <c r="G81" s="867"/>
      <c r="H81" s="866"/>
      <c r="I81" s="866"/>
      <c r="J81" s="871"/>
      <c r="K81" s="866"/>
    </row>
    <row r="82" ht="17.25" customHeight="1">
      <c r="A82" s="854" t="s">
        <v>716</v>
      </c>
      <c r="B82" s="141" t="s">
        <v>964</v>
      </c>
      <c r="C82" s="863" t="s">
        <v>784</v>
      </c>
      <c r="D82" s="863" t="s">
        <v>148</v>
      </c>
      <c r="E82" s="874" t="str">
        <f>HYPERLINK("https://www.reddit.com/r/RMTK/comments/diti3r/kb0011_besluit_tot_invoering_w0009/","Besluit tot invoering W0009")</f>
        <v>Besluit tot invoering W0009</v>
      </c>
      <c r="F82" s="857"/>
      <c r="G82" s="141" t="s">
        <v>728</v>
      </c>
      <c r="H82" s="864" t="s">
        <v>119</v>
      </c>
      <c r="I82" s="898" t="s">
        <v>564</v>
      </c>
      <c r="J82" s="860"/>
      <c r="K82" s="861" t="s">
        <v>965</v>
      </c>
    </row>
    <row r="83" ht="17.25" customHeight="1">
      <c r="B83" s="141" t="s">
        <v>966</v>
      </c>
      <c r="C83" s="899" t="s">
        <v>740</v>
      </c>
      <c r="D83" s="899" t="s">
        <v>617</v>
      </c>
      <c r="E83" s="874" t="str">
        <f>HYPERLINK("https://www.reddit.com/r/RMTK/comments/djsok4/db0026_debat_over_de_vaccinatiegraad/","Debat over de vaccinatiegraad")</f>
        <v>Debat over de vaccinatiegraad</v>
      </c>
      <c r="F83" s="857"/>
      <c r="G83" s="141" t="s">
        <v>738</v>
      </c>
      <c r="H83" s="864" t="s">
        <v>119</v>
      </c>
      <c r="I83" s="859" t="s">
        <v>119</v>
      </c>
      <c r="J83" s="860"/>
      <c r="K83" s="861" t="s">
        <v>56</v>
      </c>
    </row>
    <row r="84" ht="17.25" customHeight="1">
      <c r="B84" s="141" t="s">
        <v>967</v>
      </c>
      <c r="C84" s="863" t="s">
        <v>784</v>
      </c>
      <c r="D84" s="863" t="s">
        <v>16</v>
      </c>
      <c r="E84" s="874" t="str">
        <f>HYPERLINK("https://www.reddit.com/r/RMTK/comments/dk4pqn/kb0012_besluit_houdende_het_verlenen_van_ontslag/","Besluit houdende het verlenen van ontslag aan /u/123ricardo210 als Vice-Minister-President")</f>
        <v>Besluit houdende het verlenen van ontslag aan /u/123ricardo210 als Vice-Minister-President</v>
      </c>
      <c r="F84" s="857"/>
      <c r="G84" s="141" t="s">
        <v>559</v>
      </c>
      <c r="H84" s="861" t="s">
        <v>119</v>
      </c>
      <c r="I84" s="861" t="s">
        <v>636</v>
      </c>
      <c r="J84" s="860"/>
      <c r="K84" s="861" t="s">
        <v>56</v>
      </c>
    </row>
    <row r="85" ht="17.25" customHeight="1">
      <c r="B85" s="141" t="s">
        <v>968</v>
      </c>
      <c r="C85" s="863" t="s">
        <v>784</v>
      </c>
      <c r="D85" s="863" t="s">
        <v>662</v>
      </c>
      <c r="E85" s="874" t="str">
        <f>HYPERLINK("https://www.reddit.com/r/RMTK/comments/dkz47t/ks0038_kamerbrief_aangaande_het_klimaatplan_en_de/","Kamerbrief aangaande het klimaatplan en de op te richten klimaatplancommissie")</f>
        <v>Kamerbrief aangaande het klimaatplan en de op te richten klimaatplancommissie</v>
      </c>
      <c r="F85" s="857"/>
      <c r="G85" s="141" t="s">
        <v>841</v>
      </c>
      <c r="H85" s="861" t="s">
        <v>119</v>
      </c>
      <c r="I85" s="861" t="s">
        <v>119</v>
      </c>
      <c r="J85" s="860"/>
      <c r="K85" s="861" t="s">
        <v>56</v>
      </c>
    </row>
    <row r="86" ht="17.25" customHeight="1">
      <c r="B86" s="141" t="s">
        <v>969</v>
      </c>
      <c r="C86" s="863" t="s">
        <v>784</v>
      </c>
      <c r="D86" s="863" t="s">
        <v>148</v>
      </c>
      <c r="E86" s="874" t="str">
        <f>HYPERLINK("https://www.reddit.com/r/RMTK/comments/dljb5q/ks0039_kamerbrief_aangaande_diverse_moties/","Kamerbrief aangaande diverse moties betreffende K&amp;N")</f>
        <v>Kamerbrief aangaande diverse moties betreffende K&amp;N</v>
      </c>
      <c r="F86" s="857"/>
      <c r="G86" s="141" t="s">
        <v>728</v>
      </c>
      <c r="H86" s="861" t="s">
        <v>119</v>
      </c>
      <c r="I86" s="861" t="s">
        <v>119</v>
      </c>
      <c r="J86" s="860"/>
      <c r="K86" s="861" t="s">
        <v>56</v>
      </c>
    </row>
    <row r="87" ht="17.25" customHeight="1">
      <c r="B87" s="141" t="s">
        <v>970</v>
      </c>
      <c r="C87" s="900" t="s">
        <v>36</v>
      </c>
      <c r="D87" s="900" t="s">
        <v>118</v>
      </c>
      <c r="E87" s="874" t="str">
        <f>HYPERLINK("https://www.reddit.com/r/RMTK/comments/dq9eeb/db0027_debat_na_berichtgeving_nationale_ombudsman/","Debat na berichtgeving nationale ombudsman rondom de kloof tussen overheid en burger")</f>
        <v>Debat na berichtgeving nationale ombudsman rondom de kloof tussen overheid en burger</v>
      </c>
      <c r="F87" s="857"/>
      <c r="G87" s="141" t="s">
        <v>723</v>
      </c>
      <c r="H87" s="861" t="s">
        <v>119</v>
      </c>
      <c r="I87" s="861" t="s">
        <v>119</v>
      </c>
      <c r="J87" s="860"/>
      <c r="K87" s="861" t="s">
        <v>56</v>
      </c>
    </row>
    <row r="88" ht="17.25" customHeight="1">
      <c r="B88" s="141" t="s">
        <v>971</v>
      </c>
      <c r="C88" s="863" t="s">
        <v>784</v>
      </c>
      <c r="D88" s="863" t="s">
        <v>116</v>
      </c>
      <c r="E88" s="874" t="str">
        <f>HYPERLINK("https://www.reddit.com/r/RMTK/comments/doaj6a/kb0013_besluit_sancties_turkije/","Besluit sancties Turkije")</f>
        <v>Besluit sancties Turkije</v>
      </c>
      <c r="F88" s="857"/>
      <c r="G88" s="141" t="s">
        <v>726</v>
      </c>
      <c r="H88" s="861" t="s">
        <v>119</v>
      </c>
      <c r="I88" s="861" t="s">
        <v>636</v>
      </c>
      <c r="J88" s="860"/>
      <c r="K88" s="861" t="s">
        <v>56</v>
      </c>
    </row>
    <row r="89" ht="17.25" customHeight="1">
      <c r="B89" s="141" t="s">
        <v>972</v>
      </c>
      <c r="C89" s="440" t="s">
        <v>784</v>
      </c>
      <c r="D89" s="440" t="s">
        <v>16</v>
      </c>
      <c r="E89" s="874" t="str">
        <f>HYPERLINK("https://www.reddit.com/r/RMTK/comments/dr0l46/kb0013_besluit_houdende_het_vervangen_van_de/","Besluit houdende het vervangen van de Minister van BZKJ")</f>
        <v>Besluit houdende het vervangen van de Minister van BZKJ</v>
      </c>
      <c r="F89" s="857"/>
      <c r="G89" s="141" t="s">
        <v>559</v>
      </c>
      <c r="H89" s="861" t="s">
        <v>119</v>
      </c>
      <c r="I89" s="861" t="s">
        <v>636</v>
      </c>
      <c r="J89" s="860"/>
      <c r="K89" s="861" t="s">
        <v>56</v>
      </c>
    </row>
    <row r="90" ht="17.25" customHeight="1">
      <c r="B90" s="141" t="s">
        <v>973</v>
      </c>
      <c r="C90" s="901" t="s">
        <v>784</v>
      </c>
      <c r="D90" s="863" t="s">
        <v>115</v>
      </c>
      <c r="E90" s="874" t="str">
        <f>HYPERLINK("https://www.reddit.com/r/RMTK/comments/duvoae/kb0015_besluit_houdende_intrekking_van_het/","Besluit houdende intrekking van het besluit tot invoering W0009")</f>
        <v>Besluit houdende intrekking van het besluit tot invoering W0009</v>
      </c>
      <c r="F90" s="857"/>
      <c r="G90" s="141" t="s">
        <v>728</v>
      </c>
      <c r="H90" s="861" t="s">
        <v>119</v>
      </c>
      <c r="I90" s="861" t="s">
        <v>636</v>
      </c>
      <c r="J90" s="860"/>
      <c r="K90" s="861" t="s">
        <v>56</v>
      </c>
    </row>
    <row r="91" ht="17.25" customHeight="1">
      <c r="B91" s="141" t="s">
        <v>974</v>
      </c>
      <c r="C91" s="440" t="s">
        <v>784</v>
      </c>
      <c r="D91" s="440" t="s">
        <v>16</v>
      </c>
      <c r="E91" s="874" t="str">
        <f>HYPERLINK("https://www.reddit.com/r/RMTK/comments/dvxmgp/kb0016_besluit_houdende_het_vervangen_van_de/","Besluit houdende het vervangen van de Minister van Veiligheid en Defensie")</f>
        <v>Besluit houdende het vervangen van de Minister van Veiligheid en Defensie</v>
      </c>
      <c r="F91" s="857"/>
      <c r="G91" s="141" t="s">
        <v>559</v>
      </c>
      <c r="H91" s="861" t="s">
        <v>119</v>
      </c>
      <c r="I91" s="861" t="s">
        <v>636</v>
      </c>
      <c r="J91" s="860"/>
      <c r="K91" s="861" t="s">
        <v>56</v>
      </c>
    </row>
    <row r="92" ht="17.25" customHeight="1">
      <c r="B92" s="141" t="s">
        <v>975</v>
      </c>
      <c r="C92" s="440" t="s">
        <v>784</v>
      </c>
      <c r="D92" s="440" t="s">
        <v>16</v>
      </c>
      <c r="E92" s="874" t="str">
        <f>HYPERLINK("https://www.reddit.com/r/RMTK/comments/dwcb89/ks0040_kamerbrief_aangaande_recentelijk/","Kamerbrief aangaande recentelijk aangenomen moties (0114-0116)")</f>
        <v>Kamerbrief aangaande recentelijk aangenomen moties (0114-0116)</v>
      </c>
      <c r="F92" s="857"/>
      <c r="G92" s="141" t="s">
        <v>559</v>
      </c>
      <c r="H92" s="861" t="s">
        <v>119</v>
      </c>
      <c r="I92" s="861" t="s">
        <v>119</v>
      </c>
      <c r="J92" s="860"/>
      <c r="K92" s="861" t="s">
        <v>56</v>
      </c>
    </row>
    <row r="93" ht="17.25" customHeight="1">
      <c r="B93" s="141" t="s">
        <v>976</v>
      </c>
      <c r="C93" s="900" t="s">
        <v>36</v>
      </c>
      <c r="D93" s="900" t="s">
        <v>118</v>
      </c>
      <c r="E93" s="874" t="str">
        <f>HYPERLINK("https://www.reddit.com/r/RMTK/comments/dwt0aa/db0028_debat_na_aanleiding_terroristische_aanslag/","Debat na aanleiding terroristische aanslag op het Binnenhof door radicale Friese separatisten")</f>
        <v>Debat na aanleiding terroristische aanslag op het Binnenhof door radicale Friese separatisten</v>
      </c>
      <c r="F93" s="857"/>
      <c r="G93" s="141" t="s">
        <v>718</v>
      </c>
      <c r="H93" s="861" t="s">
        <v>119</v>
      </c>
      <c r="I93" s="861" t="s">
        <v>119</v>
      </c>
      <c r="J93" s="860"/>
      <c r="K93" s="861" t="s">
        <v>56</v>
      </c>
    </row>
    <row r="94" ht="17.25" customHeight="1">
      <c r="B94" s="141" t="s">
        <v>977</v>
      </c>
      <c r="C94" s="440" t="s">
        <v>784</v>
      </c>
      <c r="D94" s="863" t="s">
        <v>662</v>
      </c>
      <c r="E94" s="874" t="str">
        <f>HYPERLINK("https://www.reddit.com/r/RMTK/comments/dy8u9e/ks0041_kamerbrief_over_de_vorderingen_van_de/","Kamerbrief over de vorderingen van de klimaatplancommissie")</f>
        <v>Kamerbrief over de vorderingen van de klimaatplancommissie</v>
      </c>
      <c r="F94" s="857"/>
      <c r="G94" s="141" t="s">
        <v>841</v>
      </c>
      <c r="H94" s="861" t="s">
        <v>119</v>
      </c>
      <c r="I94" s="861" t="s">
        <v>119</v>
      </c>
      <c r="J94" s="860"/>
      <c r="K94" s="861" t="s">
        <v>56</v>
      </c>
    </row>
    <row r="95" ht="17.25" customHeight="1">
      <c r="B95" s="141" t="s">
        <v>978</v>
      </c>
      <c r="C95" s="440" t="s">
        <v>784</v>
      </c>
      <c r="D95" s="440" t="s">
        <v>16</v>
      </c>
      <c r="E95" s="874" t="str">
        <f>hyperlink("https://www.reddit.com/r/RMTK/comments/dynzzb/ks0042_kamerbrief_ter_reactie_op_aangenomen/","Kamerbrief ter reactie op aangenomen moties (0117-0121)")</f>
        <v>Kamerbrief ter reactie op aangenomen moties (0117-0121)</v>
      </c>
      <c r="F95" s="857"/>
      <c r="G95" s="141" t="s">
        <v>559</v>
      </c>
      <c r="H95" s="861" t="s">
        <v>119</v>
      </c>
      <c r="I95" s="861" t="s">
        <v>119</v>
      </c>
      <c r="J95" s="860"/>
      <c r="K95" s="861" t="s">
        <v>56</v>
      </c>
    </row>
    <row r="96" ht="17.25" customHeight="1">
      <c r="B96" s="141" t="s">
        <v>979</v>
      </c>
      <c r="C96" s="899" t="s">
        <v>740</v>
      </c>
      <c r="D96" s="899" t="s">
        <v>122</v>
      </c>
      <c r="E96" s="874" t="str">
        <f>hyperlink("https://www.reddit.com/r/RMTK/comments/dzzhd4/db0029_debat_omtrent_de_aanpak_van_racisme_in/","Debat omtrent de aanpak van racisme in Nederland")</f>
        <v>Debat omtrent de aanpak van racisme in Nederland</v>
      </c>
      <c r="F96" s="857"/>
      <c r="G96" s="141" t="s">
        <v>723</v>
      </c>
      <c r="H96" s="861" t="s">
        <v>119</v>
      </c>
      <c r="I96" s="861" t="s">
        <v>119</v>
      </c>
      <c r="J96" s="860"/>
      <c r="K96" s="861" t="s">
        <v>56</v>
      </c>
    </row>
    <row r="97" ht="17.25" customHeight="1">
      <c r="B97" s="141" t="s">
        <v>980</v>
      </c>
      <c r="C97" s="440" t="s">
        <v>784</v>
      </c>
      <c r="D97" s="440" t="s">
        <v>16</v>
      </c>
      <c r="E97" s="874" t="str">
        <f>hyperlink("https://www.reddit.com/r/RMTK/comments/e1da6f/kb0017_koninklijk_besluit_houdende_enkele/","Koninklijk Besluit houdende enkele ministeriële wijzigingen ")</f>
        <v>Koninklijk Besluit houdende enkele ministeriële wijzigingen </v>
      </c>
      <c r="F97" s="857"/>
      <c r="G97" s="141" t="s">
        <v>559</v>
      </c>
      <c r="H97" s="861" t="s">
        <v>119</v>
      </c>
      <c r="I97" s="861" t="s">
        <v>636</v>
      </c>
      <c r="J97" s="860"/>
      <c r="K97" s="861" t="s">
        <v>56</v>
      </c>
    </row>
    <row r="98" ht="17.25" customHeight="1">
      <c r="B98" s="141" t="s">
        <v>981</v>
      </c>
      <c r="C98" s="440" t="s">
        <v>784</v>
      </c>
      <c r="D98" s="863" t="s">
        <v>982</v>
      </c>
      <c r="E98" s="902" t="str">
        <f>hyperlink("https://www.reddit.com/r/RMTK/comments/e2i01k/ks0043_update_van_werkzaamheden_minister/","Update van werkzaamheden minister /u/sushishine")</f>
        <v>Update van werkzaamheden minister /u/sushishine</v>
      </c>
      <c r="F98" s="857"/>
      <c r="G98" s="141" t="s">
        <v>728</v>
      </c>
      <c r="H98" s="861" t="s">
        <v>119</v>
      </c>
      <c r="I98" s="861" t="s">
        <v>119</v>
      </c>
      <c r="J98" s="860"/>
      <c r="K98" s="861" t="s">
        <v>56</v>
      </c>
    </row>
    <row r="99" ht="17.25" customHeight="1">
      <c r="B99" s="141" t="s">
        <v>983</v>
      </c>
      <c r="C99" s="863" t="s">
        <v>784</v>
      </c>
      <c r="D99" s="863" t="s">
        <v>116</v>
      </c>
      <c r="E99" s="874" t="str">
        <f>hyperlink("https://www.reddit.com/r/RMTK/comments/e2n3fu/kb0018_besluit_ter_verlenging_van_de_tijdelijke/?","Besluit Ter Verlenging Van De Tijdelijke Sanctiewet Saudi-Arabië")</f>
        <v>Besluit Ter Verlenging Van De Tijdelijke Sanctiewet Saudi-Arabië</v>
      </c>
      <c r="F99" s="857"/>
      <c r="G99" s="141" t="s">
        <v>726</v>
      </c>
      <c r="H99" s="861" t="s">
        <v>119</v>
      </c>
      <c r="I99" s="861" t="s">
        <v>636</v>
      </c>
      <c r="J99" s="860"/>
      <c r="K99" s="861" t="s">
        <v>56</v>
      </c>
    </row>
    <row r="100" ht="17.25" customHeight="1">
      <c r="B100" s="141" t="s">
        <v>984</v>
      </c>
      <c r="C100" s="863" t="s">
        <v>784</v>
      </c>
      <c r="D100" s="863" t="s">
        <v>116</v>
      </c>
      <c r="E100" s="896" t="str">
        <f>hyperlink("https://www.reddit.com/r/RMTK/comments/e2z3ps/ks0044_kamerbrief_bezoek_zweden/","Kamerbrief bezoek Zweden")</f>
        <v>Kamerbrief bezoek Zweden</v>
      </c>
      <c r="F100" s="857"/>
      <c r="G100" s="141" t="s">
        <v>726</v>
      </c>
      <c r="H100" s="861" t="s">
        <v>119</v>
      </c>
      <c r="I100" s="861" t="s">
        <v>119</v>
      </c>
      <c r="J100" s="860"/>
      <c r="K100" s="861" t="s">
        <v>56</v>
      </c>
    </row>
    <row r="101">
      <c r="B101" s="141" t="s">
        <v>985</v>
      </c>
      <c r="C101" s="900" t="s">
        <v>36</v>
      </c>
      <c r="D101" s="900" t="s">
        <v>155</v>
      </c>
      <c r="E101" s="896" t="str">
        <f>HYPERLINK("https://www.reddit.com/r/RMTK/comments/e3eh0w/db0030_debat_over_de_poging_tot_lynchpartij_in/","Debat over de poging tot lynchpartij in Gorinchem")</f>
        <v>Debat over de poging tot lynchpartij in Gorinchem</v>
      </c>
      <c r="F101" s="857"/>
      <c r="G101" s="141" t="s">
        <v>723</v>
      </c>
      <c r="H101" s="861" t="s">
        <v>119</v>
      </c>
      <c r="I101" s="861" t="s">
        <v>119</v>
      </c>
      <c r="J101" s="860"/>
      <c r="K101" s="861" t="s">
        <v>56</v>
      </c>
    </row>
    <row r="102">
      <c r="B102" s="141" t="s">
        <v>986</v>
      </c>
      <c r="C102" s="863" t="s">
        <v>784</v>
      </c>
      <c r="D102" s="863" t="s">
        <v>116</v>
      </c>
      <c r="E102" s="896" t="str">
        <f>HYPERLINK("https://www.reddit.com/r/RMTK/comments/e3eh0z/kb0019_besluit_houdende_de_lijst_van_digitale/","Besluit houdende de lijst van digitale apparatuur die een gevaar kunnen zijn voor de nationale veiligheid")</f>
        <v>Besluit houdende de lijst van digitale apparatuur die een gevaar kunnen zijn voor de nationale veiligheid</v>
      </c>
      <c r="F102" s="857"/>
      <c r="G102" s="141" t="s">
        <v>726</v>
      </c>
      <c r="H102" s="861" t="s">
        <v>119</v>
      </c>
      <c r="I102" s="861" t="s">
        <v>636</v>
      </c>
      <c r="J102" s="860"/>
      <c r="K102" s="861" t="s">
        <v>56</v>
      </c>
    </row>
    <row r="103" ht="7.5" customHeight="1">
      <c r="A103" s="866"/>
      <c r="B103" s="867"/>
      <c r="C103" s="868"/>
      <c r="D103" s="868"/>
      <c r="E103" s="869"/>
      <c r="F103" s="870"/>
      <c r="G103" s="867"/>
      <c r="H103" s="866"/>
      <c r="I103" s="866"/>
      <c r="J103" s="871"/>
      <c r="K103" s="866"/>
    </row>
    <row r="104" ht="17.25" customHeight="1">
      <c r="A104" s="854" t="s">
        <v>745</v>
      </c>
      <c r="B104" s="141" t="s">
        <v>987</v>
      </c>
      <c r="C104" s="900" t="s">
        <v>36</v>
      </c>
      <c r="D104" s="900" t="s">
        <v>118</v>
      </c>
      <c r="E104" s="874" t="str">
        <f>HYPERLINK("https://www.reddit.com/r/RMTK/comments/e7emxu/db0031_debat_aangaande_heroverwegen_toestaan_van/","Debat aangaande heroverwegen toestaan van pulsvisserij")</f>
        <v>Debat aangaande heroverwegen toestaan van pulsvisserij</v>
      </c>
      <c r="F104" s="857"/>
      <c r="G104" s="141" t="s">
        <v>741</v>
      </c>
      <c r="H104" s="141" t="s">
        <v>564</v>
      </c>
      <c r="I104" s="861" t="s">
        <v>119</v>
      </c>
      <c r="J104" s="860"/>
      <c r="K104" s="861" t="s">
        <v>56</v>
      </c>
    </row>
    <row r="105" ht="17.25" customHeight="1">
      <c r="B105" s="141" t="s">
        <v>988</v>
      </c>
      <c r="C105" s="440" t="s">
        <v>784</v>
      </c>
      <c r="D105" s="440" t="s">
        <v>16</v>
      </c>
      <c r="E105" s="894" t="str">
        <f>HYPERLINK("https://www.reddit.com/r/RMTK/comments/e7m5ms/ks0045_nota_aangaande_verantwoordingsdag/","Nota aangaande Verantwoordingsdag Begrotingsjaar II")</f>
        <v>Nota aangaande Verantwoordingsdag Begrotingsjaar II</v>
      </c>
      <c r="F105" s="857"/>
      <c r="G105" s="141" t="s">
        <v>595</v>
      </c>
      <c r="H105" s="861" t="s">
        <v>119</v>
      </c>
      <c r="I105" s="861" t="s">
        <v>119</v>
      </c>
      <c r="J105" s="860"/>
      <c r="K105" s="861" t="s">
        <v>56</v>
      </c>
    </row>
    <row r="106" ht="17.25" customHeight="1">
      <c r="B106" s="141" t="s">
        <v>989</v>
      </c>
      <c r="C106" s="440" t="s">
        <v>784</v>
      </c>
      <c r="D106" s="863" t="s">
        <v>37</v>
      </c>
      <c r="E106" s="874" t="str">
        <f>HYPERLINK("https://www.reddit.com/r/RMTK/comments/eccq4e/ks0046_kamerbrief_aangaande_aangenomen_motie_m0129/","Kamerbrief aangaande aangenomen motie M0129")</f>
        <v>Kamerbrief aangaande aangenomen motie M0129</v>
      </c>
      <c r="F106" s="857"/>
      <c r="G106" s="141" t="s">
        <v>741</v>
      </c>
      <c r="H106" s="861" t="s">
        <v>119</v>
      </c>
      <c r="I106" s="861" t="s">
        <v>119</v>
      </c>
      <c r="J106" s="860"/>
      <c r="K106" s="861" t="s">
        <v>56</v>
      </c>
    </row>
    <row r="107" ht="17.25" customHeight="1">
      <c r="B107" s="141" t="s">
        <v>990</v>
      </c>
      <c r="C107" s="440" t="s">
        <v>784</v>
      </c>
      <c r="D107" s="863" t="s">
        <v>37</v>
      </c>
      <c r="E107" s="874" t="str">
        <f>HYPERLINK("https://www.reddit.com/r/RMTK/comments/e9flpx/ks0047_kamerbrief_aangaande_toelichting/","Kamerbrief aangaande toelichting Miljoenennota 2020 betreffende Klimaat en Infrastructuur")</f>
        <v>Kamerbrief aangaande toelichting Miljoenennota 2020 betreffende Klimaat en Infrastructuur</v>
      </c>
      <c r="F107" s="857"/>
      <c r="G107" s="141" t="s">
        <v>741</v>
      </c>
      <c r="H107" s="861" t="s">
        <v>119</v>
      </c>
      <c r="I107" s="861" t="s">
        <v>119</v>
      </c>
      <c r="J107" s="860"/>
      <c r="K107" s="861" t="s">
        <v>56</v>
      </c>
    </row>
    <row r="108" ht="17.25" customHeight="1">
      <c r="B108" s="141" t="s">
        <v>991</v>
      </c>
      <c r="C108" s="440" t="s">
        <v>784</v>
      </c>
      <c r="D108" s="863" t="s">
        <v>37</v>
      </c>
      <c r="E108" s="874" t="str">
        <f>HYPERLINK("https://www.reddit.com/r/RMTK/comments/ebv0ue/ks0048_kamerbrief_aangaande_het_voortzetten_van/","Kamerbrief aangaande het voortzetten van het klimaatplan")</f>
        <v>Kamerbrief aangaande het voortzetten van het klimaatplan</v>
      </c>
      <c r="F108" s="857"/>
      <c r="G108" s="141" t="s">
        <v>741</v>
      </c>
      <c r="H108" s="861" t="s">
        <v>119</v>
      </c>
      <c r="I108" s="861" t="s">
        <v>119</v>
      </c>
      <c r="J108" s="860"/>
      <c r="K108" s="861" t="s">
        <v>56</v>
      </c>
    </row>
    <row r="109" ht="17.25" customHeight="1">
      <c r="B109" s="141" t="s">
        <v>992</v>
      </c>
      <c r="C109" s="897" t="s">
        <v>440</v>
      </c>
      <c r="D109" s="897" t="s">
        <v>107</v>
      </c>
      <c r="E109" s="903" t="str">
        <f>HYPERLINK("https://www.reddit.com/r/RMTK/comments/eccua0/db0032_debat_aangaande_klimaatstaking_fridays_for/","Debat aangaande klimaatstaking Fridays For Future Nederland")</f>
        <v>Debat aangaande klimaatstaking Fridays For Future Nederland</v>
      </c>
      <c r="F109" s="857"/>
      <c r="G109" s="141" t="s">
        <v>741</v>
      </c>
      <c r="H109" s="861" t="s">
        <v>119</v>
      </c>
      <c r="I109" s="861" t="s">
        <v>119</v>
      </c>
      <c r="J109" s="860"/>
      <c r="K109" s="861" t="s">
        <v>56</v>
      </c>
    </row>
    <row r="110" ht="17.25" customHeight="1">
      <c r="B110" s="141" t="s">
        <v>993</v>
      </c>
      <c r="C110" s="440" t="s">
        <v>784</v>
      </c>
      <c r="D110" s="863" t="s">
        <v>25</v>
      </c>
      <c r="E110" s="874" t="str">
        <f>HYPERLINK("https://www.reddit.com/r/RMTK/comments/esblyq/kb0020_besluit_tot_wijziging_van_de_lijsten/","Besluit tot wijziging van de lijsten behorende bij de Opiumwet")</f>
        <v>Besluit tot wijziging van de lijsten behorende bij de Opiumwet</v>
      </c>
      <c r="F110" s="857"/>
      <c r="G110" s="141" t="s">
        <v>624</v>
      </c>
      <c r="H110" s="861" t="s">
        <v>119</v>
      </c>
      <c r="I110" s="861" t="s">
        <v>636</v>
      </c>
      <c r="J110" s="860"/>
      <c r="K110" s="861" t="s">
        <v>56</v>
      </c>
    </row>
    <row r="111" ht="17.25" customHeight="1">
      <c r="B111" s="141" t="s">
        <v>994</v>
      </c>
      <c r="C111" s="440" t="s">
        <v>784</v>
      </c>
      <c r="D111" s="863" t="s">
        <v>153</v>
      </c>
      <c r="E111" s="874" t="str">
        <f>HYPERLINK("https://www.reddit.com/r/RMTK/comments/esssiw/kb0021_besluit_op_exportvergunning_aan_asml/","Besluit op exportvergunning aan ASML Holding N.V.")</f>
        <v>Besluit op exportvergunning aan ASML Holding N.V.</v>
      </c>
      <c r="F111" s="857"/>
      <c r="G111" s="141" t="s">
        <v>750</v>
      </c>
      <c r="H111" s="861" t="s">
        <v>119</v>
      </c>
      <c r="I111" s="861" t="s">
        <v>636</v>
      </c>
      <c r="J111" s="860"/>
      <c r="K111" s="861" t="s">
        <v>56</v>
      </c>
    </row>
    <row r="112" ht="17.25" customHeight="1">
      <c r="B112" s="141" t="s">
        <v>995</v>
      </c>
      <c r="C112" s="899" t="s">
        <v>740</v>
      </c>
      <c r="D112" s="899" t="s">
        <v>16</v>
      </c>
      <c r="E112" s="874" t="str">
        <f>HYPERLINK("https://www.reddit.com/r/RMTK/comments/eunlle/db0033_debat_aangaande_het_recente_asielverzoek/","Debat aangaande het recente asielverzoek aan de IND")</f>
        <v>Debat aangaande het recente asielverzoek aan de IND</v>
      </c>
      <c r="F112" s="857"/>
      <c r="G112" s="141" t="s">
        <v>723</v>
      </c>
      <c r="H112" s="141" t="s">
        <v>564</v>
      </c>
      <c r="I112" s="861" t="s">
        <v>119</v>
      </c>
      <c r="J112" s="860"/>
      <c r="K112" s="861" t="s">
        <v>56</v>
      </c>
    </row>
    <row r="113" ht="17.25" customHeight="1">
      <c r="B113" s="141" t="s">
        <v>996</v>
      </c>
      <c r="C113" s="440" t="s">
        <v>784</v>
      </c>
      <c r="D113" s="440" t="s">
        <v>16</v>
      </c>
      <c r="E113" s="892" t="str">
        <f>hyperlink("https://www.reddit.com/r/RMTK/comments/eyp1k3/kb0022_koninklijk_besluit_van_27_januari_2020/","Koninklijk Besluit van 27 januari 2020, houdende het verlenen van vrijstelling op de in de Algemene Rustwet vervatte verboden, het wijzigen van het Arbeidstijdenbesluit en het regelen van inwerkingtreding van de Algemene Rustwet")</f>
        <v>Koninklijk Besluit van 27 januari 2020, houdende het verlenen van vrijstelling op de in de Algemene Rustwet vervatte verboden, het wijzigen van het Arbeidstijdenbesluit en het regelen van inwerkingtreding van de Algemene Rustwet</v>
      </c>
      <c r="F113" s="857"/>
      <c r="G113" s="141" t="s">
        <v>595</v>
      </c>
      <c r="H113" s="861" t="s">
        <v>119</v>
      </c>
      <c r="I113" s="861" t="s">
        <v>636</v>
      </c>
      <c r="J113" s="860"/>
      <c r="K113" s="861" t="s">
        <v>56</v>
      </c>
    </row>
    <row r="114" ht="17.25" customHeight="1">
      <c r="B114" s="141" t="s">
        <v>997</v>
      </c>
      <c r="C114" s="440" t="s">
        <v>784</v>
      </c>
      <c r="D114" s="440" t="s">
        <v>16</v>
      </c>
      <c r="E114" s="892" t="str">
        <f>HYPERLINK("https://www.reddit.com/r/RMTK/comments/falkx1/kb0023_besluit_van_19_februari_2020_houdende_het/","Besluit van 19 februari 2020, houdende het gelijkstellen van data met de dagen waarop het tweede hoofdstuk van de algemene rustwet van toepassing is")</f>
        <v>Besluit van 19 februari 2020, houdende het gelijkstellen van data met de dagen waarop het tweede hoofdstuk van de algemene rustwet van toepassing is</v>
      </c>
      <c r="F114" s="857"/>
      <c r="G114" s="141" t="s">
        <v>595</v>
      </c>
      <c r="H114" s="861" t="s">
        <v>119</v>
      </c>
      <c r="I114" s="861" t="s">
        <v>119</v>
      </c>
      <c r="J114" s="860"/>
      <c r="K114" s="861" t="s">
        <v>56</v>
      </c>
    </row>
    <row r="115" ht="17.25" customHeight="1">
      <c r="B115" s="141" t="s">
        <v>998</v>
      </c>
      <c r="C115" s="440" t="s">
        <v>784</v>
      </c>
      <c r="D115" s="863" t="s">
        <v>153</v>
      </c>
      <c r="E115" s="874" t="str">
        <f>hyperlink("https://www.reddit.com/r/RMTK/comments/f7adfd/ks0049_kamerbrief_stand_van_zaken_aanpassing/","Kamerbrief Stand van zaken aanpassing EO-005 USA")</f>
        <v>Kamerbrief Stand van zaken aanpassing EO-005 USA</v>
      </c>
      <c r="F115" s="857"/>
      <c r="G115" s="141" t="s">
        <v>750</v>
      </c>
      <c r="H115" s="861" t="s">
        <v>119</v>
      </c>
      <c r="I115" s="861" t="s">
        <v>119</v>
      </c>
      <c r="J115" s="860"/>
      <c r="K115" s="861" t="s">
        <v>56</v>
      </c>
    </row>
    <row r="116" ht="17.25" customHeight="1">
      <c r="B116" s="141" t="s">
        <v>999</v>
      </c>
      <c r="C116" s="440" t="s">
        <v>784</v>
      </c>
      <c r="D116" s="863" t="s">
        <v>155</v>
      </c>
      <c r="E116" s="874" t="str">
        <f>HYPERLINK("https://www.reddit.com/r/RMTK/comments/fcbr2u/ks0050_kamerbrief_met_betrekking_tot_de_situatie/","Kamerbrief met betrekking tot de situatie op het Ministerie van Binnenlandse Zaken")</f>
        <v>Kamerbrief met betrekking tot de situatie op het Ministerie van Binnenlandse Zaken</v>
      </c>
      <c r="F116" s="857"/>
      <c r="G116" s="141" t="s">
        <v>723</v>
      </c>
      <c r="H116" s="861" t="s">
        <v>119</v>
      </c>
      <c r="I116" s="861" t="s">
        <v>119</v>
      </c>
      <c r="J116" s="860"/>
      <c r="K116" s="861" t="s">
        <v>56</v>
      </c>
    </row>
    <row r="117" ht="17.25" customHeight="1">
      <c r="B117" s="141" t="s">
        <v>1000</v>
      </c>
      <c r="C117" s="440" t="s">
        <v>784</v>
      </c>
      <c r="D117" s="440" t="s">
        <v>16</v>
      </c>
      <c r="E117" s="894" t="str">
        <f>HYPERLINK("https://www.reddit.com/r/RMTK/comments/fekuru/ks0051_nota_aangaande_verantwoordingsdag/","Nota aangaande Verantwoordingsdag begrotingsjaar 3")</f>
        <v>Nota aangaande Verantwoordingsdag begrotingsjaar 3</v>
      </c>
      <c r="F117" s="857"/>
      <c r="G117" s="141" t="s">
        <v>595</v>
      </c>
      <c r="H117" s="861" t="s">
        <v>119</v>
      </c>
      <c r="I117" s="861" t="s">
        <v>119</v>
      </c>
      <c r="J117" s="860"/>
      <c r="K117" s="861" t="s">
        <v>56</v>
      </c>
    </row>
    <row r="118" ht="7.5" customHeight="1">
      <c r="A118" s="866"/>
      <c r="B118" s="867"/>
      <c r="C118" s="868"/>
      <c r="D118" s="868"/>
      <c r="E118" s="869"/>
      <c r="F118" s="870"/>
      <c r="G118" s="867"/>
      <c r="H118" s="866"/>
      <c r="I118" s="866"/>
      <c r="J118" s="871"/>
      <c r="K118" s="866"/>
    </row>
    <row r="119" ht="17.25" customHeight="1">
      <c r="A119" s="683" t="s">
        <v>767</v>
      </c>
      <c r="B119" s="684" t="s">
        <v>211</v>
      </c>
      <c r="C119" s="904" t="s">
        <v>784</v>
      </c>
      <c r="D119" s="792" t="s">
        <v>118</v>
      </c>
      <c r="E119" s="905" t="str">
        <f>HYPERLINK("https://www.reddit.com/r/RMTK/comments/fw09bo/kb0024_koninklijk_besluit_412020_houdende_de/","Koninklijk Besluit, 4-1-2020, houdende de wijziging Regeling beheer rijkscollectie en subsidiëring museale instellingen teneinde het verstrekken van en leveren van subsidie voor gratis toegang voor personen tot en met het drieëntwintigste levensjaar")</f>
        <v>Koninklijk Besluit, 4-1-2020, houdende de wijziging Regeling beheer rijkscollectie en subsidiëring museale instellingen teneinde het verstrekken van en leveren van subsidie voor gratis toegang voor personen tot en met het drieëntwintigste levensjaar</v>
      </c>
      <c r="F119" s="860"/>
      <c r="G119" s="141" t="s">
        <v>593</v>
      </c>
      <c r="H119" s="861" t="s">
        <v>119</v>
      </c>
      <c r="I119" s="861" t="s">
        <v>119</v>
      </c>
      <c r="J119" s="860"/>
      <c r="K119" s="861" t="s">
        <v>56</v>
      </c>
    </row>
    <row r="120" ht="17.25" customHeight="1">
      <c r="B120" s="684" t="s">
        <v>226</v>
      </c>
      <c r="C120" s="904" t="s">
        <v>784</v>
      </c>
      <c r="D120" s="904" t="s">
        <v>16</v>
      </c>
      <c r="E120" s="789" t="str">
        <f>HYPERLINK("https://www.reddit.com/r/RMTK/comments/fx8056/ks0052_kamerbrief_aangaande_informeren_over/","Kamerbrief aangaande informeren over gemaakte fouten op het Ministerie van Financiën en Economische Zaken bij het opstellen van de nota's aangaande Verantwoordingsdag Begrotingsjaar II en III")</f>
        <v>Kamerbrief aangaande informeren over gemaakte fouten op het Ministerie van Financiën en Economische Zaken bij het opstellen van de nota's aangaande Verantwoordingsdag Begrotingsjaar II en III</v>
      </c>
      <c r="F120" s="860"/>
      <c r="G120" s="141" t="s">
        <v>595</v>
      </c>
      <c r="H120" s="861" t="s">
        <v>119</v>
      </c>
      <c r="I120" s="861" t="s">
        <v>119</v>
      </c>
      <c r="J120" s="860"/>
      <c r="K120" s="861" t="s">
        <v>56</v>
      </c>
    </row>
    <row r="121" ht="17.25" customHeight="1">
      <c r="B121" s="684" t="s">
        <v>264</v>
      </c>
      <c r="C121" s="904" t="s">
        <v>784</v>
      </c>
      <c r="D121" s="792" t="s">
        <v>123</v>
      </c>
      <c r="E121" s="823" t="s">
        <v>265</v>
      </c>
      <c r="F121" s="860"/>
      <c r="G121" s="141" t="s">
        <v>723</v>
      </c>
      <c r="H121" s="861" t="s">
        <v>119</v>
      </c>
      <c r="I121" s="861" t="s">
        <v>636</v>
      </c>
      <c r="J121" s="860"/>
      <c r="K121" s="861" t="s">
        <v>56</v>
      </c>
    </row>
    <row r="122" ht="17.25" customHeight="1">
      <c r="B122" s="684" t="s">
        <v>273</v>
      </c>
      <c r="C122" s="904" t="s">
        <v>784</v>
      </c>
      <c r="D122" s="792" t="s">
        <v>118</v>
      </c>
      <c r="E122" s="823" t="s">
        <v>274</v>
      </c>
      <c r="F122" s="860"/>
      <c r="G122" s="141" t="s">
        <v>593</v>
      </c>
      <c r="H122" s="861" t="s">
        <v>119</v>
      </c>
      <c r="I122" s="861" t="s">
        <v>119</v>
      </c>
      <c r="J122" s="860"/>
      <c r="K122" s="861" t="s">
        <v>56</v>
      </c>
    </row>
    <row r="123" ht="17.25" customHeight="1">
      <c r="B123" s="684" t="s">
        <v>291</v>
      </c>
      <c r="C123" s="904" t="s">
        <v>784</v>
      </c>
      <c r="D123" s="792" t="s">
        <v>118</v>
      </c>
      <c r="E123" s="823" t="s">
        <v>292</v>
      </c>
      <c r="F123" s="860"/>
      <c r="G123" s="141" t="s">
        <v>593</v>
      </c>
      <c r="H123" s="861" t="s">
        <v>119</v>
      </c>
      <c r="I123" s="861" t="s">
        <v>119</v>
      </c>
      <c r="J123" s="860"/>
      <c r="K123" s="861" t="s">
        <v>56</v>
      </c>
    </row>
    <row r="124" ht="17.25" customHeight="1">
      <c r="B124" s="684" t="s">
        <v>296</v>
      </c>
      <c r="C124" s="904" t="s">
        <v>784</v>
      </c>
      <c r="D124" s="792" t="s">
        <v>123</v>
      </c>
      <c r="E124" s="823" t="s">
        <v>297</v>
      </c>
      <c r="F124" s="860"/>
      <c r="G124" s="141" t="s">
        <v>723</v>
      </c>
      <c r="H124" s="861" t="s">
        <v>119</v>
      </c>
      <c r="I124" s="861" t="s">
        <v>636</v>
      </c>
      <c r="J124" s="860"/>
      <c r="K124" s="861" t="s">
        <v>56</v>
      </c>
    </row>
    <row r="125" ht="17.25" customHeight="1">
      <c r="B125" s="684" t="s">
        <v>320</v>
      </c>
      <c r="C125" s="904" t="s">
        <v>784</v>
      </c>
      <c r="D125" s="792" t="s">
        <v>123</v>
      </c>
      <c r="E125" s="699" t="str">
        <f>HYPERLINK("https://www.reddit.com/r/RMTK/comments/ghbadd/kb0027_koninklijk_besluit_ter_toevoeging_van_het/","Koninklijk Besluit ter toevoeging van het Friese Bevrijdingsleger aan de sanctieregeling terrorisme 2007-II")</f>
        <v>Koninklijk Besluit ter toevoeging van het Friese Bevrijdingsleger aan de sanctieregeling terrorisme 2007-II</v>
      </c>
      <c r="F125" s="860"/>
      <c r="G125" s="141" t="s">
        <v>723</v>
      </c>
      <c r="H125" s="861" t="s">
        <v>119</v>
      </c>
      <c r="I125" s="861" t="s">
        <v>119</v>
      </c>
      <c r="J125" s="860"/>
      <c r="K125" s="861" t="s">
        <v>56</v>
      </c>
    </row>
    <row r="126" ht="17.25" customHeight="1">
      <c r="B126" s="684" t="s">
        <v>336</v>
      </c>
      <c r="C126" s="904" t="s">
        <v>784</v>
      </c>
      <c r="D126" s="904" t="s">
        <v>16</v>
      </c>
      <c r="E126" s="906" t="s">
        <v>337</v>
      </c>
      <c r="F126" s="860"/>
      <c r="G126" s="907" t="s">
        <v>559</v>
      </c>
      <c r="H126" s="861" t="s">
        <v>119</v>
      </c>
      <c r="I126" s="861" t="s">
        <v>119</v>
      </c>
      <c r="J126" s="860"/>
      <c r="K126" s="861" t="s">
        <v>56</v>
      </c>
    </row>
    <row r="127" ht="17.25" customHeight="1">
      <c r="B127" s="684" t="s">
        <v>346</v>
      </c>
      <c r="C127" s="741" t="s">
        <v>36</v>
      </c>
      <c r="D127" s="741" t="s">
        <v>157</v>
      </c>
      <c r="E127" s="823" t="s">
        <v>348</v>
      </c>
      <c r="F127" s="860"/>
      <c r="G127" s="907" t="s">
        <v>1001</v>
      </c>
      <c r="H127" s="861" t="s">
        <v>636</v>
      </c>
      <c r="I127" s="861" t="s">
        <v>119</v>
      </c>
      <c r="J127" s="860"/>
      <c r="K127" s="861" t="s">
        <v>56</v>
      </c>
    </row>
    <row r="128" ht="17.25" customHeight="1">
      <c r="B128" s="684" t="s">
        <v>359</v>
      </c>
      <c r="C128" s="904" t="s">
        <v>784</v>
      </c>
      <c r="D128" s="904" t="s">
        <v>16</v>
      </c>
      <c r="E128" s="823" t="s">
        <v>1002</v>
      </c>
      <c r="F128" s="860"/>
      <c r="G128" s="141" t="s">
        <v>559</v>
      </c>
      <c r="H128" s="861" t="s">
        <v>119</v>
      </c>
      <c r="I128" s="861" t="s">
        <v>119</v>
      </c>
      <c r="J128" s="860"/>
      <c r="K128" s="861" t="s">
        <v>56</v>
      </c>
    </row>
    <row r="129" ht="17.25" customHeight="1">
      <c r="B129" s="684" t="s">
        <v>369</v>
      </c>
      <c r="C129" s="822" t="s">
        <v>784</v>
      </c>
      <c r="D129" s="822" t="s">
        <v>116</v>
      </c>
      <c r="E129" s="908" t="s">
        <v>370</v>
      </c>
      <c r="F129" s="860"/>
      <c r="G129" s="141" t="s">
        <v>595</v>
      </c>
      <c r="H129" s="861" t="s">
        <v>119</v>
      </c>
      <c r="I129" s="861" t="s">
        <v>119</v>
      </c>
      <c r="J129" s="860"/>
      <c r="K129" s="861" t="s">
        <v>56</v>
      </c>
    </row>
    <row r="130" ht="17.25" customHeight="1">
      <c r="B130" s="684" t="s">
        <v>396</v>
      </c>
      <c r="C130" s="904" t="s">
        <v>784</v>
      </c>
      <c r="D130" s="822" t="s">
        <v>397</v>
      </c>
      <c r="E130" s="773" t="s">
        <v>398</v>
      </c>
      <c r="F130" s="860"/>
      <c r="G130" s="141" t="s">
        <v>728</v>
      </c>
      <c r="H130" s="861" t="s">
        <v>119</v>
      </c>
      <c r="I130" s="861" t="s">
        <v>119</v>
      </c>
      <c r="J130" s="860"/>
      <c r="K130" s="861" t="s">
        <v>56</v>
      </c>
    </row>
    <row r="131" ht="17.25" customHeight="1">
      <c r="B131" s="684" t="s">
        <v>951</v>
      </c>
      <c r="C131" s="904" t="s">
        <v>784</v>
      </c>
      <c r="D131" s="822" t="s">
        <v>1003</v>
      </c>
      <c r="E131" s="909" t="s">
        <v>1004</v>
      </c>
      <c r="F131" s="860"/>
      <c r="G131" s="141" t="s">
        <v>595</v>
      </c>
      <c r="H131" s="861" t="s">
        <v>119</v>
      </c>
      <c r="I131" s="861" t="s">
        <v>119</v>
      </c>
      <c r="J131" s="860"/>
    </row>
    <row r="132" ht="17.25" customHeight="1">
      <c r="B132" s="684" t="s">
        <v>408</v>
      </c>
      <c r="C132" s="739" t="s">
        <v>24</v>
      </c>
      <c r="D132" s="739" t="s">
        <v>25</v>
      </c>
      <c r="E132" s="495" t="s">
        <v>410</v>
      </c>
      <c r="F132" s="857"/>
      <c r="G132" s="141" t="s">
        <v>750</v>
      </c>
      <c r="H132" s="861" t="s">
        <v>119</v>
      </c>
      <c r="I132" s="861" t="s">
        <v>119</v>
      </c>
      <c r="J132" s="860"/>
      <c r="K132" s="910"/>
    </row>
    <row r="133" ht="17.25" customHeight="1">
      <c r="B133" s="684" t="s">
        <v>414</v>
      </c>
      <c r="C133" s="904" t="s">
        <v>784</v>
      </c>
      <c r="D133" s="792" t="s">
        <v>118</v>
      </c>
      <c r="E133" s="774" t="s">
        <v>415</v>
      </c>
      <c r="F133" s="857"/>
      <c r="G133" s="141" t="s">
        <v>593</v>
      </c>
      <c r="H133" s="861" t="s">
        <v>119</v>
      </c>
      <c r="I133" s="861" t="s">
        <v>119</v>
      </c>
      <c r="J133" s="860"/>
      <c r="K133" s="774" t="s">
        <v>1005</v>
      </c>
    </row>
    <row r="134" ht="17.25" customHeight="1">
      <c r="A134" s="910"/>
      <c r="B134" s="911"/>
      <c r="C134" s="910"/>
      <c r="D134" s="910"/>
      <c r="E134" s="912"/>
      <c r="F134" s="857"/>
      <c r="G134" s="911"/>
      <c r="H134" s="910"/>
      <c r="I134" s="910"/>
      <c r="J134" s="860"/>
      <c r="K134" s="910"/>
    </row>
    <row r="135" ht="17.25" customHeight="1">
      <c r="A135" s="910"/>
      <c r="B135" s="911"/>
      <c r="C135" s="910"/>
      <c r="D135" s="910"/>
      <c r="E135" s="912"/>
      <c r="F135" s="857"/>
      <c r="G135" s="911"/>
      <c r="H135" s="910"/>
      <c r="I135" s="910"/>
      <c r="J135" s="860"/>
      <c r="K135" s="910"/>
    </row>
    <row r="136" ht="17.25" customHeight="1">
      <c r="A136" s="910"/>
      <c r="B136" s="911"/>
      <c r="C136" s="910"/>
      <c r="D136" s="910"/>
      <c r="E136" s="912"/>
      <c r="F136" s="857"/>
      <c r="G136" s="911"/>
      <c r="H136" s="910"/>
      <c r="I136" s="910"/>
      <c r="J136" s="860"/>
      <c r="K136" s="910"/>
    </row>
    <row r="137" ht="17.25" customHeight="1">
      <c r="A137" s="910"/>
      <c r="B137" s="911"/>
      <c r="C137" s="910"/>
      <c r="D137" s="910"/>
      <c r="E137" s="912"/>
      <c r="F137" s="857"/>
      <c r="G137" s="911"/>
      <c r="H137" s="910"/>
      <c r="I137" s="910"/>
      <c r="J137" s="860"/>
      <c r="K137" s="910"/>
    </row>
    <row r="138" ht="17.25" customHeight="1">
      <c r="A138" s="910"/>
      <c r="B138" s="911"/>
      <c r="C138" s="910"/>
      <c r="D138" s="910"/>
      <c r="E138" s="912"/>
      <c r="F138" s="857"/>
      <c r="G138" s="911"/>
      <c r="H138" s="910"/>
      <c r="I138" s="910"/>
      <c r="J138" s="860"/>
      <c r="K138" s="910"/>
    </row>
    <row r="139" ht="17.25" customHeight="1">
      <c r="A139" s="910"/>
      <c r="B139" s="911"/>
      <c r="C139" s="910"/>
      <c r="D139" s="910"/>
      <c r="E139" s="912"/>
      <c r="F139" s="857"/>
      <c r="G139" s="911"/>
      <c r="H139" s="910"/>
      <c r="I139" s="910"/>
      <c r="J139" s="860"/>
      <c r="K139" s="910"/>
    </row>
    <row r="140" ht="17.25" customHeight="1">
      <c r="A140" s="910"/>
      <c r="B140" s="911"/>
      <c r="C140" s="910"/>
      <c r="D140" s="910"/>
      <c r="E140" s="912"/>
      <c r="F140" s="857"/>
      <c r="G140" s="911"/>
      <c r="H140" s="910"/>
      <c r="I140" s="910"/>
      <c r="J140" s="860"/>
      <c r="K140" s="910"/>
    </row>
    <row r="141" ht="17.25" customHeight="1">
      <c r="A141" s="910"/>
      <c r="B141" s="911"/>
      <c r="C141" s="910"/>
      <c r="D141" s="910"/>
      <c r="E141" s="912"/>
      <c r="F141" s="857"/>
      <c r="G141" s="911"/>
      <c r="H141" s="910"/>
      <c r="I141" s="910"/>
      <c r="J141" s="860"/>
      <c r="K141" s="910"/>
    </row>
    <row r="142" ht="17.25" customHeight="1">
      <c r="A142" s="910"/>
      <c r="B142" s="911"/>
      <c r="C142" s="910"/>
      <c r="D142" s="910"/>
      <c r="E142" s="912"/>
      <c r="F142" s="857"/>
      <c r="G142" s="911"/>
      <c r="H142" s="910"/>
      <c r="I142" s="910"/>
      <c r="J142" s="860"/>
      <c r="K142" s="910"/>
    </row>
    <row r="143" ht="17.25" customHeight="1">
      <c r="A143" s="910"/>
      <c r="B143" s="911"/>
      <c r="C143" s="910"/>
      <c r="D143" s="910"/>
      <c r="E143" s="912"/>
      <c r="F143" s="857"/>
      <c r="G143" s="911"/>
      <c r="H143" s="910"/>
      <c r="I143" s="910"/>
      <c r="J143" s="860"/>
      <c r="K143" s="910"/>
    </row>
    <row r="144" ht="17.25" customHeight="1">
      <c r="A144" s="910"/>
      <c r="B144" s="911"/>
      <c r="C144" s="910"/>
      <c r="D144" s="910"/>
      <c r="E144" s="912"/>
      <c r="F144" s="857"/>
      <c r="G144" s="911"/>
      <c r="H144" s="910"/>
      <c r="I144" s="910"/>
      <c r="J144" s="860"/>
      <c r="K144" s="910"/>
    </row>
    <row r="145" ht="17.25" customHeight="1">
      <c r="A145" s="910"/>
      <c r="B145" s="911"/>
      <c r="C145" s="910"/>
      <c r="D145" s="910"/>
      <c r="E145" s="912"/>
      <c r="F145" s="857"/>
      <c r="G145" s="911"/>
      <c r="H145" s="910"/>
      <c r="I145" s="910"/>
      <c r="J145" s="860"/>
      <c r="K145" s="910"/>
    </row>
    <row r="146" ht="17.25" customHeight="1">
      <c r="A146" s="910"/>
      <c r="B146" s="911"/>
      <c r="C146" s="910"/>
      <c r="D146" s="910"/>
      <c r="E146" s="912"/>
      <c r="F146" s="857"/>
      <c r="G146" s="911"/>
      <c r="H146" s="910"/>
      <c r="I146" s="910"/>
      <c r="J146" s="860"/>
      <c r="K146" s="910"/>
    </row>
    <row r="147" ht="17.25" customHeight="1">
      <c r="A147" s="910"/>
      <c r="B147" s="911"/>
      <c r="C147" s="910"/>
      <c r="D147" s="910"/>
      <c r="E147" s="912"/>
      <c r="F147" s="857"/>
      <c r="G147" s="911"/>
      <c r="H147" s="910"/>
      <c r="I147" s="910"/>
      <c r="J147" s="860"/>
      <c r="K147" s="910"/>
    </row>
    <row r="148" ht="17.25" customHeight="1">
      <c r="A148" s="910"/>
      <c r="B148" s="911"/>
      <c r="C148" s="910"/>
      <c r="D148" s="910"/>
      <c r="E148" s="912"/>
      <c r="F148" s="857"/>
      <c r="G148" s="911"/>
      <c r="H148" s="910"/>
      <c r="I148" s="910"/>
      <c r="J148" s="860"/>
      <c r="K148" s="910"/>
    </row>
    <row r="149" ht="17.25" customHeight="1">
      <c r="A149" s="910"/>
      <c r="B149" s="911"/>
      <c r="C149" s="910"/>
      <c r="D149" s="910"/>
      <c r="E149" s="912"/>
      <c r="F149" s="857"/>
      <c r="G149" s="911"/>
      <c r="H149" s="910"/>
      <c r="I149" s="910"/>
      <c r="J149" s="860"/>
      <c r="K149" s="910"/>
    </row>
    <row r="150" ht="17.25" customHeight="1">
      <c r="A150" s="910"/>
      <c r="B150" s="911"/>
      <c r="C150" s="910"/>
      <c r="D150" s="910"/>
      <c r="E150" s="912"/>
      <c r="F150" s="857"/>
      <c r="G150" s="911"/>
      <c r="H150" s="910"/>
      <c r="I150" s="910"/>
      <c r="J150" s="860"/>
      <c r="K150" s="910"/>
    </row>
    <row r="151" ht="17.25" customHeight="1">
      <c r="A151" s="910"/>
      <c r="B151" s="911"/>
      <c r="C151" s="910"/>
      <c r="D151" s="910"/>
      <c r="E151" s="912"/>
      <c r="F151" s="857"/>
      <c r="G151" s="911"/>
      <c r="H151" s="910"/>
      <c r="I151" s="910"/>
      <c r="J151" s="860"/>
      <c r="K151" s="910"/>
    </row>
    <row r="152" ht="17.25" customHeight="1">
      <c r="A152" s="910"/>
      <c r="B152" s="911"/>
      <c r="C152" s="910"/>
      <c r="D152" s="910"/>
      <c r="E152" s="912"/>
      <c r="F152" s="857"/>
      <c r="G152" s="911"/>
      <c r="H152" s="910"/>
      <c r="I152" s="910"/>
      <c r="J152" s="860"/>
      <c r="K152" s="910"/>
    </row>
    <row r="153" ht="17.25" customHeight="1">
      <c r="A153" s="910"/>
      <c r="B153" s="911"/>
      <c r="C153" s="910"/>
      <c r="D153" s="910"/>
      <c r="E153" s="912"/>
      <c r="F153" s="857"/>
      <c r="G153" s="911"/>
      <c r="H153" s="910"/>
      <c r="I153" s="910"/>
      <c r="J153" s="860"/>
      <c r="K153" s="910"/>
    </row>
    <row r="154" ht="17.25" customHeight="1">
      <c r="A154" s="910"/>
      <c r="B154" s="911"/>
      <c r="C154" s="910"/>
      <c r="D154" s="910"/>
      <c r="E154" s="912"/>
      <c r="F154" s="857"/>
      <c r="G154" s="911"/>
      <c r="H154" s="910"/>
      <c r="I154" s="910"/>
      <c r="J154" s="860"/>
      <c r="K154" s="910"/>
    </row>
    <row r="155" ht="17.25" customHeight="1">
      <c r="A155" s="910"/>
      <c r="B155" s="911"/>
      <c r="C155" s="910"/>
      <c r="D155" s="910"/>
      <c r="E155" s="912"/>
      <c r="F155" s="857"/>
      <c r="G155" s="911"/>
      <c r="H155" s="910"/>
      <c r="I155" s="910"/>
      <c r="J155" s="860"/>
      <c r="K155" s="910"/>
    </row>
    <row r="156" ht="17.25" customHeight="1">
      <c r="A156" s="910"/>
      <c r="B156" s="911"/>
      <c r="C156" s="910"/>
      <c r="D156" s="910"/>
      <c r="E156" s="912"/>
      <c r="F156" s="857"/>
      <c r="G156" s="911"/>
      <c r="H156" s="910"/>
      <c r="I156" s="910"/>
      <c r="J156" s="860"/>
      <c r="K156" s="910"/>
    </row>
    <row r="157" ht="17.25" customHeight="1">
      <c r="A157" s="910"/>
      <c r="B157" s="911"/>
      <c r="C157" s="910"/>
      <c r="D157" s="910"/>
      <c r="E157" s="912"/>
      <c r="F157" s="857"/>
      <c r="G157" s="911"/>
      <c r="H157" s="910"/>
      <c r="I157" s="910"/>
      <c r="J157" s="860"/>
      <c r="K157" s="910"/>
    </row>
    <row r="158" ht="17.25" customHeight="1">
      <c r="A158" s="910"/>
      <c r="B158" s="911"/>
      <c r="C158" s="910"/>
      <c r="D158" s="910"/>
      <c r="E158" s="912"/>
      <c r="F158" s="857"/>
      <c r="G158" s="911"/>
      <c r="H158" s="910"/>
      <c r="I158" s="910"/>
      <c r="J158" s="860"/>
      <c r="K158" s="910"/>
    </row>
    <row r="159" ht="17.25" customHeight="1">
      <c r="A159" s="910"/>
      <c r="B159" s="911"/>
      <c r="C159" s="910"/>
      <c r="D159" s="910"/>
      <c r="E159" s="912"/>
      <c r="F159" s="857"/>
      <c r="G159" s="911"/>
      <c r="H159" s="910"/>
      <c r="I159" s="910"/>
      <c r="J159" s="860"/>
      <c r="K159" s="910"/>
    </row>
    <row r="160" ht="17.25" customHeight="1">
      <c r="A160" s="910"/>
      <c r="B160" s="911"/>
      <c r="C160" s="910"/>
      <c r="D160" s="910"/>
      <c r="E160" s="912"/>
      <c r="F160" s="857"/>
      <c r="G160" s="911"/>
      <c r="H160" s="910"/>
      <c r="I160" s="910"/>
      <c r="J160" s="860"/>
      <c r="K160" s="910"/>
    </row>
    <row r="161" ht="17.25" customHeight="1">
      <c r="A161" s="910"/>
      <c r="B161" s="911"/>
      <c r="C161" s="910"/>
      <c r="D161" s="910"/>
      <c r="E161" s="912"/>
      <c r="F161" s="857"/>
      <c r="G161" s="911"/>
      <c r="H161" s="910"/>
      <c r="I161" s="910"/>
      <c r="J161" s="860"/>
      <c r="K161" s="910"/>
    </row>
    <row r="162" ht="17.25" customHeight="1">
      <c r="A162" s="910"/>
      <c r="B162" s="911"/>
      <c r="C162" s="910"/>
      <c r="D162" s="910"/>
      <c r="E162" s="912"/>
      <c r="F162" s="857"/>
      <c r="G162" s="911"/>
      <c r="H162" s="910"/>
      <c r="I162" s="910"/>
      <c r="J162" s="860"/>
      <c r="K162" s="910"/>
    </row>
    <row r="163" ht="17.25" customHeight="1">
      <c r="A163" s="910"/>
      <c r="B163" s="911"/>
      <c r="C163" s="910"/>
      <c r="D163" s="910"/>
      <c r="E163" s="912"/>
      <c r="F163" s="857"/>
      <c r="G163" s="911"/>
      <c r="H163" s="910"/>
      <c r="I163" s="910"/>
      <c r="J163" s="860"/>
      <c r="K163" s="910"/>
    </row>
    <row r="164" ht="17.25" customHeight="1">
      <c r="A164" s="910"/>
      <c r="B164" s="911"/>
      <c r="C164" s="910"/>
      <c r="D164" s="910"/>
      <c r="E164" s="912"/>
      <c r="F164" s="857"/>
      <c r="G164" s="911"/>
      <c r="H164" s="910"/>
      <c r="I164" s="910"/>
      <c r="J164" s="860"/>
      <c r="K164" s="910"/>
    </row>
    <row r="165" ht="17.25" customHeight="1">
      <c r="A165" s="910"/>
      <c r="B165" s="911"/>
      <c r="C165" s="910"/>
      <c r="D165" s="910"/>
      <c r="E165" s="912"/>
      <c r="F165" s="857"/>
      <c r="G165" s="911"/>
      <c r="H165" s="910"/>
      <c r="I165" s="910"/>
      <c r="J165" s="860"/>
      <c r="K165" s="910"/>
    </row>
    <row r="166" ht="17.25" customHeight="1">
      <c r="A166" s="910"/>
      <c r="B166" s="911"/>
      <c r="C166" s="910"/>
      <c r="D166" s="910"/>
      <c r="E166" s="912"/>
      <c r="F166" s="857"/>
      <c r="G166" s="911"/>
      <c r="H166" s="910"/>
      <c r="I166" s="910"/>
      <c r="J166" s="860"/>
      <c r="K166" s="910"/>
    </row>
    <row r="167" ht="17.25" customHeight="1">
      <c r="A167" s="910"/>
      <c r="B167" s="911"/>
      <c r="C167" s="910"/>
      <c r="D167" s="910"/>
      <c r="E167" s="912"/>
      <c r="F167" s="857"/>
      <c r="G167" s="911"/>
      <c r="H167" s="910"/>
      <c r="I167" s="910"/>
      <c r="J167" s="860"/>
      <c r="K167" s="910"/>
    </row>
    <row r="168" ht="17.25" customHeight="1">
      <c r="A168" s="910"/>
      <c r="B168" s="911"/>
      <c r="C168" s="910"/>
      <c r="D168" s="910"/>
      <c r="E168" s="912"/>
      <c r="F168" s="857"/>
      <c r="G168" s="911"/>
      <c r="H168" s="910"/>
      <c r="I168" s="910"/>
      <c r="J168" s="860"/>
      <c r="K168" s="910"/>
    </row>
    <row r="169" ht="17.25" customHeight="1">
      <c r="A169" s="910"/>
      <c r="B169" s="911"/>
      <c r="C169" s="910"/>
      <c r="D169" s="910"/>
      <c r="E169" s="912"/>
      <c r="F169" s="857"/>
      <c r="G169" s="911"/>
      <c r="H169" s="910"/>
      <c r="I169" s="910"/>
      <c r="J169" s="860"/>
      <c r="K169" s="910"/>
    </row>
    <row r="170" ht="17.25" customHeight="1">
      <c r="A170" s="910"/>
      <c r="B170" s="911"/>
      <c r="C170" s="910"/>
      <c r="D170" s="910"/>
      <c r="E170" s="912"/>
      <c r="F170" s="857"/>
      <c r="G170" s="911"/>
      <c r="H170" s="910"/>
      <c r="I170" s="910"/>
      <c r="J170" s="860"/>
      <c r="K170" s="910"/>
    </row>
    <row r="171" ht="17.25" customHeight="1">
      <c r="A171" s="910"/>
      <c r="B171" s="911"/>
      <c r="C171" s="910"/>
      <c r="D171" s="910"/>
      <c r="E171" s="912"/>
      <c r="F171" s="857"/>
      <c r="G171" s="911"/>
      <c r="H171" s="910"/>
      <c r="I171" s="910"/>
      <c r="J171" s="860"/>
      <c r="K171" s="910"/>
    </row>
    <row r="172" ht="17.25" customHeight="1">
      <c r="A172" s="910"/>
      <c r="B172" s="911"/>
      <c r="C172" s="910"/>
      <c r="D172" s="910"/>
      <c r="E172" s="912"/>
      <c r="F172" s="857"/>
      <c r="G172" s="911"/>
      <c r="H172" s="910"/>
      <c r="I172" s="910"/>
      <c r="J172" s="860"/>
      <c r="K172" s="910"/>
    </row>
    <row r="173" ht="17.25" customHeight="1">
      <c r="A173" s="910"/>
      <c r="B173" s="911"/>
      <c r="C173" s="910"/>
      <c r="D173" s="910"/>
      <c r="E173" s="912"/>
      <c r="F173" s="857"/>
      <c r="G173" s="911"/>
      <c r="H173" s="910"/>
      <c r="I173" s="910"/>
      <c r="J173" s="860"/>
      <c r="K173" s="910"/>
    </row>
    <row r="174" ht="17.25" customHeight="1">
      <c r="A174" s="910"/>
      <c r="B174" s="911"/>
      <c r="C174" s="910"/>
      <c r="D174" s="910"/>
      <c r="E174" s="912"/>
      <c r="F174" s="857"/>
      <c r="G174" s="911"/>
      <c r="H174" s="910"/>
      <c r="I174" s="910"/>
      <c r="J174" s="860"/>
      <c r="K174" s="910"/>
    </row>
    <row r="175" ht="17.25" customHeight="1">
      <c r="A175" s="910"/>
      <c r="B175" s="911"/>
      <c r="C175" s="910"/>
      <c r="D175" s="910"/>
      <c r="E175" s="912"/>
      <c r="F175" s="857"/>
      <c r="G175" s="911"/>
      <c r="H175" s="910"/>
      <c r="I175" s="910"/>
      <c r="J175" s="860"/>
      <c r="K175" s="910"/>
    </row>
    <row r="176" ht="17.25" customHeight="1">
      <c r="A176" s="910"/>
      <c r="B176" s="911"/>
      <c r="C176" s="910"/>
      <c r="D176" s="910"/>
      <c r="E176" s="912"/>
      <c r="F176" s="857"/>
      <c r="G176" s="911"/>
      <c r="H176" s="910"/>
      <c r="I176" s="910"/>
      <c r="J176" s="860"/>
      <c r="K176" s="910"/>
    </row>
    <row r="177" ht="17.25" customHeight="1">
      <c r="A177" s="910"/>
      <c r="B177" s="911"/>
      <c r="C177" s="910"/>
      <c r="D177" s="910"/>
      <c r="E177" s="912"/>
      <c r="F177" s="857"/>
      <c r="G177" s="911"/>
      <c r="H177" s="910"/>
      <c r="I177" s="910"/>
      <c r="J177" s="860"/>
      <c r="K177" s="910"/>
    </row>
    <row r="178" ht="17.25" customHeight="1">
      <c r="A178" s="910"/>
      <c r="B178" s="911"/>
      <c r="C178" s="910"/>
      <c r="D178" s="910"/>
      <c r="E178" s="912"/>
      <c r="F178" s="857"/>
      <c r="G178" s="911"/>
      <c r="H178" s="910"/>
      <c r="I178" s="910"/>
      <c r="J178" s="860"/>
      <c r="K178" s="910"/>
    </row>
    <row r="179" ht="17.25" customHeight="1">
      <c r="A179" s="910"/>
      <c r="B179" s="911"/>
      <c r="C179" s="910"/>
      <c r="D179" s="910"/>
      <c r="E179" s="912"/>
      <c r="F179" s="857"/>
      <c r="G179" s="911"/>
      <c r="H179" s="910"/>
      <c r="I179" s="910"/>
      <c r="J179" s="860"/>
      <c r="K179" s="910"/>
    </row>
    <row r="180" ht="17.25" customHeight="1">
      <c r="A180" s="910"/>
      <c r="B180" s="911"/>
      <c r="C180" s="910"/>
      <c r="D180" s="910"/>
      <c r="E180" s="912"/>
      <c r="F180" s="857"/>
      <c r="G180" s="911"/>
      <c r="H180" s="910"/>
      <c r="I180" s="910"/>
      <c r="J180" s="860"/>
      <c r="K180" s="910"/>
    </row>
    <row r="181" ht="17.25" customHeight="1">
      <c r="A181" s="910"/>
      <c r="B181" s="911"/>
      <c r="C181" s="910"/>
      <c r="D181" s="910"/>
      <c r="E181" s="912"/>
      <c r="F181" s="857"/>
      <c r="G181" s="911"/>
      <c r="H181" s="910"/>
      <c r="I181" s="910"/>
      <c r="J181" s="860"/>
      <c r="K181" s="910"/>
    </row>
    <row r="182" ht="17.25" customHeight="1">
      <c r="A182" s="910"/>
      <c r="B182" s="911"/>
      <c r="C182" s="910"/>
      <c r="D182" s="910"/>
      <c r="E182" s="912"/>
      <c r="F182" s="857"/>
      <c r="G182" s="911"/>
      <c r="H182" s="910"/>
      <c r="I182" s="910"/>
      <c r="J182" s="860"/>
      <c r="K182" s="910"/>
    </row>
    <row r="183" ht="17.25" customHeight="1">
      <c r="A183" s="910"/>
      <c r="B183" s="911"/>
      <c r="C183" s="910"/>
      <c r="D183" s="910"/>
      <c r="E183" s="912"/>
      <c r="F183" s="857"/>
      <c r="G183" s="911"/>
      <c r="H183" s="910"/>
      <c r="I183" s="910"/>
      <c r="J183" s="860"/>
      <c r="K183" s="910"/>
    </row>
    <row r="184" ht="17.25" customHeight="1">
      <c r="A184" s="910"/>
      <c r="B184" s="911"/>
      <c r="C184" s="910"/>
      <c r="D184" s="910"/>
      <c r="E184" s="912"/>
      <c r="F184" s="857"/>
      <c r="G184" s="911"/>
      <c r="H184" s="910"/>
      <c r="I184" s="910"/>
      <c r="J184" s="860"/>
      <c r="K184" s="910"/>
    </row>
    <row r="185" ht="17.25" customHeight="1">
      <c r="A185" s="910"/>
      <c r="B185" s="911"/>
      <c r="C185" s="910"/>
      <c r="D185" s="910"/>
      <c r="E185" s="912"/>
      <c r="F185" s="857"/>
      <c r="G185" s="911"/>
      <c r="H185" s="910"/>
      <c r="I185" s="910"/>
      <c r="J185" s="860"/>
      <c r="K185" s="910"/>
    </row>
    <row r="186" ht="17.25" customHeight="1">
      <c r="A186" s="910"/>
      <c r="B186" s="911"/>
      <c r="C186" s="910"/>
      <c r="D186" s="910"/>
      <c r="E186" s="912"/>
      <c r="F186" s="857"/>
      <c r="G186" s="911"/>
      <c r="H186" s="910"/>
      <c r="I186" s="910"/>
      <c r="J186" s="860"/>
      <c r="K186" s="910"/>
    </row>
    <row r="187" ht="17.25" customHeight="1">
      <c r="A187" s="910"/>
      <c r="B187" s="911"/>
      <c r="C187" s="910"/>
      <c r="D187" s="910"/>
      <c r="E187" s="912"/>
      <c r="F187" s="857"/>
      <c r="G187" s="911"/>
      <c r="H187" s="910"/>
      <c r="I187" s="910"/>
      <c r="J187" s="860"/>
      <c r="K187" s="910"/>
    </row>
    <row r="188" ht="17.25" customHeight="1">
      <c r="A188" s="910"/>
      <c r="B188" s="911"/>
      <c r="C188" s="910"/>
      <c r="D188" s="910"/>
      <c r="E188" s="912"/>
      <c r="F188" s="857"/>
      <c r="G188" s="911"/>
      <c r="H188" s="910"/>
      <c r="I188" s="910"/>
      <c r="J188" s="860"/>
      <c r="K188" s="910"/>
    </row>
    <row r="189" ht="17.25" customHeight="1">
      <c r="A189" s="910"/>
      <c r="B189" s="911"/>
      <c r="C189" s="910"/>
      <c r="D189" s="910"/>
      <c r="E189" s="912"/>
      <c r="F189" s="857"/>
      <c r="G189" s="911"/>
      <c r="H189" s="910"/>
      <c r="I189" s="910"/>
      <c r="J189" s="860"/>
      <c r="K189" s="910"/>
    </row>
    <row r="190" ht="17.25" customHeight="1">
      <c r="A190" s="910"/>
      <c r="B190" s="911"/>
      <c r="C190" s="910"/>
      <c r="D190" s="910"/>
      <c r="E190" s="912"/>
      <c r="F190" s="857"/>
      <c r="G190" s="911"/>
      <c r="H190" s="910"/>
      <c r="I190" s="910"/>
      <c r="J190" s="860"/>
      <c r="K190" s="910"/>
    </row>
    <row r="191" ht="17.25" customHeight="1">
      <c r="A191" s="910"/>
      <c r="B191" s="911"/>
      <c r="C191" s="910"/>
      <c r="D191" s="910"/>
      <c r="E191" s="912"/>
      <c r="F191" s="857"/>
      <c r="G191" s="911"/>
      <c r="H191" s="910"/>
      <c r="I191" s="910"/>
      <c r="J191" s="860"/>
      <c r="K191" s="910"/>
    </row>
    <row r="192" ht="17.25" customHeight="1">
      <c r="A192" s="910"/>
      <c r="B192" s="911"/>
      <c r="C192" s="910"/>
      <c r="D192" s="910"/>
      <c r="E192" s="912"/>
      <c r="F192" s="857"/>
      <c r="G192" s="911"/>
      <c r="H192" s="910"/>
      <c r="I192" s="910"/>
      <c r="J192" s="860"/>
      <c r="K192" s="910"/>
    </row>
    <row r="193" ht="17.25" customHeight="1">
      <c r="A193" s="910"/>
      <c r="B193" s="911"/>
      <c r="C193" s="910"/>
      <c r="D193" s="910"/>
      <c r="E193" s="912"/>
      <c r="F193" s="857"/>
      <c r="G193" s="911"/>
      <c r="H193" s="910"/>
      <c r="I193" s="910"/>
      <c r="J193" s="860"/>
      <c r="K193" s="910"/>
    </row>
    <row r="194" ht="17.25" customHeight="1">
      <c r="A194" s="910"/>
      <c r="B194" s="911"/>
      <c r="C194" s="910"/>
      <c r="D194" s="910"/>
      <c r="E194" s="912"/>
      <c r="F194" s="857"/>
      <c r="G194" s="911"/>
      <c r="H194" s="910"/>
      <c r="I194" s="910"/>
      <c r="J194" s="860"/>
      <c r="K194" s="910"/>
    </row>
    <row r="195" ht="17.25" customHeight="1">
      <c r="A195" s="910"/>
      <c r="B195" s="911"/>
      <c r="C195" s="910"/>
      <c r="D195" s="910"/>
      <c r="E195" s="912"/>
      <c r="F195" s="857"/>
      <c r="G195" s="911"/>
      <c r="H195" s="910"/>
      <c r="I195" s="910"/>
      <c r="J195" s="860"/>
      <c r="K195" s="910"/>
    </row>
    <row r="196" ht="17.25" customHeight="1">
      <c r="A196" s="910"/>
      <c r="B196" s="911"/>
      <c r="C196" s="910"/>
      <c r="D196" s="910"/>
      <c r="E196" s="912"/>
      <c r="F196" s="857"/>
      <c r="G196" s="911"/>
      <c r="H196" s="910"/>
      <c r="I196" s="910"/>
      <c r="J196" s="860"/>
      <c r="K196" s="910"/>
    </row>
    <row r="197" ht="17.25" customHeight="1">
      <c r="A197" s="910"/>
      <c r="B197" s="911"/>
      <c r="C197" s="910"/>
      <c r="D197" s="910"/>
      <c r="E197" s="912"/>
      <c r="F197" s="857"/>
      <c r="G197" s="911"/>
      <c r="H197" s="910"/>
      <c r="I197" s="910"/>
      <c r="J197" s="860"/>
      <c r="K197" s="910"/>
    </row>
    <row r="198" ht="17.25" customHeight="1">
      <c r="A198" s="910"/>
      <c r="B198" s="911"/>
      <c r="C198" s="910"/>
      <c r="D198" s="910"/>
      <c r="E198" s="912"/>
      <c r="F198" s="857"/>
      <c r="G198" s="911"/>
      <c r="H198" s="910"/>
      <c r="I198" s="910"/>
      <c r="J198" s="860"/>
      <c r="K198" s="910"/>
    </row>
    <row r="199" ht="17.25" customHeight="1">
      <c r="A199" s="910"/>
      <c r="B199" s="911"/>
      <c r="C199" s="910"/>
      <c r="D199" s="910"/>
      <c r="E199" s="912"/>
      <c r="F199" s="857"/>
      <c r="G199" s="911"/>
      <c r="H199" s="910"/>
      <c r="I199" s="910"/>
      <c r="J199" s="860"/>
      <c r="K199" s="910"/>
    </row>
    <row r="200" ht="17.25" customHeight="1">
      <c r="A200" s="910"/>
      <c r="B200" s="911"/>
      <c r="C200" s="910"/>
      <c r="D200" s="910"/>
      <c r="E200" s="912"/>
      <c r="F200" s="857"/>
      <c r="G200" s="911"/>
      <c r="H200" s="910"/>
      <c r="I200" s="910"/>
      <c r="J200" s="860"/>
      <c r="K200" s="910"/>
    </row>
    <row r="201" ht="17.25" customHeight="1">
      <c r="A201" s="910"/>
      <c r="B201" s="911"/>
      <c r="C201" s="910"/>
      <c r="D201" s="910"/>
      <c r="E201" s="912"/>
      <c r="F201" s="857"/>
      <c r="G201" s="911"/>
      <c r="H201" s="910"/>
      <c r="I201" s="910"/>
      <c r="J201" s="860"/>
      <c r="K201" s="910"/>
    </row>
    <row r="202" ht="17.25" customHeight="1">
      <c r="A202" s="910"/>
      <c r="B202" s="911"/>
      <c r="C202" s="910"/>
      <c r="D202" s="910"/>
      <c r="E202" s="912"/>
      <c r="F202" s="857"/>
      <c r="G202" s="911"/>
      <c r="H202" s="910"/>
      <c r="I202" s="910"/>
      <c r="J202" s="860"/>
      <c r="K202" s="910"/>
    </row>
    <row r="203" ht="17.25" customHeight="1">
      <c r="A203" s="910"/>
      <c r="B203" s="911"/>
      <c r="C203" s="910"/>
      <c r="D203" s="910"/>
      <c r="E203" s="912"/>
      <c r="F203" s="857"/>
      <c r="G203" s="911"/>
      <c r="H203" s="910"/>
      <c r="I203" s="910"/>
      <c r="J203" s="860"/>
      <c r="K203" s="910"/>
    </row>
    <row r="204" ht="17.25" customHeight="1">
      <c r="A204" s="910"/>
      <c r="B204" s="911"/>
      <c r="C204" s="910"/>
      <c r="D204" s="910"/>
      <c r="E204" s="912"/>
      <c r="F204" s="857"/>
      <c r="G204" s="911"/>
      <c r="H204" s="910"/>
      <c r="I204" s="910"/>
      <c r="J204" s="860"/>
      <c r="K204" s="910"/>
    </row>
    <row r="205" ht="17.25" customHeight="1">
      <c r="A205" s="910"/>
      <c r="B205" s="911"/>
      <c r="C205" s="910"/>
      <c r="D205" s="910"/>
      <c r="E205" s="912"/>
      <c r="F205" s="857"/>
      <c r="G205" s="911"/>
      <c r="H205" s="910"/>
      <c r="I205" s="910"/>
      <c r="J205" s="860"/>
      <c r="K205" s="910"/>
    </row>
    <row r="206" ht="17.25" customHeight="1">
      <c r="A206" s="910"/>
      <c r="B206" s="911"/>
      <c r="C206" s="910"/>
      <c r="D206" s="910"/>
      <c r="E206" s="912"/>
      <c r="F206" s="857"/>
      <c r="G206" s="911"/>
      <c r="H206" s="910"/>
      <c r="I206" s="910"/>
      <c r="J206" s="860"/>
      <c r="K206" s="910"/>
    </row>
    <row r="207" ht="17.25" customHeight="1">
      <c r="A207" s="910"/>
      <c r="B207" s="911"/>
      <c r="C207" s="910"/>
      <c r="D207" s="910"/>
      <c r="E207" s="912"/>
      <c r="F207" s="857"/>
      <c r="G207" s="911"/>
      <c r="H207" s="910"/>
      <c r="I207" s="910"/>
      <c r="J207" s="860"/>
      <c r="K207" s="910"/>
    </row>
    <row r="208" ht="17.25" customHeight="1">
      <c r="A208" s="910"/>
      <c r="B208" s="911"/>
      <c r="C208" s="910"/>
      <c r="D208" s="910"/>
      <c r="E208" s="912"/>
      <c r="F208" s="857"/>
      <c r="G208" s="911"/>
      <c r="H208" s="910"/>
      <c r="I208" s="910"/>
      <c r="J208" s="860"/>
      <c r="K208" s="910"/>
    </row>
    <row r="209" ht="17.25" customHeight="1">
      <c r="A209" s="910"/>
      <c r="B209" s="911"/>
      <c r="C209" s="910"/>
      <c r="D209" s="910"/>
      <c r="E209" s="912"/>
      <c r="F209" s="857"/>
      <c r="G209" s="911"/>
      <c r="H209" s="910"/>
      <c r="I209" s="910"/>
      <c r="J209" s="860"/>
      <c r="K209" s="910"/>
    </row>
    <row r="210" ht="17.25" customHeight="1">
      <c r="A210" s="910"/>
      <c r="B210" s="911"/>
      <c r="C210" s="910"/>
      <c r="D210" s="910"/>
      <c r="E210" s="912"/>
      <c r="F210" s="857"/>
      <c r="G210" s="911"/>
      <c r="H210" s="910"/>
      <c r="I210" s="910"/>
      <c r="J210" s="860"/>
      <c r="K210" s="910"/>
    </row>
    <row r="211" ht="17.25" customHeight="1">
      <c r="A211" s="910"/>
      <c r="B211" s="911"/>
      <c r="C211" s="910"/>
      <c r="D211" s="910"/>
      <c r="E211" s="912"/>
      <c r="F211" s="857"/>
      <c r="G211" s="911"/>
      <c r="H211" s="910"/>
      <c r="I211" s="910"/>
      <c r="J211" s="860"/>
      <c r="K211" s="910"/>
    </row>
    <row r="212" ht="17.25" customHeight="1">
      <c r="A212" s="910"/>
      <c r="B212" s="911"/>
      <c r="C212" s="910"/>
      <c r="D212" s="910"/>
      <c r="E212" s="912"/>
      <c r="F212" s="857"/>
      <c r="G212" s="911"/>
      <c r="H212" s="910"/>
      <c r="I212" s="910"/>
      <c r="J212" s="860"/>
      <c r="K212" s="910"/>
    </row>
    <row r="213" ht="17.25" customHeight="1">
      <c r="A213" s="910"/>
      <c r="B213" s="911"/>
      <c r="C213" s="910"/>
      <c r="D213" s="910"/>
      <c r="E213" s="912"/>
      <c r="F213" s="857"/>
      <c r="G213" s="911"/>
      <c r="H213" s="910"/>
      <c r="I213" s="910"/>
      <c r="J213" s="860"/>
      <c r="K213" s="910"/>
    </row>
    <row r="214" ht="17.25" customHeight="1">
      <c r="A214" s="910"/>
      <c r="B214" s="911"/>
      <c r="C214" s="910"/>
      <c r="D214" s="910"/>
      <c r="E214" s="912"/>
      <c r="F214" s="857"/>
      <c r="G214" s="911"/>
      <c r="H214" s="910"/>
      <c r="I214" s="910"/>
      <c r="J214" s="860"/>
      <c r="K214" s="910"/>
    </row>
    <row r="215" ht="17.25" customHeight="1">
      <c r="A215" s="910"/>
      <c r="B215" s="911"/>
      <c r="C215" s="910"/>
      <c r="D215" s="910"/>
      <c r="E215" s="912"/>
      <c r="F215" s="857"/>
      <c r="G215" s="911"/>
      <c r="H215" s="910"/>
      <c r="I215" s="910"/>
      <c r="J215" s="860"/>
      <c r="K215" s="910"/>
    </row>
    <row r="216">
      <c r="A216" s="910"/>
      <c r="B216" s="911"/>
      <c r="C216" s="910"/>
      <c r="D216" s="910"/>
      <c r="E216" s="912"/>
      <c r="F216" s="857"/>
      <c r="G216" s="911"/>
      <c r="H216" s="910"/>
      <c r="I216" s="910"/>
      <c r="J216" s="860"/>
      <c r="K216" s="910"/>
    </row>
    <row r="217">
      <c r="A217" s="910"/>
      <c r="B217" s="911"/>
      <c r="C217" s="910"/>
      <c r="D217" s="910"/>
      <c r="E217" s="912"/>
      <c r="F217" s="857"/>
      <c r="G217" s="911"/>
      <c r="H217" s="910"/>
      <c r="I217" s="910"/>
      <c r="J217" s="860"/>
      <c r="K217" s="910"/>
    </row>
    <row r="218">
      <c r="A218" s="910"/>
      <c r="B218" s="911"/>
      <c r="C218" s="910"/>
      <c r="D218" s="910"/>
      <c r="E218" s="912"/>
      <c r="F218" s="857"/>
      <c r="G218" s="911"/>
      <c r="H218" s="910"/>
      <c r="I218" s="910"/>
      <c r="J218" s="860"/>
      <c r="K218" s="910"/>
    </row>
    <row r="219">
      <c r="A219" s="910"/>
      <c r="B219" s="911"/>
      <c r="C219" s="910"/>
      <c r="D219" s="910"/>
      <c r="E219" s="912"/>
      <c r="F219" s="857"/>
      <c r="G219" s="911"/>
      <c r="H219" s="910"/>
      <c r="I219" s="910"/>
      <c r="J219" s="860"/>
      <c r="K219" s="910"/>
    </row>
    <row r="220">
      <c r="A220" s="910"/>
      <c r="B220" s="911"/>
      <c r="C220" s="910"/>
      <c r="D220" s="910"/>
      <c r="E220" s="912"/>
      <c r="F220" s="857"/>
      <c r="G220" s="911"/>
      <c r="H220" s="910"/>
      <c r="I220" s="910"/>
      <c r="J220" s="860"/>
      <c r="K220" s="910"/>
    </row>
    <row r="221">
      <c r="A221" s="910"/>
      <c r="B221" s="911"/>
      <c r="C221" s="910"/>
      <c r="D221" s="910"/>
      <c r="E221" s="912"/>
      <c r="F221" s="857"/>
      <c r="G221" s="911"/>
      <c r="H221" s="910"/>
      <c r="I221" s="910"/>
      <c r="J221" s="860"/>
      <c r="K221" s="910"/>
    </row>
    <row r="222">
      <c r="A222" s="910"/>
      <c r="B222" s="911"/>
      <c r="C222" s="910"/>
      <c r="D222" s="910"/>
      <c r="E222" s="912"/>
      <c r="F222" s="857"/>
      <c r="G222" s="911"/>
      <c r="H222" s="910"/>
      <c r="I222" s="910"/>
      <c r="J222" s="860"/>
      <c r="K222" s="910"/>
    </row>
    <row r="223">
      <c r="A223" s="910"/>
      <c r="B223" s="911"/>
      <c r="C223" s="910"/>
      <c r="D223" s="910"/>
      <c r="E223" s="912"/>
      <c r="F223" s="857"/>
      <c r="G223" s="911"/>
      <c r="H223" s="910"/>
      <c r="I223" s="910"/>
      <c r="J223" s="860"/>
      <c r="K223" s="910"/>
    </row>
    <row r="224">
      <c r="A224" s="910"/>
      <c r="B224" s="911"/>
      <c r="C224" s="910"/>
      <c r="D224" s="910"/>
      <c r="E224" s="912"/>
      <c r="F224" s="857"/>
      <c r="G224" s="911"/>
      <c r="H224" s="910"/>
      <c r="I224" s="910"/>
      <c r="J224" s="860"/>
      <c r="K224" s="910"/>
    </row>
    <row r="225">
      <c r="A225" s="910"/>
      <c r="B225" s="911"/>
      <c r="C225" s="910"/>
      <c r="D225" s="910"/>
      <c r="E225" s="912"/>
      <c r="F225" s="857"/>
      <c r="G225" s="911"/>
      <c r="H225" s="910"/>
      <c r="I225" s="910"/>
      <c r="J225" s="860"/>
      <c r="K225" s="910"/>
    </row>
    <row r="226">
      <c r="A226" s="910"/>
      <c r="B226" s="911"/>
      <c r="C226" s="910"/>
      <c r="D226" s="910"/>
      <c r="E226" s="912"/>
      <c r="F226" s="857"/>
      <c r="G226" s="911"/>
      <c r="H226" s="910"/>
      <c r="I226" s="910"/>
      <c r="J226" s="860"/>
      <c r="K226" s="910"/>
    </row>
    <row r="227">
      <c r="A227" s="910"/>
      <c r="B227" s="911"/>
      <c r="C227" s="910"/>
      <c r="D227" s="910"/>
      <c r="E227" s="912"/>
      <c r="F227" s="857"/>
      <c r="G227" s="911"/>
      <c r="H227" s="910"/>
      <c r="I227" s="910"/>
      <c r="J227" s="860"/>
      <c r="K227" s="910"/>
    </row>
    <row r="228">
      <c r="A228" s="910"/>
      <c r="B228" s="911"/>
      <c r="C228" s="910"/>
      <c r="D228" s="910"/>
      <c r="E228" s="912"/>
      <c r="F228" s="857"/>
      <c r="G228" s="911"/>
      <c r="H228" s="910"/>
      <c r="I228" s="910"/>
      <c r="J228" s="860"/>
      <c r="K228" s="910"/>
    </row>
    <row r="229">
      <c r="A229" s="910"/>
      <c r="B229" s="911"/>
      <c r="C229" s="910"/>
      <c r="D229" s="910"/>
      <c r="E229" s="912"/>
      <c r="F229" s="857"/>
      <c r="G229" s="911"/>
      <c r="H229" s="910"/>
      <c r="I229" s="910"/>
      <c r="J229" s="860"/>
      <c r="K229" s="910"/>
    </row>
    <row r="230">
      <c r="A230" s="910"/>
      <c r="B230" s="911"/>
      <c r="C230" s="910"/>
      <c r="D230" s="910"/>
      <c r="E230" s="912"/>
      <c r="F230" s="857"/>
      <c r="G230" s="911"/>
      <c r="H230" s="910"/>
      <c r="I230" s="910"/>
      <c r="J230" s="860"/>
      <c r="K230" s="910"/>
    </row>
    <row r="231">
      <c r="A231" s="910"/>
      <c r="B231" s="911"/>
      <c r="C231" s="910"/>
      <c r="D231" s="910"/>
      <c r="E231" s="912"/>
      <c r="F231" s="857"/>
      <c r="G231" s="911"/>
      <c r="H231" s="910"/>
      <c r="I231" s="910"/>
      <c r="J231" s="860"/>
      <c r="K231" s="910"/>
    </row>
    <row r="232">
      <c r="A232" s="910"/>
      <c r="B232" s="911"/>
      <c r="C232" s="910"/>
      <c r="D232" s="910"/>
      <c r="E232" s="912"/>
      <c r="F232" s="857"/>
      <c r="G232" s="911"/>
      <c r="H232" s="910"/>
      <c r="I232" s="910"/>
      <c r="J232" s="860"/>
      <c r="K232" s="910"/>
    </row>
    <row r="233">
      <c r="A233" s="910"/>
      <c r="B233" s="911"/>
      <c r="C233" s="910"/>
      <c r="D233" s="910"/>
      <c r="E233" s="912"/>
      <c r="F233" s="857"/>
      <c r="G233" s="911"/>
      <c r="H233" s="910"/>
      <c r="I233" s="910"/>
      <c r="J233" s="860"/>
      <c r="K233" s="910"/>
    </row>
    <row r="234">
      <c r="A234" s="910"/>
      <c r="B234" s="911"/>
      <c r="C234" s="910"/>
      <c r="D234" s="910"/>
      <c r="E234" s="912"/>
      <c r="F234" s="857"/>
      <c r="G234" s="911"/>
      <c r="H234" s="910"/>
      <c r="I234" s="910"/>
      <c r="J234" s="860"/>
      <c r="K234" s="910"/>
    </row>
    <row r="235">
      <c r="A235" s="910"/>
      <c r="B235" s="911"/>
      <c r="C235" s="910"/>
      <c r="D235" s="910"/>
      <c r="E235" s="912"/>
      <c r="F235" s="857"/>
      <c r="G235" s="911"/>
      <c r="H235" s="910"/>
      <c r="I235" s="910"/>
      <c r="J235" s="860"/>
      <c r="K235" s="910"/>
    </row>
    <row r="236">
      <c r="A236" s="910"/>
      <c r="B236" s="911"/>
      <c r="C236" s="910"/>
      <c r="D236" s="910"/>
      <c r="E236" s="912"/>
      <c r="F236" s="857"/>
      <c r="G236" s="911"/>
      <c r="H236" s="910"/>
      <c r="I236" s="910"/>
      <c r="J236" s="860"/>
      <c r="K236" s="910"/>
    </row>
    <row r="237">
      <c r="A237" s="910"/>
      <c r="B237" s="911"/>
      <c r="C237" s="910"/>
      <c r="D237" s="910"/>
      <c r="E237" s="912"/>
      <c r="F237" s="857"/>
      <c r="G237" s="911"/>
      <c r="H237" s="910"/>
      <c r="I237" s="910"/>
      <c r="J237" s="860"/>
      <c r="K237" s="910"/>
    </row>
    <row r="238">
      <c r="A238" s="910"/>
      <c r="B238" s="911"/>
      <c r="C238" s="910"/>
      <c r="D238" s="910"/>
      <c r="E238" s="912"/>
      <c r="F238" s="857"/>
      <c r="G238" s="911"/>
      <c r="H238" s="910"/>
      <c r="I238" s="910"/>
      <c r="J238" s="860"/>
      <c r="K238" s="910"/>
    </row>
    <row r="239">
      <c r="A239" s="910"/>
      <c r="B239" s="911"/>
      <c r="C239" s="910"/>
      <c r="D239" s="910"/>
      <c r="E239" s="912"/>
      <c r="F239" s="857"/>
      <c r="G239" s="911"/>
      <c r="H239" s="910"/>
      <c r="I239" s="910"/>
      <c r="J239" s="860"/>
      <c r="K239" s="910"/>
    </row>
    <row r="240">
      <c r="A240" s="910"/>
      <c r="B240" s="911"/>
      <c r="C240" s="910"/>
      <c r="D240" s="910"/>
      <c r="E240" s="912"/>
      <c r="F240" s="857"/>
      <c r="G240" s="911"/>
      <c r="H240" s="910"/>
      <c r="I240" s="910"/>
      <c r="J240" s="860"/>
      <c r="K240" s="910"/>
    </row>
    <row r="241">
      <c r="A241" s="910"/>
      <c r="B241" s="911"/>
      <c r="C241" s="910"/>
      <c r="D241" s="910"/>
      <c r="E241" s="912"/>
      <c r="F241" s="857"/>
      <c r="G241" s="911"/>
      <c r="H241" s="910"/>
      <c r="I241" s="910"/>
      <c r="J241" s="860"/>
      <c r="K241" s="910"/>
    </row>
    <row r="242">
      <c r="A242" s="910"/>
      <c r="B242" s="911"/>
      <c r="C242" s="910"/>
      <c r="D242" s="910"/>
      <c r="E242" s="912"/>
      <c r="F242" s="857"/>
      <c r="G242" s="911"/>
      <c r="H242" s="910"/>
      <c r="I242" s="910"/>
      <c r="J242" s="860"/>
      <c r="K242" s="910"/>
    </row>
    <row r="243">
      <c r="A243" s="910"/>
      <c r="B243" s="911"/>
      <c r="C243" s="910"/>
      <c r="D243" s="910"/>
      <c r="E243" s="912"/>
      <c r="F243" s="857"/>
      <c r="G243" s="911"/>
      <c r="H243" s="910"/>
      <c r="I243" s="910"/>
      <c r="J243" s="860"/>
      <c r="K243" s="910"/>
    </row>
    <row r="244">
      <c r="A244" s="910"/>
      <c r="B244" s="911"/>
      <c r="C244" s="910"/>
      <c r="D244" s="910"/>
      <c r="E244" s="912"/>
      <c r="F244" s="857"/>
      <c r="G244" s="911"/>
      <c r="H244" s="910"/>
      <c r="I244" s="910"/>
      <c r="J244" s="860"/>
      <c r="K244" s="910"/>
    </row>
    <row r="245">
      <c r="A245" s="910"/>
      <c r="B245" s="911"/>
      <c r="C245" s="910"/>
      <c r="D245" s="910"/>
      <c r="E245" s="912"/>
      <c r="F245" s="857"/>
      <c r="G245" s="911"/>
      <c r="H245" s="910"/>
      <c r="I245" s="910"/>
      <c r="J245" s="860"/>
      <c r="K245" s="910"/>
    </row>
    <row r="246">
      <c r="A246" s="910"/>
      <c r="B246" s="911"/>
      <c r="C246" s="910"/>
      <c r="D246" s="910"/>
      <c r="E246" s="912"/>
      <c r="F246" s="857"/>
      <c r="G246" s="911"/>
      <c r="H246" s="910"/>
      <c r="I246" s="910"/>
      <c r="J246" s="860"/>
      <c r="K246" s="910"/>
    </row>
    <row r="247">
      <c r="A247" s="910"/>
      <c r="B247" s="911"/>
      <c r="C247" s="910"/>
      <c r="D247" s="910"/>
      <c r="E247" s="912"/>
      <c r="F247" s="857"/>
      <c r="G247" s="911"/>
      <c r="H247" s="910"/>
      <c r="I247" s="910"/>
      <c r="J247" s="860"/>
      <c r="K247" s="910"/>
    </row>
    <row r="248">
      <c r="A248" s="910"/>
      <c r="B248" s="911"/>
      <c r="C248" s="910"/>
      <c r="D248" s="910"/>
      <c r="E248" s="912"/>
      <c r="F248" s="857"/>
      <c r="G248" s="911"/>
      <c r="H248" s="910"/>
      <c r="I248" s="910"/>
      <c r="J248" s="860"/>
      <c r="K248" s="910"/>
    </row>
    <row r="249">
      <c r="A249" s="910"/>
      <c r="B249" s="911"/>
      <c r="C249" s="910"/>
      <c r="D249" s="910"/>
      <c r="E249" s="912"/>
      <c r="F249" s="857"/>
      <c r="G249" s="911"/>
      <c r="H249" s="910"/>
      <c r="I249" s="910"/>
      <c r="J249" s="860"/>
      <c r="K249" s="910"/>
    </row>
    <row r="250">
      <c r="A250" s="910"/>
      <c r="B250" s="911"/>
      <c r="C250" s="910"/>
      <c r="D250" s="910"/>
      <c r="E250" s="912"/>
      <c r="F250" s="857"/>
      <c r="G250" s="911"/>
      <c r="H250" s="910"/>
      <c r="I250" s="910"/>
      <c r="J250" s="860"/>
      <c r="K250" s="910"/>
    </row>
    <row r="251">
      <c r="A251" s="910"/>
      <c r="B251" s="911"/>
      <c r="C251" s="910"/>
      <c r="D251" s="910"/>
      <c r="E251" s="912"/>
      <c r="F251" s="857"/>
      <c r="G251" s="911"/>
      <c r="H251" s="910"/>
      <c r="I251" s="910"/>
      <c r="J251" s="860"/>
      <c r="K251" s="910"/>
    </row>
    <row r="252">
      <c r="A252" s="910"/>
      <c r="B252" s="911"/>
      <c r="C252" s="910"/>
      <c r="D252" s="910"/>
      <c r="E252" s="912"/>
      <c r="F252" s="857"/>
      <c r="G252" s="911"/>
      <c r="H252" s="910"/>
      <c r="I252" s="910"/>
      <c r="J252" s="860"/>
      <c r="K252" s="910"/>
    </row>
    <row r="253">
      <c r="A253" s="910"/>
      <c r="B253" s="911"/>
      <c r="C253" s="910"/>
      <c r="D253" s="910"/>
      <c r="E253" s="912"/>
      <c r="F253" s="857"/>
      <c r="G253" s="911"/>
      <c r="H253" s="910"/>
      <c r="I253" s="910"/>
      <c r="J253" s="860"/>
      <c r="K253" s="910"/>
    </row>
    <row r="254">
      <c r="A254" s="910"/>
      <c r="B254" s="911"/>
      <c r="C254" s="910"/>
      <c r="D254" s="910"/>
      <c r="E254" s="912"/>
      <c r="F254" s="857"/>
      <c r="G254" s="911"/>
      <c r="H254" s="910"/>
      <c r="I254" s="910"/>
      <c r="J254" s="860"/>
      <c r="K254" s="910"/>
    </row>
    <row r="255">
      <c r="A255" s="910"/>
      <c r="B255" s="911"/>
      <c r="C255" s="910"/>
      <c r="D255" s="910"/>
      <c r="E255" s="912"/>
      <c r="F255" s="857"/>
      <c r="G255" s="911"/>
      <c r="H255" s="910"/>
      <c r="I255" s="910"/>
      <c r="J255" s="860"/>
      <c r="K255" s="910"/>
    </row>
    <row r="256">
      <c r="A256" s="910"/>
      <c r="B256" s="911"/>
      <c r="C256" s="910"/>
      <c r="D256" s="910"/>
      <c r="E256" s="912"/>
      <c r="F256" s="857"/>
      <c r="G256" s="911"/>
      <c r="H256" s="910"/>
      <c r="I256" s="910"/>
      <c r="J256" s="860"/>
      <c r="K256" s="910"/>
    </row>
    <row r="257">
      <c r="A257" s="910"/>
      <c r="B257" s="911"/>
      <c r="C257" s="910"/>
      <c r="D257" s="910"/>
      <c r="E257" s="912"/>
      <c r="F257" s="857"/>
      <c r="G257" s="911"/>
      <c r="H257" s="910"/>
      <c r="I257" s="910"/>
      <c r="J257" s="860"/>
      <c r="K257" s="910"/>
    </row>
    <row r="258">
      <c r="A258" s="910"/>
      <c r="B258" s="911"/>
      <c r="C258" s="910"/>
      <c r="D258" s="910"/>
      <c r="E258" s="912"/>
      <c r="F258" s="857"/>
      <c r="G258" s="911"/>
      <c r="H258" s="910"/>
      <c r="I258" s="910"/>
      <c r="J258" s="860"/>
      <c r="K258" s="910"/>
    </row>
    <row r="259">
      <c r="A259" s="910"/>
      <c r="B259" s="911"/>
      <c r="C259" s="910"/>
      <c r="D259" s="910"/>
      <c r="E259" s="912"/>
      <c r="F259" s="857"/>
      <c r="G259" s="911"/>
      <c r="H259" s="910"/>
      <c r="I259" s="910"/>
      <c r="J259" s="860"/>
      <c r="K259" s="910"/>
    </row>
    <row r="260">
      <c r="A260" s="910"/>
      <c r="B260" s="911"/>
      <c r="C260" s="910"/>
      <c r="D260" s="910"/>
      <c r="E260" s="912"/>
      <c r="F260" s="857"/>
      <c r="G260" s="911"/>
      <c r="H260" s="910"/>
      <c r="I260" s="910"/>
      <c r="J260" s="860"/>
      <c r="K260" s="910"/>
    </row>
    <row r="261">
      <c r="A261" s="910"/>
      <c r="B261" s="911"/>
      <c r="C261" s="910"/>
      <c r="D261" s="910"/>
      <c r="E261" s="912"/>
      <c r="F261" s="857"/>
      <c r="G261" s="911"/>
      <c r="H261" s="910"/>
      <c r="I261" s="910"/>
      <c r="J261" s="860"/>
      <c r="K261" s="910"/>
    </row>
    <row r="262">
      <c r="A262" s="910"/>
      <c r="B262" s="911"/>
      <c r="C262" s="910"/>
      <c r="D262" s="910"/>
      <c r="E262" s="912"/>
      <c r="F262" s="857"/>
      <c r="G262" s="911"/>
      <c r="H262" s="910"/>
      <c r="I262" s="910"/>
      <c r="J262" s="860"/>
      <c r="K262" s="910"/>
    </row>
    <row r="263">
      <c r="A263" s="910"/>
      <c r="B263" s="911"/>
      <c r="C263" s="910"/>
      <c r="D263" s="910"/>
      <c r="E263" s="912"/>
      <c r="F263" s="857"/>
      <c r="G263" s="911"/>
      <c r="H263" s="910"/>
      <c r="I263" s="910"/>
      <c r="J263" s="860"/>
      <c r="K263" s="910"/>
    </row>
    <row r="264">
      <c r="A264" s="910"/>
      <c r="B264" s="911"/>
      <c r="C264" s="910"/>
      <c r="D264" s="910"/>
      <c r="E264" s="912"/>
      <c r="F264" s="857"/>
      <c r="G264" s="911"/>
      <c r="H264" s="910"/>
      <c r="I264" s="910"/>
      <c r="J264" s="860"/>
      <c r="K264" s="910"/>
    </row>
    <row r="265">
      <c r="A265" s="910"/>
      <c r="B265" s="911"/>
      <c r="C265" s="910"/>
      <c r="D265" s="910"/>
      <c r="E265" s="912"/>
      <c r="F265" s="857"/>
      <c r="G265" s="911"/>
      <c r="H265" s="910"/>
      <c r="I265" s="910"/>
      <c r="J265" s="860"/>
      <c r="K265" s="910"/>
    </row>
    <row r="266">
      <c r="A266" s="910"/>
      <c r="B266" s="911"/>
      <c r="C266" s="910"/>
      <c r="D266" s="910"/>
      <c r="E266" s="912"/>
      <c r="F266" s="857"/>
      <c r="G266" s="911"/>
      <c r="H266" s="910"/>
      <c r="I266" s="910"/>
      <c r="J266" s="860"/>
      <c r="K266" s="910"/>
    </row>
    <row r="267">
      <c r="A267" s="910"/>
      <c r="B267" s="911"/>
      <c r="C267" s="910"/>
      <c r="D267" s="910"/>
      <c r="E267" s="912"/>
      <c r="F267" s="857"/>
      <c r="G267" s="911"/>
      <c r="H267" s="910"/>
      <c r="I267" s="910"/>
      <c r="J267" s="860"/>
      <c r="K267" s="910"/>
    </row>
    <row r="268">
      <c r="A268" s="910"/>
      <c r="B268" s="911"/>
      <c r="C268" s="910"/>
      <c r="D268" s="910"/>
      <c r="E268" s="912"/>
      <c r="F268" s="857"/>
      <c r="G268" s="911"/>
      <c r="H268" s="910"/>
      <c r="I268" s="910"/>
      <c r="J268" s="860"/>
      <c r="K268" s="910"/>
    </row>
    <row r="269">
      <c r="A269" s="910"/>
      <c r="B269" s="911"/>
      <c r="C269" s="910"/>
      <c r="D269" s="910"/>
      <c r="E269" s="912"/>
      <c r="F269" s="857"/>
      <c r="G269" s="911"/>
      <c r="H269" s="910"/>
      <c r="I269" s="910"/>
      <c r="J269" s="860"/>
      <c r="K269" s="910"/>
    </row>
    <row r="270">
      <c r="A270" s="910"/>
      <c r="B270" s="911"/>
      <c r="C270" s="910"/>
      <c r="D270" s="910"/>
      <c r="E270" s="912"/>
      <c r="F270" s="857"/>
      <c r="G270" s="911"/>
      <c r="H270" s="910"/>
      <c r="I270" s="910"/>
      <c r="J270" s="860"/>
      <c r="K270" s="910"/>
    </row>
    <row r="271">
      <c r="A271" s="910"/>
      <c r="B271" s="911"/>
      <c r="C271" s="910"/>
      <c r="D271" s="910"/>
      <c r="E271" s="912"/>
      <c r="F271" s="857"/>
      <c r="G271" s="911"/>
      <c r="H271" s="910"/>
      <c r="I271" s="910"/>
      <c r="J271" s="860"/>
      <c r="K271" s="910"/>
    </row>
    <row r="272">
      <c r="A272" s="910"/>
      <c r="B272" s="911"/>
      <c r="C272" s="910"/>
      <c r="D272" s="910"/>
      <c r="E272" s="912"/>
      <c r="F272" s="857"/>
      <c r="G272" s="911"/>
      <c r="H272" s="910"/>
      <c r="I272" s="910"/>
      <c r="J272" s="860"/>
      <c r="K272" s="910"/>
    </row>
    <row r="273">
      <c r="A273" s="910"/>
      <c r="B273" s="911"/>
      <c r="C273" s="910"/>
      <c r="D273" s="910"/>
      <c r="E273" s="912"/>
      <c r="F273" s="857"/>
      <c r="G273" s="911"/>
      <c r="H273" s="910"/>
      <c r="I273" s="910"/>
      <c r="J273" s="860"/>
      <c r="K273" s="910"/>
    </row>
    <row r="274">
      <c r="A274" s="910"/>
      <c r="B274" s="911"/>
      <c r="C274" s="910"/>
      <c r="D274" s="910"/>
      <c r="E274" s="912"/>
      <c r="F274" s="857"/>
      <c r="G274" s="911"/>
      <c r="H274" s="910"/>
      <c r="I274" s="910"/>
      <c r="J274" s="860"/>
      <c r="K274" s="910"/>
    </row>
    <row r="275">
      <c r="A275" s="910"/>
      <c r="B275" s="911"/>
      <c r="C275" s="910"/>
      <c r="D275" s="910"/>
      <c r="E275" s="912"/>
      <c r="F275" s="857"/>
      <c r="G275" s="911"/>
      <c r="H275" s="910"/>
      <c r="I275" s="910"/>
      <c r="J275" s="860"/>
      <c r="K275" s="910"/>
    </row>
    <row r="276">
      <c r="A276" s="910"/>
      <c r="B276" s="911"/>
      <c r="C276" s="910"/>
      <c r="D276" s="910"/>
      <c r="E276" s="912"/>
      <c r="F276" s="857"/>
      <c r="G276" s="911"/>
      <c r="H276" s="910"/>
      <c r="I276" s="910"/>
      <c r="J276" s="860"/>
      <c r="K276" s="910"/>
    </row>
    <row r="277">
      <c r="A277" s="910"/>
      <c r="B277" s="911"/>
      <c r="C277" s="910"/>
      <c r="D277" s="910"/>
      <c r="E277" s="912"/>
      <c r="F277" s="857"/>
      <c r="G277" s="911"/>
      <c r="H277" s="910"/>
      <c r="I277" s="910"/>
      <c r="J277" s="860"/>
      <c r="K277" s="910"/>
    </row>
    <row r="278">
      <c r="A278" s="910"/>
      <c r="B278" s="911"/>
      <c r="C278" s="910"/>
      <c r="D278" s="910"/>
      <c r="E278" s="912"/>
      <c r="F278" s="857"/>
      <c r="G278" s="911"/>
      <c r="H278" s="910"/>
      <c r="I278" s="910"/>
      <c r="J278" s="860"/>
      <c r="K278" s="910"/>
    </row>
    <row r="279">
      <c r="A279" s="910"/>
      <c r="B279" s="911"/>
      <c r="C279" s="910"/>
      <c r="D279" s="910"/>
      <c r="E279" s="912"/>
      <c r="F279" s="857"/>
      <c r="G279" s="911"/>
      <c r="H279" s="910"/>
      <c r="I279" s="910"/>
      <c r="J279" s="860"/>
      <c r="K279" s="910"/>
    </row>
    <row r="280">
      <c r="A280" s="910"/>
      <c r="B280" s="911"/>
      <c r="C280" s="910"/>
      <c r="D280" s="910"/>
      <c r="E280" s="912"/>
      <c r="F280" s="857"/>
      <c r="G280" s="911"/>
      <c r="H280" s="910"/>
      <c r="I280" s="910"/>
      <c r="J280" s="860"/>
      <c r="K280" s="910"/>
    </row>
    <row r="281">
      <c r="A281" s="910"/>
      <c r="B281" s="911"/>
      <c r="C281" s="910"/>
      <c r="D281" s="910"/>
      <c r="E281" s="912"/>
      <c r="F281" s="857"/>
      <c r="G281" s="911"/>
      <c r="H281" s="910"/>
      <c r="I281" s="910"/>
      <c r="J281" s="860"/>
      <c r="K281" s="910"/>
    </row>
    <row r="282">
      <c r="A282" s="910"/>
      <c r="B282" s="911"/>
      <c r="C282" s="910"/>
      <c r="D282" s="910"/>
      <c r="E282" s="912"/>
      <c r="F282" s="857"/>
      <c r="G282" s="911"/>
      <c r="H282" s="910"/>
      <c r="I282" s="910"/>
      <c r="J282" s="860"/>
      <c r="K282" s="910"/>
    </row>
    <row r="283">
      <c r="A283" s="910"/>
      <c r="B283" s="911"/>
      <c r="C283" s="910"/>
      <c r="D283" s="910"/>
      <c r="E283" s="912"/>
      <c r="F283" s="857"/>
      <c r="G283" s="911"/>
      <c r="H283" s="910"/>
      <c r="I283" s="910"/>
      <c r="J283" s="860"/>
      <c r="K283" s="910"/>
    </row>
    <row r="284">
      <c r="A284" s="910"/>
      <c r="B284" s="911"/>
      <c r="C284" s="910"/>
      <c r="D284" s="910"/>
      <c r="E284" s="912"/>
      <c r="F284" s="857"/>
      <c r="G284" s="911"/>
      <c r="H284" s="910"/>
      <c r="I284" s="910"/>
      <c r="J284" s="860"/>
      <c r="K284" s="910"/>
    </row>
    <row r="285">
      <c r="A285" s="910"/>
      <c r="B285" s="911"/>
      <c r="C285" s="910"/>
      <c r="D285" s="910"/>
      <c r="E285" s="912"/>
      <c r="F285" s="857"/>
      <c r="G285" s="911"/>
      <c r="H285" s="910"/>
      <c r="I285" s="910"/>
      <c r="J285" s="860"/>
      <c r="K285" s="910"/>
    </row>
    <row r="286">
      <c r="A286" s="910"/>
      <c r="B286" s="911"/>
      <c r="C286" s="910"/>
      <c r="D286" s="910"/>
      <c r="E286" s="912"/>
      <c r="F286" s="857"/>
      <c r="G286" s="911"/>
      <c r="H286" s="910"/>
      <c r="I286" s="910"/>
      <c r="J286" s="860"/>
      <c r="K286" s="910"/>
    </row>
    <row r="287">
      <c r="A287" s="910"/>
      <c r="B287" s="911"/>
      <c r="C287" s="910"/>
      <c r="D287" s="910"/>
      <c r="E287" s="912"/>
      <c r="F287" s="857"/>
      <c r="G287" s="911"/>
      <c r="H287" s="910"/>
      <c r="I287" s="910"/>
      <c r="J287" s="860"/>
      <c r="K287" s="910"/>
    </row>
    <row r="288">
      <c r="A288" s="910"/>
      <c r="B288" s="911"/>
      <c r="C288" s="910"/>
      <c r="D288" s="910"/>
      <c r="E288" s="912"/>
      <c r="F288" s="857"/>
      <c r="G288" s="911"/>
      <c r="H288" s="910"/>
      <c r="I288" s="910"/>
      <c r="J288" s="860"/>
      <c r="K288" s="910"/>
    </row>
    <row r="289">
      <c r="A289" s="910"/>
      <c r="B289" s="911"/>
      <c r="C289" s="910"/>
      <c r="D289" s="910"/>
      <c r="E289" s="912"/>
      <c r="F289" s="857"/>
      <c r="G289" s="911"/>
      <c r="H289" s="910"/>
      <c r="I289" s="910"/>
      <c r="J289" s="860"/>
      <c r="K289" s="910"/>
    </row>
    <row r="290">
      <c r="A290" s="910"/>
      <c r="B290" s="911"/>
      <c r="C290" s="910"/>
      <c r="D290" s="910"/>
      <c r="E290" s="912"/>
      <c r="F290" s="857"/>
      <c r="G290" s="911"/>
      <c r="H290" s="910"/>
      <c r="I290" s="910"/>
      <c r="J290" s="860"/>
      <c r="K290" s="910"/>
    </row>
    <row r="291">
      <c r="A291" s="910"/>
      <c r="B291" s="911"/>
      <c r="C291" s="910"/>
      <c r="D291" s="910"/>
      <c r="E291" s="912"/>
      <c r="F291" s="857"/>
      <c r="G291" s="911"/>
      <c r="H291" s="910"/>
      <c r="I291" s="910"/>
      <c r="J291" s="860"/>
      <c r="K291" s="910"/>
    </row>
    <row r="292">
      <c r="A292" s="910"/>
      <c r="B292" s="911"/>
      <c r="C292" s="910"/>
      <c r="D292" s="910"/>
      <c r="E292" s="912"/>
      <c r="F292" s="857"/>
      <c r="G292" s="911"/>
      <c r="H292" s="910"/>
      <c r="I292" s="910"/>
      <c r="J292" s="860"/>
      <c r="K292" s="910"/>
    </row>
    <row r="293">
      <c r="A293" s="910"/>
      <c r="B293" s="911"/>
      <c r="C293" s="910"/>
      <c r="D293" s="910"/>
      <c r="E293" s="912"/>
      <c r="F293" s="857"/>
      <c r="G293" s="911"/>
      <c r="H293" s="910"/>
      <c r="I293" s="910"/>
      <c r="J293" s="860"/>
      <c r="K293" s="910"/>
    </row>
    <row r="294">
      <c r="A294" s="910"/>
      <c r="B294" s="911"/>
      <c r="C294" s="910"/>
      <c r="D294" s="910"/>
      <c r="E294" s="912"/>
      <c r="F294" s="857"/>
      <c r="G294" s="911"/>
      <c r="H294" s="910"/>
      <c r="I294" s="910"/>
      <c r="J294" s="860"/>
      <c r="K294" s="910"/>
    </row>
    <row r="295">
      <c r="A295" s="910"/>
      <c r="B295" s="911"/>
      <c r="C295" s="910"/>
      <c r="D295" s="910"/>
      <c r="E295" s="912"/>
      <c r="F295" s="857"/>
      <c r="G295" s="911"/>
      <c r="H295" s="910"/>
      <c r="I295" s="910"/>
      <c r="J295" s="860"/>
      <c r="K295" s="910"/>
    </row>
    <row r="296">
      <c r="A296" s="910"/>
      <c r="B296" s="911"/>
      <c r="C296" s="910"/>
      <c r="D296" s="910"/>
      <c r="E296" s="912"/>
      <c r="F296" s="857"/>
      <c r="G296" s="911"/>
      <c r="H296" s="910"/>
      <c r="I296" s="910"/>
      <c r="J296" s="860"/>
      <c r="K296" s="910"/>
    </row>
    <row r="297">
      <c r="A297" s="910"/>
      <c r="B297" s="911"/>
      <c r="C297" s="910"/>
      <c r="D297" s="910"/>
      <c r="E297" s="912"/>
      <c r="F297" s="857"/>
      <c r="G297" s="911"/>
      <c r="H297" s="910"/>
      <c r="I297" s="910"/>
      <c r="J297" s="860"/>
      <c r="K297" s="910"/>
    </row>
    <row r="298">
      <c r="A298" s="910"/>
      <c r="B298" s="911"/>
      <c r="C298" s="910"/>
      <c r="D298" s="910"/>
      <c r="E298" s="912"/>
      <c r="F298" s="857"/>
      <c r="G298" s="911"/>
      <c r="H298" s="910"/>
      <c r="I298" s="910"/>
      <c r="J298" s="860"/>
      <c r="K298" s="910"/>
    </row>
    <row r="299">
      <c r="A299" s="910"/>
      <c r="B299" s="911"/>
      <c r="C299" s="910"/>
      <c r="D299" s="910"/>
      <c r="E299" s="912"/>
      <c r="F299" s="857"/>
      <c r="G299" s="911"/>
      <c r="H299" s="910"/>
      <c r="I299" s="910"/>
      <c r="J299" s="860"/>
      <c r="K299" s="910"/>
    </row>
    <row r="300">
      <c r="A300" s="910"/>
      <c r="B300" s="911"/>
      <c r="C300" s="910"/>
      <c r="D300" s="910"/>
      <c r="E300" s="912"/>
      <c r="F300" s="857"/>
      <c r="G300" s="911"/>
      <c r="H300" s="910"/>
      <c r="I300" s="910"/>
      <c r="J300" s="860"/>
      <c r="K300" s="910"/>
    </row>
    <row r="301">
      <c r="A301" s="910"/>
      <c r="B301" s="911"/>
      <c r="C301" s="910"/>
      <c r="D301" s="910"/>
      <c r="E301" s="912"/>
      <c r="F301" s="857"/>
      <c r="G301" s="911"/>
      <c r="H301" s="910"/>
      <c r="I301" s="910"/>
      <c r="J301" s="860"/>
      <c r="K301" s="910"/>
    </row>
    <row r="302">
      <c r="A302" s="910"/>
      <c r="B302" s="911"/>
      <c r="C302" s="910"/>
      <c r="D302" s="910"/>
      <c r="E302" s="912"/>
      <c r="F302" s="857"/>
      <c r="G302" s="911"/>
      <c r="H302" s="910"/>
      <c r="I302" s="910"/>
      <c r="J302" s="860"/>
      <c r="K302" s="910"/>
    </row>
    <row r="303">
      <c r="A303" s="910"/>
      <c r="B303" s="911"/>
      <c r="C303" s="910"/>
      <c r="D303" s="910"/>
      <c r="E303" s="912"/>
      <c r="F303" s="857"/>
      <c r="G303" s="911"/>
      <c r="H303" s="910"/>
      <c r="I303" s="910"/>
      <c r="J303" s="860"/>
      <c r="K303" s="910"/>
    </row>
    <row r="304">
      <c r="A304" s="910"/>
      <c r="B304" s="911"/>
      <c r="C304" s="910"/>
      <c r="D304" s="910"/>
      <c r="E304" s="912"/>
      <c r="F304" s="857"/>
      <c r="G304" s="911"/>
      <c r="H304" s="910"/>
      <c r="I304" s="910"/>
      <c r="J304" s="860"/>
      <c r="K304" s="910"/>
    </row>
    <row r="305">
      <c r="A305" s="910"/>
      <c r="B305" s="911"/>
      <c r="C305" s="910"/>
      <c r="D305" s="910"/>
      <c r="E305" s="912"/>
      <c r="F305" s="857"/>
      <c r="G305" s="911"/>
      <c r="H305" s="910"/>
      <c r="I305" s="910"/>
      <c r="J305" s="860"/>
      <c r="K305" s="910"/>
    </row>
    <row r="306">
      <c r="A306" s="910"/>
      <c r="B306" s="911"/>
      <c r="C306" s="910"/>
      <c r="D306" s="910"/>
      <c r="E306" s="912"/>
      <c r="F306" s="857"/>
      <c r="G306" s="911"/>
      <c r="H306" s="910"/>
      <c r="I306" s="910"/>
      <c r="J306" s="860"/>
      <c r="K306" s="910"/>
    </row>
    <row r="307">
      <c r="A307" s="910"/>
      <c r="B307" s="911"/>
      <c r="C307" s="910"/>
      <c r="D307" s="910"/>
      <c r="E307" s="912"/>
      <c r="F307" s="857"/>
      <c r="G307" s="911"/>
      <c r="H307" s="910"/>
      <c r="I307" s="910"/>
      <c r="J307" s="860"/>
      <c r="K307" s="910"/>
    </row>
    <row r="308">
      <c r="A308" s="910"/>
      <c r="B308" s="911"/>
      <c r="C308" s="910"/>
      <c r="D308" s="910"/>
      <c r="E308" s="912"/>
      <c r="F308" s="857"/>
      <c r="G308" s="911"/>
      <c r="H308" s="910"/>
      <c r="I308" s="910"/>
      <c r="J308" s="860"/>
      <c r="K308" s="910"/>
    </row>
    <row r="309">
      <c r="A309" s="910"/>
      <c r="B309" s="911"/>
      <c r="C309" s="910"/>
      <c r="D309" s="910"/>
      <c r="E309" s="912"/>
      <c r="F309" s="857"/>
      <c r="G309" s="911"/>
      <c r="H309" s="910"/>
      <c r="I309" s="910"/>
      <c r="J309" s="860"/>
      <c r="K309" s="910"/>
    </row>
    <row r="310">
      <c r="A310" s="910"/>
      <c r="B310" s="911"/>
      <c r="C310" s="910"/>
      <c r="D310" s="910"/>
      <c r="E310" s="912"/>
      <c r="F310" s="857"/>
      <c r="G310" s="911"/>
      <c r="H310" s="910"/>
      <c r="I310" s="910"/>
      <c r="J310" s="860"/>
      <c r="K310" s="910"/>
    </row>
    <row r="311">
      <c r="A311" s="910"/>
      <c r="B311" s="911"/>
      <c r="C311" s="910"/>
      <c r="D311" s="910"/>
      <c r="E311" s="912"/>
      <c r="F311" s="857"/>
      <c r="G311" s="911"/>
      <c r="H311" s="910"/>
      <c r="I311" s="910"/>
      <c r="J311" s="860"/>
      <c r="K311" s="910"/>
    </row>
    <row r="312">
      <c r="A312" s="910"/>
      <c r="B312" s="911"/>
      <c r="C312" s="910"/>
      <c r="D312" s="910"/>
      <c r="E312" s="912"/>
      <c r="F312" s="857"/>
      <c r="G312" s="911"/>
      <c r="H312" s="910"/>
      <c r="I312" s="910"/>
      <c r="J312" s="860"/>
      <c r="K312" s="910"/>
    </row>
    <row r="313">
      <c r="A313" s="910"/>
      <c r="B313" s="911"/>
      <c r="C313" s="910"/>
      <c r="D313" s="910"/>
      <c r="E313" s="912"/>
      <c r="F313" s="857"/>
      <c r="G313" s="911"/>
      <c r="H313" s="910"/>
      <c r="I313" s="910"/>
      <c r="J313" s="860"/>
      <c r="K313" s="910"/>
    </row>
    <row r="314">
      <c r="A314" s="910"/>
      <c r="B314" s="911"/>
      <c r="C314" s="910"/>
      <c r="D314" s="910"/>
      <c r="E314" s="912"/>
      <c r="F314" s="857"/>
      <c r="G314" s="911"/>
      <c r="H314" s="910"/>
      <c r="I314" s="910"/>
      <c r="J314" s="860"/>
      <c r="K314" s="910"/>
    </row>
    <row r="315">
      <c r="A315" s="910"/>
      <c r="B315" s="911"/>
      <c r="C315" s="910"/>
      <c r="D315" s="910"/>
      <c r="E315" s="912"/>
      <c r="F315" s="857"/>
      <c r="G315" s="911"/>
      <c r="H315" s="910"/>
      <c r="I315" s="910"/>
      <c r="J315" s="860"/>
      <c r="K315" s="910"/>
    </row>
    <row r="316">
      <c r="A316" s="910"/>
      <c r="B316" s="911"/>
      <c r="C316" s="910"/>
      <c r="D316" s="910"/>
      <c r="E316" s="912"/>
      <c r="F316" s="857"/>
      <c r="G316" s="911"/>
      <c r="H316" s="910"/>
      <c r="I316" s="910"/>
      <c r="J316" s="860"/>
      <c r="K316" s="910"/>
    </row>
    <row r="317">
      <c r="A317" s="910"/>
      <c r="B317" s="911"/>
      <c r="C317" s="910"/>
      <c r="D317" s="910"/>
      <c r="E317" s="912"/>
      <c r="F317" s="857"/>
      <c r="G317" s="911"/>
      <c r="H317" s="910"/>
      <c r="I317" s="910"/>
      <c r="J317" s="860"/>
      <c r="K317" s="910"/>
    </row>
    <row r="318">
      <c r="A318" s="910"/>
      <c r="B318" s="911"/>
      <c r="C318" s="910"/>
      <c r="D318" s="910"/>
      <c r="E318" s="912"/>
      <c r="F318" s="857"/>
      <c r="G318" s="911"/>
      <c r="H318" s="910"/>
      <c r="I318" s="910"/>
      <c r="J318" s="860"/>
      <c r="K318" s="910"/>
    </row>
    <row r="319">
      <c r="A319" s="910"/>
      <c r="B319" s="911"/>
      <c r="C319" s="910"/>
      <c r="D319" s="910"/>
      <c r="E319" s="912"/>
      <c r="F319" s="857"/>
      <c r="G319" s="911"/>
      <c r="H319" s="910"/>
      <c r="I319" s="910"/>
      <c r="J319" s="860"/>
      <c r="K319" s="910"/>
    </row>
    <row r="320">
      <c r="A320" s="910"/>
      <c r="B320" s="911"/>
      <c r="C320" s="910"/>
      <c r="D320" s="910"/>
      <c r="E320" s="912"/>
      <c r="F320" s="857"/>
      <c r="G320" s="911"/>
      <c r="H320" s="910"/>
      <c r="I320" s="910"/>
      <c r="J320" s="860"/>
      <c r="K320" s="910"/>
    </row>
    <row r="321">
      <c r="A321" s="910"/>
      <c r="B321" s="911"/>
      <c r="C321" s="910"/>
      <c r="D321" s="910"/>
      <c r="E321" s="912"/>
      <c r="F321" s="857"/>
      <c r="G321" s="911"/>
      <c r="H321" s="910"/>
      <c r="I321" s="910"/>
      <c r="J321" s="860"/>
      <c r="K321" s="910"/>
    </row>
    <row r="322">
      <c r="A322" s="910"/>
      <c r="B322" s="911"/>
      <c r="C322" s="910"/>
      <c r="D322" s="910"/>
      <c r="E322" s="912"/>
      <c r="F322" s="857"/>
      <c r="G322" s="911"/>
      <c r="H322" s="910"/>
      <c r="I322" s="910"/>
      <c r="J322" s="860"/>
      <c r="K322" s="910"/>
    </row>
    <row r="323">
      <c r="A323" s="910"/>
      <c r="B323" s="911"/>
      <c r="C323" s="910"/>
      <c r="D323" s="910"/>
      <c r="E323" s="912"/>
      <c r="F323" s="857"/>
      <c r="G323" s="911"/>
      <c r="H323" s="910"/>
      <c r="I323" s="910"/>
      <c r="J323" s="860"/>
      <c r="K323" s="910"/>
    </row>
    <row r="324">
      <c r="A324" s="910"/>
      <c r="B324" s="911"/>
      <c r="C324" s="910"/>
      <c r="D324" s="910"/>
      <c r="E324" s="912"/>
      <c r="F324" s="857"/>
      <c r="G324" s="911"/>
      <c r="H324" s="910"/>
      <c r="I324" s="910"/>
      <c r="J324" s="860"/>
      <c r="K324" s="910"/>
    </row>
    <row r="325">
      <c r="A325" s="910"/>
      <c r="B325" s="911"/>
      <c r="C325" s="910"/>
      <c r="D325" s="910"/>
      <c r="E325" s="912"/>
      <c r="F325" s="857"/>
      <c r="G325" s="911"/>
      <c r="H325" s="910"/>
      <c r="I325" s="910"/>
      <c r="J325" s="860"/>
      <c r="K325" s="910"/>
    </row>
    <row r="326">
      <c r="A326" s="910"/>
      <c r="B326" s="911"/>
      <c r="C326" s="910"/>
      <c r="D326" s="910"/>
      <c r="E326" s="912"/>
      <c r="F326" s="857"/>
      <c r="G326" s="911"/>
      <c r="H326" s="910"/>
      <c r="I326" s="910"/>
      <c r="J326" s="860"/>
      <c r="K326" s="910"/>
    </row>
    <row r="327">
      <c r="A327" s="910"/>
      <c r="B327" s="911"/>
      <c r="C327" s="910"/>
      <c r="D327" s="910"/>
      <c r="E327" s="912"/>
      <c r="F327" s="857"/>
      <c r="G327" s="911"/>
      <c r="H327" s="910"/>
      <c r="I327" s="910"/>
      <c r="J327" s="860"/>
      <c r="K327" s="910"/>
    </row>
    <row r="328">
      <c r="A328" s="910"/>
      <c r="B328" s="911"/>
      <c r="C328" s="910"/>
      <c r="D328" s="910"/>
      <c r="E328" s="912"/>
      <c r="F328" s="857"/>
      <c r="G328" s="911"/>
      <c r="H328" s="910"/>
      <c r="I328" s="910"/>
      <c r="J328" s="860"/>
      <c r="K328" s="910"/>
    </row>
    <row r="329">
      <c r="A329" s="910"/>
      <c r="B329" s="911"/>
      <c r="C329" s="910"/>
      <c r="D329" s="910"/>
      <c r="E329" s="912"/>
      <c r="F329" s="857"/>
      <c r="G329" s="911"/>
      <c r="H329" s="910"/>
      <c r="I329" s="910"/>
      <c r="J329" s="860"/>
      <c r="K329" s="910"/>
    </row>
    <row r="330">
      <c r="A330" s="910"/>
      <c r="B330" s="911"/>
      <c r="C330" s="910"/>
      <c r="D330" s="910"/>
      <c r="E330" s="912"/>
      <c r="F330" s="857"/>
      <c r="G330" s="911"/>
      <c r="H330" s="910"/>
      <c r="I330" s="910"/>
      <c r="J330" s="860"/>
      <c r="K330" s="910"/>
    </row>
    <row r="331">
      <c r="A331" s="910"/>
      <c r="B331" s="911"/>
      <c r="C331" s="910"/>
      <c r="D331" s="910"/>
      <c r="E331" s="912"/>
      <c r="F331" s="857"/>
      <c r="G331" s="911"/>
      <c r="H331" s="910"/>
      <c r="I331" s="910"/>
      <c r="J331" s="860"/>
      <c r="K331" s="910"/>
    </row>
    <row r="332">
      <c r="A332" s="910"/>
      <c r="B332" s="911"/>
      <c r="C332" s="910"/>
      <c r="D332" s="910"/>
      <c r="E332" s="912"/>
      <c r="F332" s="857"/>
      <c r="G332" s="911"/>
      <c r="H332" s="910"/>
      <c r="I332" s="910"/>
      <c r="J332" s="860"/>
      <c r="K332" s="910"/>
    </row>
    <row r="333">
      <c r="A333" s="910"/>
      <c r="B333" s="911"/>
      <c r="C333" s="910"/>
      <c r="D333" s="910"/>
      <c r="E333" s="912"/>
      <c r="F333" s="857"/>
      <c r="G333" s="911"/>
      <c r="H333" s="910"/>
      <c r="I333" s="910"/>
      <c r="J333" s="860"/>
      <c r="K333" s="910"/>
    </row>
    <row r="334">
      <c r="A334" s="910"/>
      <c r="B334" s="911"/>
      <c r="C334" s="910"/>
      <c r="D334" s="910"/>
      <c r="E334" s="912"/>
      <c r="F334" s="857"/>
      <c r="G334" s="911"/>
      <c r="H334" s="910"/>
      <c r="I334" s="910"/>
      <c r="J334" s="860"/>
      <c r="K334" s="910"/>
    </row>
    <row r="335">
      <c r="A335" s="910"/>
      <c r="B335" s="911"/>
      <c r="C335" s="910"/>
      <c r="D335" s="910"/>
      <c r="E335" s="912"/>
      <c r="F335" s="857"/>
      <c r="G335" s="911"/>
      <c r="H335" s="910"/>
      <c r="I335" s="910"/>
      <c r="J335" s="860"/>
      <c r="K335" s="910"/>
    </row>
    <row r="336">
      <c r="A336" s="910"/>
      <c r="B336" s="911"/>
      <c r="C336" s="910"/>
      <c r="D336" s="910"/>
      <c r="E336" s="912"/>
      <c r="F336" s="857"/>
      <c r="G336" s="911"/>
      <c r="H336" s="910"/>
      <c r="I336" s="910"/>
      <c r="J336" s="860"/>
      <c r="K336" s="910"/>
    </row>
    <row r="337">
      <c r="A337" s="910"/>
      <c r="B337" s="911"/>
      <c r="C337" s="910"/>
      <c r="D337" s="910"/>
      <c r="E337" s="912"/>
      <c r="F337" s="857"/>
      <c r="G337" s="911"/>
      <c r="H337" s="910"/>
      <c r="I337" s="910"/>
      <c r="J337" s="860"/>
      <c r="K337" s="910"/>
    </row>
    <row r="338">
      <c r="A338" s="910"/>
      <c r="B338" s="911"/>
      <c r="C338" s="910"/>
      <c r="D338" s="910"/>
      <c r="E338" s="912"/>
      <c r="F338" s="857"/>
      <c r="G338" s="911"/>
      <c r="H338" s="910"/>
      <c r="I338" s="910"/>
      <c r="J338" s="860"/>
      <c r="K338" s="910"/>
    </row>
    <row r="339">
      <c r="A339" s="910"/>
      <c r="B339" s="911"/>
      <c r="C339" s="910"/>
      <c r="D339" s="910"/>
      <c r="E339" s="912"/>
      <c r="F339" s="857"/>
      <c r="G339" s="911"/>
      <c r="H339" s="910"/>
      <c r="I339" s="910"/>
      <c r="J339" s="860"/>
      <c r="K339" s="910"/>
    </row>
    <row r="340">
      <c r="A340" s="910"/>
      <c r="B340" s="911"/>
      <c r="C340" s="910"/>
      <c r="D340" s="910"/>
      <c r="E340" s="912"/>
      <c r="F340" s="857"/>
      <c r="G340" s="911"/>
      <c r="H340" s="910"/>
      <c r="I340" s="910"/>
      <c r="J340" s="860"/>
      <c r="K340" s="910"/>
    </row>
    <row r="341">
      <c r="A341" s="910"/>
      <c r="B341" s="911"/>
      <c r="C341" s="910"/>
      <c r="D341" s="910"/>
      <c r="E341" s="912"/>
      <c r="F341" s="857"/>
      <c r="G341" s="911"/>
      <c r="H341" s="910"/>
      <c r="I341" s="910"/>
      <c r="J341" s="860"/>
      <c r="K341" s="910"/>
    </row>
    <row r="342">
      <c r="A342" s="910"/>
      <c r="B342" s="911"/>
      <c r="C342" s="910"/>
      <c r="D342" s="910"/>
      <c r="E342" s="912"/>
      <c r="F342" s="857"/>
      <c r="G342" s="911"/>
      <c r="H342" s="910"/>
      <c r="I342" s="910"/>
      <c r="J342" s="860"/>
      <c r="K342" s="910"/>
    </row>
    <row r="343">
      <c r="A343" s="910"/>
      <c r="B343" s="911"/>
      <c r="C343" s="910"/>
      <c r="D343" s="910"/>
      <c r="E343" s="912"/>
      <c r="F343" s="857"/>
      <c r="G343" s="911"/>
      <c r="H343" s="910"/>
      <c r="I343" s="910"/>
      <c r="J343" s="860"/>
      <c r="K343" s="910"/>
    </row>
    <row r="344">
      <c r="A344" s="910"/>
      <c r="B344" s="911"/>
      <c r="C344" s="910"/>
      <c r="D344" s="910"/>
      <c r="E344" s="912"/>
      <c r="F344" s="857"/>
      <c r="G344" s="911"/>
      <c r="H344" s="910"/>
      <c r="I344" s="910"/>
      <c r="J344" s="860"/>
      <c r="K344" s="910"/>
    </row>
    <row r="345">
      <c r="A345" s="910"/>
      <c r="B345" s="911"/>
      <c r="C345" s="910"/>
      <c r="D345" s="910"/>
      <c r="E345" s="912"/>
      <c r="F345" s="857"/>
      <c r="G345" s="911"/>
      <c r="H345" s="910"/>
      <c r="I345" s="910"/>
      <c r="J345" s="860"/>
      <c r="K345" s="910"/>
    </row>
    <row r="346">
      <c r="A346" s="910"/>
      <c r="B346" s="911"/>
      <c r="C346" s="910"/>
      <c r="D346" s="910"/>
      <c r="E346" s="912"/>
      <c r="F346" s="857"/>
      <c r="G346" s="911"/>
      <c r="H346" s="910"/>
      <c r="I346" s="910"/>
      <c r="J346" s="860"/>
      <c r="K346" s="910"/>
    </row>
    <row r="347">
      <c r="A347" s="910"/>
      <c r="B347" s="911"/>
      <c r="C347" s="910"/>
      <c r="D347" s="910"/>
      <c r="E347" s="912"/>
      <c r="F347" s="857"/>
      <c r="G347" s="911"/>
      <c r="H347" s="910"/>
      <c r="I347" s="910"/>
      <c r="J347" s="860"/>
      <c r="K347" s="910"/>
    </row>
    <row r="348">
      <c r="A348" s="910"/>
      <c r="B348" s="911"/>
      <c r="C348" s="910"/>
      <c r="D348" s="910"/>
      <c r="E348" s="912"/>
      <c r="F348" s="857"/>
      <c r="G348" s="911"/>
      <c r="H348" s="910"/>
      <c r="I348" s="910"/>
      <c r="J348" s="860"/>
      <c r="K348" s="910"/>
    </row>
    <row r="349">
      <c r="A349" s="910"/>
      <c r="B349" s="911"/>
      <c r="C349" s="910"/>
      <c r="D349" s="910"/>
      <c r="E349" s="912"/>
      <c r="F349" s="857"/>
      <c r="G349" s="911"/>
      <c r="H349" s="910"/>
      <c r="I349" s="910"/>
      <c r="J349" s="860"/>
      <c r="K349" s="910"/>
    </row>
    <row r="350">
      <c r="A350" s="910"/>
      <c r="B350" s="911"/>
      <c r="C350" s="910"/>
      <c r="D350" s="910"/>
      <c r="E350" s="912"/>
      <c r="F350" s="857"/>
      <c r="G350" s="911"/>
      <c r="H350" s="910"/>
      <c r="I350" s="910"/>
      <c r="J350" s="860"/>
      <c r="K350" s="910"/>
    </row>
    <row r="351">
      <c r="A351" s="910"/>
      <c r="B351" s="911"/>
      <c r="C351" s="910"/>
      <c r="D351" s="910"/>
      <c r="E351" s="912"/>
      <c r="F351" s="857"/>
      <c r="G351" s="911"/>
      <c r="H351" s="910"/>
      <c r="I351" s="910"/>
      <c r="J351" s="860"/>
      <c r="K351" s="910"/>
    </row>
    <row r="352">
      <c r="A352" s="910"/>
      <c r="B352" s="911"/>
      <c r="C352" s="910"/>
      <c r="D352" s="910"/>
      <c r="E352" s="912"/>
      <c r="F352" s="857"/>
      <c r="G352" s="911"/>
      <c r="H352" s="910"/>
      <c r="I352" s="910"/>
      <c r="J352" s="860"/>
      <c r="K352" s="910"/>
    </row>
    <row r="353">
      <c r="A353" s="910"/>
      <c r="B353" s="911"/>
      <c r="C353" s="910"/>
      <c r="D353" s="910"/>
      <c r="E353" s="912"/>
      <c r="F353" s="857"/>
      <c r="G353" s="911"/>
      <c r="H353" s="910"/>
      <c r="I353" s="910"/>
      <c r="J353" s="860"/>
      <c r="K353" s="910"/>
    </row>
    <row r="354">
      <c r="A354" s="910"/>
      <c r="B354" s="911"/>
      <c r="C354" s="910"/>
      <c r="D354" s="910"/>
      <c r="E354" s="912"/>
      <c r="F354" s="857"/>
      <c r="G354" s="911"/>
      <c r="H354" s="910"/>
      <c r="I354" s="910"/>
      <c r="J354" s="860"/>
      <c r="K354" s="910"/>
    </row>
    <row r="355">
      <c r="A355" s="910"/>
      <c r="B355" s="911"/>
      <c r="C355" s="910"/>
      <c r="D355" s="910"/>
      <c r="E355" s="912"/>
      <c r="F355" s="857"/>
      <c r="G355" s="911"/>
      <c r="H355" s="910"/>
      <c r="I355" s="910"/>
      <c r="J355" s="860"/>
      <c r="K355" s="910"/>
    </row>
    <row r="356">
      <c r="A356" s="910"/>
      <c r="B356" s="911"/>
      <c r="C356" s="910"/>
      <c r="D356" s="910"/>
      <c r="E356" s="912"/>
      <c r="F356" s="857"/>
      <c r="G356" s="911"/>
      <c r="H356" s="910"/>
      <c r="I356" s="910"/>
      <c r="J356" s="860"/>
      <c r="K356" s="910"/>
    </row>
    <row r="357">
      <c r="A357" s="910"/>
      <c r="B357" s="911"/>
      <c r="C357" s="910"/>
      <c r="D357" s="910"/>
      <c r="E357" s="912"/>
      <c r="F357" s="857"/>
      <c r="G357" s="911"/>
      <c r="H357" s="910"/>
      <c r="I357" s="910"/>
      <c r="J357" s="860"/>
      <c r="K357" s="910"/>
    </row>
    <row r="358">
      <c r="A358" s="910"/>
      <c r="B358" s="911"/>
      <c r="C358" s="910"/>
      <c r="D358" s="910"/>
      <c r="E358" s="912"/>
      <c r="F358" s="857"/>
      <c r="G358" s="911"/>
      <c r="H358" s="910"/>
      <c r="I358" s="910"/>
      <c r="J358" s="860"/>
      <c r="K358" s="910"/>
    </row>
    <row r="359">
      <c r="A359" s="910"/>
      <c r="B359" s="911"/>
      <c r="C359" s="910"/>
      <c r="D359" s="910"/>
      <c r="E359" s="912"/>
      <c r="F359" s="857"/>
      <c r="G359" s="911"/>
      <c r="H359" s="910"/>
      <c r="I359" s="910"/>
      <c r="J359" s="860"/>
      <c r="K359" s="910"/>
    </row>
    <row r="360">
      <c r="A360" s="910"/>
      <c r="B360" s="911"/>
      <c r="C360" s="910"/>
      <c r="D360" s="910"/>
      <c r="E360" s="912"/>
      <c r="F360" s="857"/>
      <c r="G360" s="911"/>
      <c r="H360" s="910"/>
      <c r="I360" s="910"/>
      <c r="J360" s="860"/>
      <c r="K360" s="910"/>
    </row>
    <row r="361">
      <c r="A361" s="910"/>
      <c r="B361" s="911"/>
      <c r="C361" s="910"/>
      <c r="D361" s="910"/>
      <c r="E361" s="912"/>
      <c r="F361" s="857"/>
      <c r="G361" s="911"/>
      <c r="H361" s="910"/>
      <c r="I361" s="910"/>
      <c r="J361" s="860"/>
      <c r="K361" s="910"/>
    </row>
    <row r="362">
      <c r="A362" s="910"/>
      <c r="B362" s="911"/>
      <c r="C362" s="910"/>
      <c r="D362" s="910"/>
      <c r="E362" s="912"/>
      <c r="F362" s="857"/>
      <c r="G362" s="911"/>
      <c r="H362" s="910"/>
      <c r="I362" s="910"/>
      <c r="J362" s="860"/>
      <c r="K362" s="910"/>
    </row>
    <row r="363">
      <c r="A363" s="910"/>
      <c r="B363" s="911"/>
      <c r="C363" s="910"/>
      <c r="D363" s="910"/>
      <c r="E363" s="912"/>
      <c r="F363" s="857"/>
      <c r="G363" s="911"/>
      <c r="H363" s="910"/>
      <c r="I363" s="910"/>
      <c r="J363" s="860"/>
      <c r="K363" s="910"/>
    </row>
    <row r="364">
      <c r="A364" s="910"/>
      <c r="B364" s="911"/>
      <c r="C364" s="910"/>
      <c r="D364" s="910"/>
      <c r="E364" s="912"/>
      <c r="F364" s="857"/>
      <c r="G364" s="911"/>
      <c r="H364" s="910"/>
      <c r="I364" s="910"/>
      <c r="J364" s="860"/>
      <c r="K364" s="910"/>
    </row>
    <row r="365">
      <c r="A365" s="910"/>
      <c r="B365" s="911"/>
      <c r="C365" s="910"/>
      <c r="D365" s="910"/>
      <c r="E365" s="912"/>
      <c r="F365" s="857"/>
      <c r="G365" s="911"/>
      <c r="H365" s="910"/>
      <c r="I365" s="910"/>
      <c r="J365" s="860"/>
      <c r="K365" s="910"/>
    </row>
    <row r="366">
      <c r="A366" s="910"/>
      <c r="B366" s="911"/>
      <c r="C366" s="910"/>
      <c r="D366" s="910"/>
      <c r="E366" s="912"/>
      <c r="F366" s="857"/>
      <c r="G366" s="911"/>
      <c r="H366" s="910"/>
      <c r="I366" s="910"/>
      <c r="J366" s="860"/>
      <c r="K366" s="910"/>
    </row>
    <row r="367">
      <c r="A367" s="910"/>
      <c r="B367" s="911"/>
      <c r="C367" s="910"/>
      <c r="D367" s="910"/>
      <c r="E367" s="912"/>
      <c r="F367" s="857"/>
      <c r="G367" s="911"/>
      <c r="H367" s="910"/>
      <c r="I367" s="910"/>
      <c r="J367" s="860"/>
      <c r="K367" s="910"/>
    </row>
    <row r="368">
      <c r="A368" s="910"/>
      <c r="B368" s="911"/>
      <c r="C368" s="910"/>
      <c r="D368" s="910"/>
      <c r="E368" s="912"/>
      <c r="F368" s="857"/>
      <c r="G368" s="911"/>
      <c r="H368" s="910"/>
      <c r="I368" s="910"/>
      <c r="J368" s="860"/>
      <c r="K368" s="910"/>
    </row>
    <row r="369">
      <c r="A369" s="910"/>
      <c r="B369" s="911"/>
      <c r="C369" s="910"/>
      <c r="D369" s="910"/>
      <c r="E369" s="912"/>
      <c r="F369" s="857"/>
      <c r="G369" s="911"/>
      <c r="H369" s="910"/>
      <c r="I369" s="910"/>
      <c r="J369" s="860"/>
      <c r="K369" s="910"/>
    </row>
    <row r="370">
      <c r="A370" s="910"/>
      <c r="B370" s="911"/>
      <c r="C370" s="910"/>
      <c r="D370" s="910"/>
      <c r="E370" s="912"/>
      <c r="F370" s="857"/>
      <c r="G370" s="911"/>
      <c r="H370" s="910"/>
      <c r="I370" s="910"/>
      <c r="J370" s="860"/>
      <c r="K370" s="910"/>
    </row>
    <row r="371">
      <c r="A371" s="910"/>
      <c r="B371" s="911"/>
      <c r="C371" s="910"/>
      <c r="D371" s="910"/>
      <c r="E371" s="912"/>
      <c r="F371" s="857"/>
      <c r="G371" s="911"/>
      <c r="H371" s="910"/>
      <c r="I371" s="910"/>
      <c r="J371" s="860"/>
      <c r="K371" s="910"/>
    </row>
    <row r="372">
      <c r="A372" s="910"/>
      <c r="B372" s="911"/>
      <c r="C372" s="910"/>
      <c r="D372" s="910"/>
      <c r="E372" s="912"/>
      <c r="F372" s="857"/>
      <c r="G372" s="911"/>
      <c r="H372" s="910"/>
      <c r="I372" s="910"/>
      <c r="J372" s="860"/>
      <c r="K372" s="910"/>
    </row>
    <row r="373">
      <c r="A373" s="910"/>
      <c r="B373" s="911"/>
      <c r="C373" s="910"/>
      <c r="D373" s="910"/>
      <c r="E373" s="912"/>
      <c r="F373" s="857"/>
      <c r="G373" s="911"/>
      <c r="H373" s="910"/>
      <c r="I373" s="910"/>
      <c r="J373" s="860"/>
      <c r="K373" s="910"/>
    </row>
    <row r="374">
      <c r="A374" s="910"/>
      <c r="B374" s="911"/>
      <c r="C374" s="910"/>
      <c r="D374" s="910"/>
      <c r="E374" s="912"/>
      <c r="F374" s="857"/>
      <c r="G374" s="911"/>
      <c r="H374" s="910"/>
      <c r="I374" s="910"/>
      <c r="J374" s="860"/>
      <c r="K374" s="910"/>
    </row>
    <row r="375">
      <c r="A375" s="910"/>
      <c r="B375" s="911"/>
      <c r="C375" s="910"/>
      <c r="D375" s="910"/>
      <c r="E375" s="912"/>
      <c r="F375" s="857"/>
      <c r="G375" s="911"/>
      <c r="H375" s="910"/>
      <c r="I375" s="910"/>
      <c r="J375" s="860"/>
      <c r="K375" s="910"/>
    </row>
    <row r="376">
      <c r="A376" s="910"/>
      <c r="B376" s="911"/>
      <c r="C376" s="910"/>
      <c r="D376" s="910"/>
      <c r="E376" s="912"/>
      <c r="F376" s="857"/>
      <c r="G376" s="911"/>
      <c r="H376" s="910"/>
      <c r="I376" s="910"/>
      <c r="J376" s="860"/>
      <c r="K376" s="910"/>
    </row>
    <row r="377">
      <c r="A377" s="910"/>
      <c r="B377" s="911"/>
      <c r="C377" s="910"/>
      <c r="D377" s="910"/>
      <c r="E377" s="912"/>
      <c r="F377" s="857"/>
      <c r="G377" s="911"/>
      <c r="H377" s="910"/>
      <c r="I377" s="910"/>
      <c r="J377" s="860"/>
      <c r="K377" s="910"/>
    </row>
    <row r="378">
      <c r="A378" s="910"/>
      <c r="B378" s="911"/>
      <c r="C378" s="910"/>
      <c r="D378" s="910"/>
      <c r="E378" s="912"/>
      <c r="F378" s="857"/>
      <c r="G378" s="911"/>
      <c r="H378" s="910"/>
      <c r="I378" s="910"/>
      <c r="J378" s="860"/>
      <c r="K378" s="910"/>
    </row>
    <row r="379">
      <c r="A379" s="910"/>
      <c r="B379" s="911"/>
      <c r="C379" s="910"/>
      <c r="D379" s="910"/>
      <c r="E379" s="912"/>
      <c r="F379" s="857"/>
      <c r="G379" s="911"/>
      <c r="H379" s="910"/>
      <c r="I379" s="910"/>
      <c r="J379" s="860"/>
      <c r="K379" s="910"/>
    </row>
    <row r="380">
      <c r="A380" s="910"/>
      <c r="B380" s="911"/>
      <c r="C380" s="910"/>
      <c r="D380" s="910"/>
      <c r="E380" s="912"/>
      <c r="F380" s="857"/>
      <c r="G380" s="911"/>
      <c r="H380" s="910"/>
      <c r="I380" s="910"/>
      <c r="J380" s="860"/>
      <c r="K380" s="910"/>
    </row>
    <row r="381">
      <c r="A381" s="910"/>
      <c r="B381" s="911"/>
      <c r="C381" s="910"/>
      <c r="D381" s="910"/>
      <c r="E381" s="912"/>
      <c r="F381" s="857"/>
      <c r="G381" s="911"/>
      <c r="H381" s="910"/>
      <c r="I381" s="910"/>
      <c r="J381" s="860"/>
      <c r="K381" s="910"/>
    </row>
    <row r="382">
      <c r="A382" s="910"/>
      <c r="B382" s="911"/>
      <c r="C382" s="910"/>
      <c r="D382" s="910"/>
      <c r="E382" s="912"/>
      <c r="F382" s="857"/>
      <c r="G382" s="911"/>
      <c r="H382" s="910"/>
      <c r="I382" s="910"/>
      <c r="J382" s="860"/>
      <c r="K382" s="910"/>
    </row>
    <row r="383">
      <c r="A383" s="910"/>
      <c r="B383" s="911"/>
      <c r="C383" s="910"/>
      <c r="D383" s="910"/>
      <c r="E383" s="912"/>
      <c r="F383" s="857"/>
      <c r="G383" s="911"/>
      <c r="H383" s="910"/>
      <c r="I383" s="910"/>
      <c r="J383" s="860"/>
      <c r="K383" s="910"/>
    </row>
    <row r="384">
      <c r="A384" s="910"/>
      <c r="B384" s="911"/>
      <c r="C384" s="910"/>
      <c r="D384" s="910"/>
      <c r="E384" s="912"/>
      <c r="F384" s="857"/>
      <c r="G384" s="911"/>
      <c r="H384" s="910"/>
      <c r="I384" s="910"/>
      <c r="J384" s="860"/>
      <c r="K384" s="910"/>
    </row>
    <row r="385">
      <c r="A385" s="910"/>
      <c r="B385" s="911"/>
      <c r="C385" s="910"/>
      <c r="D385" s="910"/>
      <c r="E385" s="912"/>
      <c r="F385" s="857"/>
      <c r="G385" s="911"/>
      <c r="H385" s="910"/>
      <c r="I385" s="910"/>
      <c r="J385" s="860"/>
      <c r="K385" s="910"/>
    </row>
    <row r="386">
      <c r="A386" s="910"/>
      <c r="B386" s="911"/>
      <c r="C386" s="910"/>
      <c r="D386" s="910"/>
      <c r="E386" s="912"/>
      <c r="F386" s="857"/>
      <c r="G386" s="911"/>
      <c r="H386" s="910"/>
      <c r="I386" s="910"/>
      <c r="J386" s="860"/>
      <c r="K386" s="910"/>
    </row>
    <row r="387">
      <c r="A387" s="910"/>
      <c r="B387" s="911"/>
      <c r="C387" s="910"/>
      <c r="D387" s="910"/>
      <c r="E387" s="912"/>
      <c r="F387" s="857"/>
      <c r="G387" s="911"/>
      <c r="H387" s="910"/>
      <c r="I387" s="910"/>
      <c r="J387" s="860"/>
      <c r="K387" s="910"/>
    </row>
    <row r="388">
      <c r="A388" s="910"/>
      <c r="B388" s="911"/>
      <c r="C388" s="910"/>
      <c r="D388" s="910"/>
      <c r="E388" s="912"/>
      <c r="F388" s="857"/>
      <c r="G388" s="911"/>
      <c r="H388" s="910"/>
      <c r="I388" s="910"/>
      <c r="J388" s="860"/>
      <c r="K388" s="910"/>
    </row>
    <row r="389">
      <c r="A389" s="910"/>
      <c r="B389" s="911"/>
      <c r="C389" s="910"/>
      <c r="D389" s="910"/>
      <c r="E389" s="912"/>
      <c r="F389" s="857"/>
      <c r="G389" s="911"/>
      <c r="H389" s="910"/>
      <c r="I389" s="910"/>
      <c r="J389" s="860"/>
      <c r="K389" s="910"/>
    </row>
    <row r="390">
      <c r="A390" s="910"/>
      <c r="B390" s="911"/>
      <c r="C390" s="910"/>
      <c r="D390" s="910"/>
      <c r="E390" s="912"/>
      <c r="F390" s="857"/>
      <c r="G390" s="911"/>
      <c r="H390" s="910"/>
      <c r="I390" s="910"/>
      <c r="J390" s="860"/>
      <c r="K390" s="910"/>
    </row>
    <row r="391">
      <c r="A391" s="910"/>
      <c r="B391" s="911"/>
      <c r="C391" s="910"/>
      <c r="D391" s="910"/>
      <c r="E391" s="912"/>
      <c r="F391" s="857"/>
      <c r="G391" s="911"/>
      <c r="H391" s="910"/>
      <c r="I391" s="910"/>
      <c r="J391" s="860"/>
      <c r="K391" s="910"/>
    </row>
    <row r="392">
      <c r="A392" s="910"/>
      <c r="B392" s="911"/>
      <c r="C392" s="910"/>
      <c r="D392" s="910"/>
      <c r="E392" s="912"/>
      <c r="F392" s="857"/>
      <c r="G392" s="911"/>
      <c r="H392" s="910"/>
      <c r="I392" s="910"/>
      <c r="J392" s="860"/>
      <c r="K392" s="910"/>
    </row>
    <row r="393">
      <c r="A393" s="910"/>
      <c r="B393" s="911"/>
      <c r="C393" s="910"/>
      <c r="D393" s="910"/>
      <c r="E393" s="912"/>
      <c r="F393" s="857"/>
      <c r="G393" s="911"/>
      <c r="H393" s="910"/>
      <c r="I393" s="910"/>
      <c r="J393" s="860"/>
      <c r="K393" s="910"/>
    </row>
    <row r="394">
      <c r="A394" s="910"/>
      <c r="B394" s="911"/>
      <c r="C394" s="910"/>
      <c r="D394" s="910"/>
      <c r="E394" s="912"/>
      <c r="F394" s="857"/>
      <c r="G394" s="911"/>
      <c r="H394" s="910"/>
      <c r="I394" s="910"/>
      <c r="J394" s="860"/>
      <c r="K394" s="910"/>
    </row>
    <row r="395">
      <c r="A395" s="910"/>
      <c r="B395" s="911"/>
      <c r="C395" s="910"/>
      <c r="D395" s="910"/>
      <c r="E395" s="912"/>
      <c r="F395" s="857"/>
      <c r="G395" s="911"/>
      <c r="H395" s="910"/>
      <c r="I395" s="910"/>
      <c r="J395" s="860"/>
      <c r="K395" s="910"/>
    </row>
    <row r="396">
      <c r="A396" s="910"/>
      <c r="B396" s="911"/>
      <c r="C396" s="910"/>
      <c r="D396" s="910"/>
      <c r="E396" s="912"/>
      <c r="F396" s="857"/>
      <c r="G396" s="911"/>
      <c r="H396" s="910"/>
      <c r="I396" s="910"/>
      <c r="J396" s="860"/>
      <c r="K396" s="910"/>
    </row>
    <row r="397">
      <c r="A397" s="910"/>
      <c r="B397" s="911"/>
      <c r="C397" s="910"/>
      <c r="D397" s="910"/>
      <c r="E397" s="912"/>
      <c r="F397" s="857"/>
      <c r="G397" s="911"/>
      <c r="H397" s="910"/>
      <c r="I397" s="910"/>
      <c r="J397" s="860"/>
      <c r="K397" s="910"/>
    </row>
    <row r="398">
      <c r="A398" s="910"/>
      <c r="B398" s="911"/>
      <c r="C398" s="910"/>
      <c r="D398" s="910"/>
      <c r="E398" s="912"/>
      <c r="F398" s="857"/>
      <c r="G398" s="911"/>
      <c r="H398" s="910"/>
      <c r="I398" s="910"/>
      <c r="J398" s="860"/>
      <c r="K398" s="910"/>
    </row>
    <row r="399">
      <c r="A399" s="910"/>
      <c r="B399" s="911"/>
      <c r="C399" s="910"/>
      <c r="D399" s="910"/>
      <c r="E399" s="912"/>
      <c r="F399" s="857"/>
      <c r="G399" s="911"/>
      <c r="H399" s="910"/>
      <c r="I399" s="910"/>
      <c r="J399" s="860"/>
      <c r="K399" s="910"/>
    </row>
    <row r="400">
      <c r="A400" s="910"/>
      <c r="B400" s="911"/>
      <c r="C400" s="910"/>
      <c r="D400" s="910"/>
      <c r="E400" s="912"/>
      <c r="F400" s="857"/>
      <c r="G400" s="911"/>
      <c r="H400" s="910"/>
      <c r="I400" s="910"/>
      <c r="J400" s="860"/>
      <c r="K400" s="910"/>
    </row>
    <row r="401">
      <c r="A401" s="910"/>
      <c r="B401" s="911"/>
      <c r="C401" s="910"/>
      <c r="D401" s="910"/>
      <c r="E401" s="912"/>
      <c r="F401" s="857"/>
      <c r="G401" s="911"/>
      <c r="H401" s="910"/>
      <c r="I401" s="910"/>
      <c r="J401" s="860"/>
      <c r="K401" s="910"/>
    </row>
    <row r="402">
      <c r="A402" s="910"/>
      <c r="B402" s="911"/>
      <c r="C402" s="910"/>
      <c r="D402" s="910"/>
      <c r="E402" s="912"/>
      <c r="F402" s="857"/>
      <c r="G402" s="911"/>
      <c r="H402" s="910"/>
      <c r="I402" s="910"/>
      <c r="J402" s="860"/>
      <c r="K402" s="910"/>
    </row>
    <row r="403">
      <c r="A403" s="910"/>
      <c r="B403" s="911"/>
      <c r="C403" s="910"/>
      <c r="D403" s="910"/>
      <c r="E403" s="912"/>
      <c r="F403" s="857"/>
      <c r="G403" s="911"/>
      <c r="H403" s="910"/>
      <c r="I403" s="910"/>
      <c r="J403" s="860"/>
      <c r="K403" s="910"/>
    </row>
    <row r="404">
      <c r="A404" s="910"/>
      <c r="B404" s="911"/>
      <c r="C404" s="910"/>
      <c r="D404" s="910"/>
      <c r="E404" s="912"/>
      <c r="F404" s="857"/>
      <c r="G404" s="911"/>
      <c r="H404" s="910"/>
      <c r="I404" s="910"/>
      <c r="J404" s="860"/>
      <c r="K404" s="910"/>
    </row>
    <row r="405">
      <c r="A405" s="910"/>
      <c r="B405" s="911"/>
      <c r="C405" s="910"/>
      <c r="D405" s="910"/>
      <c r="E405" s="912"/>
      <c r="F405" s="857"/>
      <c r="G405" s="911"/>
      <c r="H405" s="910"/>
      <c r="I405" s="910"/>
      <c r="J405" s="860"/>
      <c r="K405" s="910"/>
    </row>
    <row r="406">
      <c r="A406" s="910"/>
      <c r="B406" s="911"/>
      <c r="C406" s="910"/>
      <c r="D406" s="910"/>
      <c r="E406" s="912"/>
      <c r="F406" s="857"/>
      <c r="G406" s="911"/>
      <c r="H406" s="910"/>
      <c r="I406" s="910"/>
      <c r="J406" s="860"/>
      <c r="K406" s="910"/>
    </row>
    <row r="407">
      <c r="A407" s="910"/>
      <c r="B407" s="911"/>
      <c r="C407" s="910"/>
      <c r="D407" s="910"/>
      <c r="E407" s="912"/>
      <c r="F407" s="857"/>
      <c r="G407" s="911"/>
      <c r="H407" s="910"/>
      <c r="I407" s="910"/>
      <c r="J407" s="860"/>
      <c r="K407" s="910"/>
    </row>
    <row r="408">
      <c r="A408" s="910"/>
      <c r="B408" s="911"/>
      <c r="C408" s="910"/>
      <c r="D408" s="910"/>
      <c r="E408" s="912"/>
      <c r="F408" s="857"/>
      <c r="G408" s="911"/>
      <c r="H408" s="910"/>
      <c r="I408" s="910"/>
      <c r="J408" s="860"/>
      <c r="K408" s="910"/>
    </row>
    <row r="409">
      <c r="A409" s="910"/>
      <c r="B409" s="911"/>
      <c r="C409" s="910"/>
      <c r="D409" s="910"/>
      <c r="E409" s="912"/>
      <c r="F409" s="857"/>
      <c r="G409" s="911"/>
      <c r="H409" s="910"/>
      <c r="I409" s="910"/>
      <c r="J409" s="860"/>
      <c r="K409" s="910"/>
    </row>
    <row r="410">
      <c r="A410" s="910"/>
      <c r="B410" s="911"/>
      <c r="C410" s="910"/>
      <c r="D410" s="910"/>
      <c r="E410" s="912"/>
      <c r="F410" s="857"/>
      <c r="G410" s="911"/>
      <c r="H410" s="910"/>
      <c r="I410" s="910"/>
      <c r="J410" s="860"/>
      <c r="K410" s="910"/>
    </row>
    <row r="411">
      <c r="A411" s="910"/>
      <c r="B411" s="911"/>
      <c r="C411" s="910"/>
      <c r="D411" s="910"/>
      <c r="E411" s="912"/>
      <c r="F411" s="857"/>
      <c r="G411" s="911"/>
      <c r="H411" s="910"/>
      <c r="I411" s="910"/>
      <c r="J411" s="860"/>
      <c r="K411" s="910"/>
    </row>
    <row r="412">
      <c r="A412" s="910"/>
      <c r="B412" s="911"/>
      <c r="C412" s="910"/>
      <c r="D412" s="910"/>
      <c r="E412" s="912"/>
      <c r="F412" s="857"/>
      <c r="G412" s="911"/>
      <c r="H412" s="910"/>
      <c r="I412" s="910"/>
      <c r="J412" s="860"/>
      <c r="K412" s="910"/>
    </row>
    <row r="413">
      <c r="A413" s="910"/>
      <c r="B413" s="911"/>
      <c r="C413" s="910"/>
      <c r="D413" s="910"/>
      <c r="E413" s="912"/>
      <c r="F413" s="857"/>
      <c r="G413" s="911"/>
      <c r="H413" s="910"/>
      <c r="I413" s="910"/>
      <c r="J413" s="860"/>
      <c r="K413" s="910"/>
    </row>
    <row r="414">
      <c r="A414" s="910"/>
      <c r="B414" s="911"/>
      <c r="C414" s="910"/>
      <c r="D414" s="910"/>
      <c r="E414" s="912"/>
      <c r="F414" s="857"/>
      <c r="G414" s="911"/>
      <c r="H414" s="910"/>
      <c r="I414" s="910"/>
      <c r="J414" s="860"/>
      <c r="K414" s="910"/>
    </row>
    <row r="415">
      <c r="A415" s="910"/>
      <c r="B415" s="911"/>
      <c r="C415" s="910"/>
      <c r="D415" s="910"/>
      <c r="E415" s="912"/>
      <c r="F415" s="857"/>
      <c r="G415" s="911"/>
      <c r="H415" s="910"/>
      <c r="I415" s="910"/>
      <c r="J415" s="860"/>
      <c r="K415" s="910"/>
    </row>
    <row r="416">
      <c r="A416" s="910"/>
      <c r="B416" s="911"/>
      <c r="C416" s="910"/>
      <c r="D416" s="910"/>
      <c r="E416" s="912"/>
      <c r="F416" s="857"/>
      <c r="G416" s="911"/>
      <c r="H416" s="910"/>
      <c r="I416" s="910"/>
      <c r="J416" s="860"/>
      <c r="K416" s="910"/>
    </row>
    <row r="417">
      <c r="A417" s="910"/>
      <c r="B417" s="911"/>
      <c r="C417" s="910"/>
      <c r="D417" s="910"/>
      <c r="E417" s="912"/>
      <c r="F417" s="857"/>
      <c r="G417" s="911"/>
      <c r="H417" s="910"/>
      <c r="I417" s="910"/>
      <c r="J417" s="860"/>
      <c r="K417" s="910"/>
    </row>
    <row r="418">
      <c r="A418" s="910"/>
      <c r="B418" s="911"/>
      <c r="C418" s="910"/>
      <c r="D418" s="910"/>
      <c r="E418" s="912"/>
      <c r="F418" s="857"/>
      <c r="G418" s="911"/>
      <c r="H418" s="910"/>
      <c r="I418" s="910"/>
      <c r="J418" s="860"/>
      <c r="K418" s="910"/>
    </row>
    <row r="419">
      <c r="A419" s="910"/>
      <c r="B419" s="911"/>
      <c r="C419" s="910"/>
      <c r="D419" s="910"/>
      <c r="E419" s="912"/>
      <c r="F419" s="857"/>
      <c r="G419" s="911"/>
      <c r="H419" s="910"/>
      <c r="I419" s="910"/>
      <c r="J419" s="860"/>
      <c r="K419" s="910"/>
    </row>
    <row r="420">
      <c r="A420" s="910"/>
      <c r="B420" s="911"/>
      <c r="C420" s="910"/>
      <c r="D420" s="910"/>
      <c r="E420" s="912"/>
      <c r="F420" s="857"/>
      <c r="G420" s="911"/>
      <c r="H420" s="910"/>
      <c r="I420" s="910"/>
      <c r="J420" s="860"/>
      <c r="K420" s="910"/>
    </row>
    <row r="421">
      <c r="A421" s="910"/>
      <c r="B421" s="911"/>
      <c r="C421" s="910"/>
      <c r="D421" s="910"/>
      <c r="E421" s="912"/>
      <c r="F421" s="857"/>
      <c r="G421" s="911"/>
      <c r="H421" s="910"/>
      <c r="I421" s="910"/>
      <c r="J421" s="860"/>
      <c r="K421" s="910"/>
    </row>
    <row r="422">
      <c r="A422" s="910"/>
      <c r="B422" s="911"/>
      <c r="C422" s="910"/>
      <c r="D422" s="910"/>
      <c r="E422" s="912"/>
      <c r="F422" s="857"/>
      <c r="G422" s="911"/>
      <c r="H422" s="910"/>
      <c r="I422" s="910"/>
      <c r="J422" s="860"/>
      <c r="K422" s="910"/>
    </row>
    <row r="423">
      <c r="A423" s="910"/>
      <c r="B423" s="911"/>
      <c r="C423" s="910"/>
      <c r="D423" s="910"/>
      <c r="E423" s="912"/>
      <c r="F423" s="857"/>
      <c r="G423" s="911"/>
      <c r="H423" s="910"/>
      <c r="I423" s="910"/>
      <c r="J423" s="860"/>
      <c r="K423" s="910"/>
    </row>
    <row r="424">
      <c r="A424" s="910"/>
      <c r="B424" s="911"/>
      <c r="C424" s="910"/>
      <c r="D424" s="910"/>
      <c r="E424" s="912"/>
      <c r="F424" s="857"/>
      <c r="G424" s="911"/>
      <c r="H424" s="910"/>
      <c r="I424" s="910"/>
      <c r="J424" s="860"/>
      <c r="K424" s="910"/>
    </row>
    <row r="425">
      <c r="A425" s="910"/>
      <c r="B425" s="911"/>
      <c r="C425" s="910"/>
      <c r="D425" s="910"/>
      <c r="E425" s="912"/>
      <c r="F425" s="857"/>
      <c r="G425" s="911"/>
      <c r="H425" s="910"/>
      <c r="I425" s="910"/>
      <c r="J425" s="860"/>
      <c r="K425" s="910"/>
    </row>
    <row r="426">
      <c r="A426" s="910"/>
      <c r="B426" s="911"/>
      <c r="C426" s="910"/>
      <c r="D426" s="910"/>
      <c r="E426" s="912"/>
      <c r="F426" s="857"/>
      <c r="G426" s="911"/>
      <c r="H426" s="910"/>
      <c r="I426" s="910"/>
      <c r="J426" s="860"/>
      <c r="K426" s="910"/>
    </row>
    <row r="427">
      <c r="A427" s="910"/>
      <c r="B427" s="911"/>
      <c r="C427" s="910"/>
      <c r="D427" s="910"/>
      <c r="E427" s="912"/>
      <c r="F427" s="857"/>
      <c r="G427" s="911"/>
      <c r="H427" s="910"/>
      <c r="I427" s="910"/>
      <c r="J427" s="860"/>
      <c r="K427" s="910"/>
    </row>
    <row r="428">
      <c r="A428" s="910"/>
      <c r="B428" s="911"/>
      <c r="C428" s="910"/>
      <c r="D428" s="910"/>
      <c r="E428" s="912"/>
      <c r="F428" s="857"/>
      <c r="G428" s="911"/>
      <c r="H428" s="910"/>
      <c r="I428" s="910"/>
      <c r="J428" s="860"/>
      <c r="K428" s="910"/>
    </row>
    <row r="429">
      <c r="A429" s="910"/>
      <c r="B429" s="911"/>
      <c r="C429" s="910"/>
      <c r="D429" s="910"/>
      <c r="E429" s="912"/>
      <c r="F429" s="857"/>
      <c r="G429" s="911"/>
      <c r="H429" s="910"/>
      <c r="I429" s="910"/>
      <c r="J429" s="860"/>
      <c r="K429" s="910"/>
    </row>
    <row r="430">
      <c r="A430" s="910"/>
      <c r="B430" s="911"/>
      <c r="C430" s="910"/>
      <c r="D430" s="910"/>
      <c r="E430" s="912"/>
      <c r="F430" s="857"/>
      <c r="G430" s="911"/>
      <c r="H430" s="910"/>
      <c r="I430" s="910"/>
      <c r="J430" s="860"/>
      <c r="K430" s="910"/>
    </row>
    <row r="431">
      <c r="A431" s="910"/>
      <c r="B431" s="911"/>
      <c r="C431" s="910"/>
      <c r="D431" s="910"/>
      <c r="E431" s="912"/>
      <c r="F431" s="857"/>
      <c r="G431" s="911"/>
      <c r="H431" s="910"/>
      <c r="I431" s="910"/>
      <c r="J431" s="860"/>
      <c r="K431" s="910"/>
    </row>
    <row r="432">
      <c r="A432" s="910"/>
      <c r="B432" s="911"/>
      <c r="C432" s="910"/>
      <c r="D432" s="910"/>
      <c r="E432" s="912"/>
      <c r="F432" s="857"/>
      <c r="G432" s="911"/>
      <c r="H432" s="910"/>
      <c r="I432" s="910"/>
      <c r="J432" s="860"/>
      <c r="K432" s="910"/>
    </row>
    <row r="433">
      <c r="A433" s="910"/>
      <c r="B433" s="911"/>
      <c r="C433" s="910"/>
      <c r="D433" s="910"/>
      <c r="E433" s="912"/>
      <c r="F433" s="857"/>
      <c r="G433" s="911"/>
      <c r="H433" s="910"/>
      <c r="I433" s="910"/>
      <c r="J433" s="860"/>
      <c r="K433" s="910"/>
    </row>
    <row r="434">
      <c r="A434" s="910"/>
      <c r="B434" s="911"/>
      <c r="C434" s="910"/>
      <c r="D434" s="910"/>
      <c r="E434" s="912"/>
      <c r="F434" s="857"/>
      <c r="G434" s="911"/>
      <c r="H434" s="910"/>
      <c r="I434" s="910"/>
      <c r="J434" s="860"/>
      <c r="K434" s="910"/>
    </row>
    <row r="435">
      <c r="A435" s="910"/>
      <c r="B435" s="911"/>
      <c r="C435" s="910"/>
      <c r="D435" s="910"/>
      <c r="E435" s="912"/>
      <c r="F435" s="857"/>
      <c r="G435" s="911"/>
      <c r="H435" s="910"/>
      <c r="I435" s="910"/>
      <c r="J435" s="860"/>
      <c r="K435" s="910"/>
    </row>
    <row r="436">
      <c r="A436" s="910"/>
      <c r="B436" s="911"/>
      <c r="C436" s="910"/>
      <c r="D436" s="910"/>
      <c r="E436" s="912"/>
      <c r="F436" s="857"/>
      <c r="G436" s="911"/>
      <c r="H436" s="910"/>
      <c r="I436" s="910"/>
      <c r="J436" s="860"/>
      <c r="K436" s="910"/>
    </row>
    <row r="437">
      <c r="A437" s="910"/>
      <c r="B437" s="911"/>
      <c r="C437" s="910"/>
      <c r="D437" s="910"/>
      <c r="E437" s="912"/>
      <c r="F437" s="857"/>
      <c r="G437" s="911"/>
      <c r="H437" s="910"/>
      <c r="I437" s="910"/>
      <c r="J437" s="860"/>
      <c r="K437" s="910"/>
    </row>
    <row r="438">
      <c r="A438" s="910"/>
      <c r="B438" s="911"/>
      <c r="C438" s="910"/>
      <c r="D438" s="910"/>
      <c r="E438" s="912"/>
      <c r="F438" s="857"/>
      <c r="G438" s="911"/>
      <c r="H438" s="910"/>
      <c r="I438" s="910"/>
      <c r="J438" s="860"/>
      <c r="K438" s="910"/>
    </row>
    <row r="439">
      <c r="A439" s="910"/>
      <c r="B439" s="911"/>
      <c r="C439" s="910"/>
      <c r="D439" s="910"/>
      <c r="E439" s="912"/>
      <c r="F439" s="857"/>
      <c r="G439" s="911"/>
      <c r="H439" s="910"/>
      <c r="I439" s="910"/>
      <c r="J439" s="860"/>
      <c r="K439" s="910"/>
    </row>
    <row r="440">
      <c r="A440" s="910"/>
      <c r="B440" s="911"/>
      <c r="C440" s="910"/>
      <c r="D440" s="910"/>
      <c r="E440" s="912"/>
      <c r="F440" s="857"/>
      <c r="G440" s="911"/>
      <c r="H440" s="910"/>
      <c r="I440" s="910"/>
      <c r="J440" s="860"/>
      <c r="K440" s="910"/>
    </row>
    <row r="441">
      <c r="A441" s="910"/>
      <c r="B441" s="911"/>
      <c r="C441" s="910"/>
      <c r="D441" s="910"/>
      <c r="E441" s="912"/>
      <c r="F441" s="857"/>
      <c r="G441" s="911"/>
      <c r="H441" s="910"/>
      <c r="I441" s="910"/>
      <c r="J441" s="860"/>
      <c r="K441" s="910"/>
    </row>
    <row r="442">
      <c r="A442" s="910"/>
      <c r="B442" s="911"/>
      <c r="C442" s="910"/>
      <c r="D442" s="910"/>
      <c r="E442" s="912"/>
      <c r="F442" s="857"/>
      <c r="G442" s="911"/>
      <c r="H442" s="910"/>
      <c r="I442" s="910"/>
      <c r="J442" s="860"/>
      <c r="K442" s="910"/>
    </row>
    <row r="443">
      <c r="A443" s="910"/>
      <c r="B443" s="911"/>
      <c r="C443" s="910"/>
      <c r="D443" s="910"/>
      <c r="E443" s="912"/>
      <c r="F443" s="857"/>
      <c r="G443" s="911"/>
      <c r="H443" s="910"/>
      <c r="I443" s="910"/>
      <c r="J443" s="860"/>
      <c r="K443" s="910"/>
    </row>
    <row r="444">
      <c r="A444" s="910"/>
      <c r="B444" s="911"/>
      <c r="C444" s="910"/>
      <c r="D444" s="910"/>
      <c r="E444" s="912"/>
      <c r="F444" s="857"/>
      <c r="G444" s="911"/>
      <c r="H444" s="910"/>
      <c r="I444" s="910"/>
      <c r="J444" s="860"/>
      <c r="K444" s="910"/>
    </row>
    <row r="445">
      <c r="A445" s="910"/>
      <c r="B445" s="911"/>
      <c r="C445" s="910"/>
      <c r="D445" s="910"/>
      <c r="E445" s="912"/>
      <c r="F445" s="857"/>
      <c r="G445" s="911"/>
      <c r="H445" s="910"/>
      <c r="I445" s="910"/>
      <c r="J445" s="860"/>
      <c r="K445" s="910"/>
    </row>
    <row r="446">
      <c r="A446" s="910"/>
      <c r="B446" s="911"/>
      <c r="C446" s="910"/>
      <c r="D446" s="910"/>
      <c r="E446" s="912"/>
      <c r="F446" s="857"/>
      <c r="G446" s="911"/>
      <c r="H446" s="910"/>
      <c r="I446" s="910"/>
      <c r="J446" s="860"/>
      <c r="K446" s="910"/>
    </row>
    <row r="447">
      <c r="A447" s="910"/>
      <c r="B447" s="911"/>
      <c r="C447" s="910"/>
      <c r="D447" s="910"/>
      <c r="E447" s="912"/>
      <c r="F447" s="857"/>
      <c r="G447" s="911"/>
      <c r="H447" s="910"/>
      <c r="I447" s="910"/>
      <c r="J447" s="860"/>
      <c r="K447" s="910"/>
    </row>
    <row r="448">
      <c r="A448" s="910"/>
      <c r="B448" s="911"/>
      <c r="C448" s="910"/>
      <c r="D448" s="910"/>
      <c r="E448" s="912"/>
      <c r="F448" s="857"/>
      <c r="G448" s="911"/>
      <c r="H448" s="910"/>
      <c r="I448" s="910"/>
      <c r="J448" s="860"/>
      <c r="K448" s="910"/>
    </row>
    <row r="449">
      <c r="A449" s="910"/>
      <c r="B449" s="911"/>
      <c r="C449" s="910"/>
      <c r="D449" s="910"/>
      <c r="E449" s="912"/>
      <c r="F449" s="857"/>
      <c r="G449" s="911"/>
      <c r="H449" s="910"/>
      <c r="I449" s="910"/>
      <c r="J449" s="860"/>
      <c r="K449" s="910"/>
    </row>
    <row r="450">
      <c r="A450" s="910"/>
      <c r="B450" s="911"/>
      <c r="C450" s="910"/>
      <c r="D450" s="910"/>
      <c r="E450" s="912"/>
      <c r="F450" s="857"/>
      <c r="G450" s="911"/>
      <c r="H450" s="910"/>
      <c r="I450" s="910"/>
      <c r="J450" s="860"/>
      <c r="K450" s="910"/>
    </row>
    <row r="451">
      <c r="A451" s="910"/>
      <c r="B451" s="911"/>
      <c r="C451" s="910"/>
      <c r="D451" s="910"/>
      <c r="E451" s="912"/>
      <c r="F451" s="857"/>
      <c r="G451" s="911"/>
      <c r="H451" s="910"/>
      <c r="I451" s="910"/>
      <c r="J451" s="860"/>
      <c r="K451" s="910"/>
    </row>
    <row r="452">
      <c r="A452" s="910"/>
      <c r="B452" s="911"/>
      <c r="C452" s="910"/>
      <c r="D452" s="910"/>
      <c r="E452" s="912"/>
      <c r="F452" s="857"/>
      <c r="G452" s="911"/>
      <c r="H452" s="910"/>
      <c r="I452" s="910"/>
      <c r="J452" s="860"/>
      <c r="K452" s="910"/>
    </row>
    <row r="453">
      <c r="A453" s="910"/>
      <c r="B453" s="911"/>
      <c r="C453" s="910"/>
      <c r="D453" s="910"/>
      <c r="E453" s="912"/>
      <c r="F453" s="857"/>
      <c r="G453" s="911"/>
      <c r="H453" s="910"/>
      <c r="I453" s="910"/>
      <c r="J453" s="860"/>
      <c r="K453" s="910"/>
    </row>
    <row r="454">
      <c r="A454" s="910"/>
      <c r="B454" s="911"/>
      <c r="C454" s="910"/>
      <c r="D454" s="910"/>
      <c r="E454" s="912"/>
      <c r="F454" s="857"/>
      <c r="G454" s="911"/>
      <c r="H454" s="910"/>
      <c r="I454" s="910"/>
      <c r="J454" s="860"/>
      <c r="K454" s="910"/>
    </row>
    <row r="455">
      <c r="A455" s="910"/>
      <c r="B455" s="911"/>
      <c r="C455" s="910"/>
      <c r="D455" s="910"/>
      <c r="E455" s="912"/>
      <c r="F455" s="857"/>
      <c r="G455" s="911"/>
      <c r="H455" s="910"/>
      <c r="I455" s="910"/>
      <c r="J455" s="860"/>
      <c r="K455" s="910"/>
    </row>
    <row r="456">
      <c r="A456" s="910"/>
      <c r="B456" s="911"/>
      <c r="C456" s="910"/>
      <c r="D456" s="910"/>
      <c r="E456" s="912"/>
      <c r="F456" s="857"/>
      <c r="G456" s="911"/>
      <c r="H456" s="910"/>
      <c r="I456" s="910"/>
      <c r="J456" s="860"/>
      <c r="K456" s="910"/>
    </row>
    <row r="457">
      <c r="A457" s="910"/>
      <c r="B457" s="911"/>
      <c r="C457" s="910"/>
      <c r="D457" s="910"/>
      <c r="E457" s="912"/>
      <c r="F457" s="857"/>
      <c r="G457" s="911"/>
      <c r="H457" s="910"/>
      <c r="I457" s="910"/>
      <c r="J457" s="860"/>
      <c r="K457" s="910"/>
    </row>
    <row r="458">
      <c r="A458" s="910"/>
      <c r="B458" s="911"/>
      <c r="C458" s="910"/>
      <c r="D458" s="910"/>
      <c r="E458" s="912"/>
      <c r="F458" s="857"/>
      <c r="G458" s="911"/>
      <c r="H458" s="910"/>
      <c r="I458" s="910"/>
      <c r="J458" s="860"/>
      <c r="K458" s="910"/>
    </row>
    <row r="459">
      <c r="A459" s="910"/>
      <c r="B459" s="911"/>
      <c r="C459" s="910"/>
      <c r="D459" s="910"/>
      <c r="E459" s="912"/>
      <c r="F459" s="857"/>
      <c r="G459" s="911"/>
      <c r="H459" s="910"/>
      <c r="I459" s="910"/>
      <c r="J459" s="860"/>
      <c r="K459" s="910"/>
    </row>
    <row r="460">
      <c r="A460" s="910"/>
      <c r="B460" s="911"/>
      <c r="C460" s="910"/>
      <c r="D460" s="910"/>
      <c r="E460" s="912"/>
      <c r="F460" s="857"/>
      <c r="G460" s="911"/>
      <c r="H460" s="910"/>
      <c r="I460" s="910"/>
      <c r="J460" s="860"/>
      <c r="K460" s="910"/>
    </row>
    <row r="461">
      <c r="A461" s="910"/>
      <c r="B461" s="911"/>
      <c r="C461" s="910"/>
      <c r="D461" s="910"/>
      <c r="E461" s="912"/>
      <c r="F461" s="857"/>
      <c r="G461" s="911"/>
      <c r="H461" s="910"/>
      <c r="I461" s="910"/>
      <c r="J461" s="860"/>
      <c r="K461" s="910"/>
    </row>
    <row r="462">
      <c r="A462" s="910"/>
      <c r="B462" s="911"/>
      <c r="C462" s="910"/>
      <c r="D462" s="910"/>
      <c r="E462" s="912"/>
      <c r="F462" s="857"/>
      <c r="G462" s="911"/>
      <c r="H462" s="910"/>
      <c r="I462" s="910"/>
      <c r="J462" s="860"/>
      <c r="K462" s="910"/>
    </row>
    <row r="463">
      <c r="A463" s="910"/>
      <c r="B463" s="911"/>
      <c r="C463" s="910"/>
      <c r="D463" s="910"/>
      <c r="E463" s="912"/>
      <c r="F463" s="857"/>
      <c r="G463" s="911"/>
      <c r="H463" s="910"/>
      <c r="I463" s="910"/>
      <c r="J463" s="860"/>
      <c r="K463" s="910"/>
    </row>
    <row r="464">
      <c r="A464" s="910"/>
      <c r="B464" s="911"/>
      <c r="C464" s="910"/>
      <c r="D464" s="910"/>
      <c r="E464" s="912"/>
      <c r="F464" s="857"/>
      <c r="G464" s="911"/>
      <c r="H464" s="910"/>
      <c r="I464" s="910"/>
      <c r="J464" s="860"/>
      <c r="K464" s="910"/>
    </row>
    <row r="465">
      <c r="A465" s="910"/>
      <c r="B465" s="911"/>
      <c r="C465" s="910"/>
      <c r="D465" s="910"/>
      <c r="E465" s="912"/>
      <c r="F465" s="857"/>
      <c r="G465" s="911"/>
      <c r="H465" s="910"/>
      <c r="I465" s="910"/>
      <c r="J465" s="860"/>
      <c r="K465" s="910"/>
    </row>
    <row r="466">
      <c r="A466" s="910"/>
      <c r="B466" s="911"/>
      <c r="C466" s="910"/>
      <c r="D466" s="910"/>
      <c r="E466" s="912"/>
      <c r="F466" s="857"/>
      <c r="G466" s="911"/>
      <c r="H466" s="910"/>
      <c r="I466" s="910"/>
      <c r="J466" s="860"/>
      <c r="K466" s="910"/>
    </row>
    <row r="467">
      <c r="A467" s="910"/>
      <c r="B467" s="911"/>
      <c r="C467" s="910"/>
      <c r="D467" s="910"/>
      <c r="E467" s="912"/>
      <c r="F467" s="857"/>
      <c r="G467" s="911"/>
      <c r="H467" s="910"/>
      <c r="I467" s="910"/>
      <c r="J467" s="860"/>
      <c r="K467" s="910"/>
    </row>
    <row r="468">
      <c r="A468" s="910"/>
      <c r="B468" s="911"/>
      <c r="C468" s="910"/>
      <c r="D468" s="910"/>
      <c r="E468" s="912"/>
      <c r="F468" s="857"/>
      <c r="G468" s="911"/>
      <c r="H468" s="910"/>
      <c r="I468" s="910"/>
      <c r="J468" s="860"/>
      <c r="K468" s="910"/>
    </row>
    <row r="469">
      <c r="A469" s="910"/>
      <c r="B469" s="911"/>
      <c r="C469" s="910"/>
      <c r="D469" s="910"/>
      <c r="E469" s="912"/>
      <c r="F469" s="857"/>
      <c r="G469" s="911"/>
      <c r="H469" s="910"/>
      <c r="I469" s="910"/>
      <c r="J469" s="860"/>
      <c r="K469" s="910"/>
    </row>
    <row r="470">
      <c r="A470" s="910"/>
      <c r="B470" s="911"/>
      <c r="C470" s="910"/>
      <c r="D470" s="910"/>
      <c r="E470" s="912"/>
      <c r="F470" s="857"/>
      <c r="G470" s="911"/>
      <c r="H470" s="910"/>
      <c r="I470" s="910"/>
      <c r="J470" s="860"/>
      <c r="K470" s="910"/>
    </row>
    <row r="471">
      <c r="A471" s="910"/>
      <c r="B471" s="911"/>
      <c r="C471" s="910"/>
      <c r="D471" s="910"/>
      <c r="E471" s="912"/>
      <c r="F471" s="857"/>
      <c r="G471" s="911"/>
      <c r="H471" s="910"/>
      <c r="I471" s="910"/>
      <c r="J471" s="860"/>
      <c r="K471" s="910"/>
    </row>
    <row r="472">
      <c r="A472" s="910"/>
      <c r="B472" s="911"/>
      <c r="C472" s="910"/>
      <c r="D472" s="910"/>
      <c r="E472" s="912"/>
      <c r="F472" s="857"/>
      <c r="G472" s="911"/>
      <c r="H472" s="910"/>
      <c r="I472" s="910"/>
      <c r="J472" s="860"/>
      <c r="K472" s="910"/>
    </row>
    <row r="473">
      <c r="A473" s="910"/>
      <c r="B473" s="911"/>
      <c r="C473" s="910"/>
      <c r="D473" s="910"/>
      <c r="E473" s="912"/>
      <c r="F473" s="857"/>
      <c r="G473" s="911"/>
      <c r="H473" s="910"/>
      <c r="I473" s="910"/>
      <c r="J473" s="860"/>
      <c r="K473" s="910"/>
    </row>
    <row r="474">
      <c r="A474" s="910"/>
      <c r="B474" s="911"/>
      <c r="C474" s="910"/>
      <c r="D474" s="910"/>
      <c r="E474" s="912"/>
      <c r="F474" s="857"/>
      <c r="G474" s="911"/>
      <c r="H474" s="910"/>
      <c r="I474" s="910"/>
      <c r="J474" s="860"/>
      <c r="K474" s="910"/>
    </row>
    <row r="475">
      <c r="A475" s="910"/>
      <c r="B475" s="911"/>
      <c r="C475" s="910"/>
      <c r="D475" s="910"/>
      <c r="E475" s="912"/>
      <c r="F475" s="857"/>
      <c r="G475" s="911"/>
      <c r="H475" s="910"/>
      <c r="I475" s="910"/>
      <c r="J475" s="860"/>
      <c r="K475" s="910"/>
    </row>
    <row r="476">
      <c r="A476" s="910"/>
      <c r="B476" s="911"/>
      <c r="C476" s="910"/>
      <c r="D476" s="910"/>
      <c r="E476" s="912"/>
      <c r="F476" s="857"/>
      <c r="G476" s="911"/>
      <c r="H476" s="910"/>
      <c r="I476" s="910"/>
      <c r="J476" s="860"/>
      <c r="K476" s="910"/>
    </row>
    <row r="477">
      <c r="A477" s="910"/>
      <c r="B477" s="911"/>
      <c r="C477" s="910"/>
      <c r="D477" s="910"/>
      <c r="E477" s="912"/>
      <c r="F477" s="857"/>
      <c r="G477" s="911"/>
      <c r="H477" s="910"/>
      <c r="I477" s="910"/>
      <c r="J477" s="860"/>
      <c r="K477" s="910"/>
    </row>
    <row r="478">
      <c r="A478" s="910"/>
      <c r="B478" s="911"/>
      <c r="C478" s="910"/>
      <c r="D478" s="910"/>
      <c r="E478" s="912"/>
      <c r="F478" s="857"/>
      <c r="G478" s="911"/>
      <c r="H478" s="910"/>
      <c r="I478" s="910"/>
      <c r="J478" s="860"/>
      <c r="K478" s="910"/>
    </row>
    <row r="479">
      <c r="A479" s="910"/>
      <c r="B479" s="911"/>
      <c r="C479" s="910"/>
      <c r="D479" s="910"/>
      <c r="E479" s="912"/>
      <c r="F479" s="857"/>
      <c r="G479" s="911"/>
      <c r="H479" s="910"/>
      <c r="I479" s="910"/>
      <c r="J479" s="860"/>
      <c r="K479" s="910"/>
    </row>
    <row r="480">
      <c r="A480" s="910"/>
      <c r="B480" s="911"/>
      <c r="C480" s="910"/>
      <c r="D480" s="910"/>
      <c r="E480" s="912"/>
      <c r="F480" s="857"/>
      <c r="G480" s="911"/>
      <c r="H480" s="910"/>
      <c r="I480" s="910"/>
      <c r="J480" s="860"/>
      <c r="K480" s="910"/>
    </row>
    <row r="481">
      <c r="A481" s="910"/>
      <c r="B481" s="911"/>
      <c r="C481" s="910"/>
      <c r="D481" s="910"/>
      <c r="E481" s="912"/>
      <c r="F481" s="857"/>
      <c r="G481" s="911"/>
      <c r="H481" s="910"/>
      <c r="I481" s="910"/>
      <c r="J481" s="860"/>
      <c r="K481" s="910"/>
    </row>
    <row r="482">
      <c r="A482" s="910"/>
      <c r="B482" s="911"/>
      <c r="C482" s="910"/>
      <c r="D482" s="910"/>
      <c r="E482" s="912"/>
      <c r="F482" s="857"/>
      <c r="G482" s="911"/>
      <c r="H482" s="910"/>
      <c r="I482" s="910"/>
      <c r="J482" s="860"/>
      <c r="K482" s="910"/>
    </row>
    <row r="483">
      <c r="A483" s="910"/>
      <c r="B483" s="911"/>
      <c r="C483" s="910"/>
      <c r="D483" s="910"/>
      <c r="E483" s="912"/>
      <c r="F483" s="857"/>
      <c r="G483" s="911"/>
      <c r="H483" s="910"/>
      <c r="I483" s="910"/>
      <c r="J483" s="860"/>
      <c r="K483" s="910"/>
    </row>
    <row r="484">
      <c r="A484" s="910"/>
      <c r="B484" s="911"/>
      <c r="C484" s="910"/>
      <c r="D484" s="910"/>
      <c r="E484" s="912"/>
      <c r="F484" s="857"/>
      <c r="G484" s="911"/>
      <c r="H484" s="910"/>
      <c r="I484" s="910"/>
      <c r="J484" s="860"/>
      <c r="K484" s="910"/>
    </row>
    <row r="485">
      <c r="A485" s="910"/>
      <c r="B485" s="911"/>
      <c r="C485" s="910"/>
      <c r="D485" s="910"/>
      <c r="E485" s="912"/>
      <c r="F485" s="857"/>
      <c r="G485" s="911"/>
      <c r="H485" s="910"/>
      <c r="I485" s="910"/>
      <c r="J485" s="860"/>
      <c r="K485" s="910"/>
    </row>
    <row r="486">
      <c r="A486" s="910"/>
      <c r="B486" s="911"/>
      <c r="C486" s="910"/>
      <c r="D486" s="910"/>
      <c r="E486" s="912"/>
      <c r="F486" s="857"/>
      <c r="G486" s="911"/>
      <c r="H486" s="910"/>
      <c r="I486" s="910"/>
      <c r="J486" s="860"/>
      <c r="K486" s="910"/>
    </row>
    <row r="487">
      <c r="A487" s="910"/>
      <c r="B487" s="911"/>
      <c r="C487" s="910"/>
      <c r="D487" s="910"/>
      <c r="E487" s="912"/>
      <c r="F487" s="857"/>
      <c r="G487" s="911"/>
      <c r="H487" s="910"/>
      <c r="I487" s="910"/>
      <c r="J487" s="860"/>
      <c r="K487" s="910"/>
    </row>
    <row r="488">
      <c r="A488" s="910"/>
      <c r="B488" s="911"/>
      <c r="C488" s="910"/>
      <c r="D488" s="910"/>
      <c r="E488" s="912"/>
      <c r="F488" s="857"/>
      <c r="G488" s="911"/>
      <c r="H488" s="910"/>
      <c r="I488" s="910"/>
      <c r="J488" s="860"/>
      <c r="K488" s="910"/>
    </row>
    <row r="489">
      <c r="A489" s="910"/>
      <c r="B489" s="911"/>
      <c r="C489" s="910"/>
      <c r="D489" s="910"/>
      <c r="E489" s="912"/>
      <c r="F489" s="857"/>
      <c r="G489" s="911"/>
      <c r="H489" s="910"/>
      <c r="I489" s="910"/>
      <c r="J489" s="860"/>
      <c r="K489" s="910"/>
    </row>
    <row r="490">
      <c r="A490" s="910"/>
      <c r="B490" s="911"/>
      <c r="C490" s="910"/>
      <c r="D490" s="910"/>
      <c r="E490" s="912"/>
      <c r="F490" s="857"/>
      <c r="G490" s="911"/>
      <c r="H490" s="910"/>
      <c r="I490" s="910"/>
      <c r="J490" s="860"/>
      <c r="K490" s="910"/>
    </row>
    <row r="491">
      <c r="A491" s="910"/>
      <c r="B491" s="911"/>
      <c r="C491" s="910"/>
      <c r="D491" s="910"/>
      <c r="E491" s="912"/>
      <c r="F491" s="857"/>
      <c r="G491" s="911"/>
      <c r="H491" s="910"/>
      <c r="I491" s="910"/>
      <c r="J491" s="860"/>
      <c r="K491" s="910"/>
    </row>
    <row r="492">
      <c r="A492" s="910"/>
      <c r="B492" s="911"/>
      <c r="C492" s="910"/>
      <c r="D492" s="910"/>
      <c r="E492" s="912"/>
      <c r="F492" s="857"/>
      <c r="G492" s="911"/>
      <c r="H492" s="910"/>
      <c r="I492" s="910"/>
      <c r="J492" s="860"/>
      <c r="K492" s="910"/>
    </row>
    <row r="493">
      <c r="A493" s="910"/>
      <c r="B493" s="911"/>
      <c r="C493" s="910"/>
      <c r="D493" s="910"/>
      <c r="E493" s="912"/>
      <c r="F493" s="857"/>
      <c r="G493" s="911"/>
      <c r="H493" s="910"/>
      <c r="I493" s="910"/>
      <c r="J493" s="860"/>
      <c r="K493" s="910"/>
    </row>
    <row r="494">
      <c r="A494" s="910"/>
      <c r="B494" s="911"/>
      <c r="C494" s="910"/>
      <c r="D494" s="910"/>
      <c r="E494" s="912"/>
      <c r="F494" s="857"/>
      <c r="G494" s="911"/>
      <c r="H494" s="910"/>
      <c r="I494" s="910"/>
      <c r="J494" s="860"/>
      <c r="K494" s="910"/>
    </row>
    <row r="495">
      <c r="A495" s="910"/>
      <c r="B495" s="911"/>
      <c r="C495" s="910"/>
      <c r="D495" s="910"/>
      <c r="E495" s="912"/>
      <c r="F495" s="857"/>
      <c r="G495" s="911"/>
      <c r="H495" s="910"/>
      <c r="I495" s="910"/>
      <c r="J495" s="860"/>
      <c r="K495" s="910"/>
    </row>
    <row r="496">
      <c r="A496" s="910"/>
      <c r="B496" s="911"/>
      <c r="C496" s="910"/>
      <c r="D496" s="910"/>
      <c r="E496" s="912"/>
      <c r="F496" s="857"/>
      <c r="G496" s="911"/>
      <c r="H496" s="910"/>
      <c r="I496" s="910"/>
      <c r="J496" s="860"/>
      <c r="K496" s="910"/>
    </row>
    <row r="497">
      <c r="A497" s="910"/>
      <c r="B497" s="911"/>
      <c r="C497" s="910"/>
      <c r="D497" s="910"/>
      <c r="E497" s="912"/>
      <c r="F497" s="857"/>
      <c r="G497" s="911"/>
      <c r="H497" s="910"/>
      <c r="I497" s="910"/>
      <c r="J497" s="860"/>
      <c r="K497" s="910"/>
    </row>
    <row r="498">
      <c r="A498" s="910"/>
      <c r="B498" s="911"/>
      <c r="C498" s="910"/>
      <c r="D498" s="910"/>
      <c r="E498" s="912"/>
      <c r="F498" s="857"/>
      <c r="G498" s="911"/>
      <c r="H498" s="910"/>
      <c r="I498" s="910"/>
      <c r="J498" s="860"/>
      <c r="K498" s="910"/>
    </row>
    <row r="499">
      <c r="A499" s="910"/>
      <c r="B499" s="911"/>
      <c r="C499" s="910"/>
      <c r="D499" s="910"/>
      <c r="E499" s="912"/>
      <c r="F499" s="857"/>
      <c r="G499" s="911"/>
      <c r="H499" s="910"/>
      <c r="I499" s="910"/>
      <c r="J499" s="860"/>
      <c r="K499" s="910"/>
    </row>
    <row r="500">
      <c r="A500" s="910"/>
      <c r="B500" s="911"/>
      <c r="C500" s="910"/>
      <c r="D500" s="910"/>
      <c r="E500" s="912"/>
      <c r="F500" s="857"/>
      <c r="G500" s="911"/>
      <c r="H500" s="910"/>
      <c r="I500" s="910"/>
      <c r="J500" s="860"/>
      <c r="K500" s="910"/>
    </row>
    <row r="501">
      <c r="A501" s="910"/>
      <c r="B501" s="911"/>
      <c r="C501" s="910"/>
      <c r="D501" s="910"/>
      <c r="E501" s="912"/>
      <c r="F501" s="857"/>
      <c r="G501" s="911"/>
      <c r="H501" s="910"/>
      <c r="I501" s="910"/>
      <c r="J501" s="860"/>
      <c r="K501" s="910"/>
    </row>
    <row r="502">
      <c r="A502" s="910"/>
      <c r="B502" s="911"/>
      <c r="C502" s="910"/>
      <c r="D502" s="910"/>
      <c r="E502" s="912"/>
      <c r="F502" s="857"/>
      <c r="G502" s="911"/>
      <c r="H502" s="910"/>
      <c r="I502" s="910"/>
      <c r="J502" s="860"/>
      <c r="K502" s="910"/>
    </row>
    <row r="503">
      <c r="A503" s="910"/>
      <c r="B503" s="911"/>
      <c r="C503" s="910"/>
      <c r="D503" s="910"/>
      <c r="E503" s="912"/>
      <c r="F503" s="857"/>
      <c r="G503" s="911"/>
      <c r="H503" s="910"/>
      <c r="I503" s="910"/>
      <c r="J503" s="860"/>
      <c r="K503" s="910"/>
    </row>
    <row r="504">
      <c r="A504" s="910"/>
      <c r="B504" s="911"/>
      <c r="C504" s="910"/>
      <c r="D504" s="910"/>
      <c r="E504" s="912"/>
      <c r="F504" s="857"/>
      <c r="G504" s="911"/>
      <c r="H504" s="910"/>
      <c r="I504" s="910"/>
      <c r="J504" s="860"/>
      <c r="K504" s="910"/>
    </row>
    <row r="505">
      <c r="A505" s="910"/>
      <c r="B505" s="911"/>
      <c r="C505" s="910"/>
      <c r="D505" s="910"/>
      <c r="E505" s="912"/>
      <c r="F505" s="857"/>
      <c r="G505" s="911"/>
      <c r="H505" s="910"/>
      <c r="I505" s="910"/>
      <c r="J505" s="860"/>
      <c r="K505" s="910"/>
    </row>
    <row r="506">
      <c r="A506" s="910"/>
      <c r="B506" s="911"/>
      <c r="C506" s="910"/>
      <c r="D506" s="910"/>
      <c r="E506" s="912"/>
      <c r="F506" s="857"/>
      <c r="G506" s="911"/>
      <c r="H506" s="910"/>
      <c r="I506" s="910"/>
      <c r="J506" s="860"/>
      <c r="K506" s="910"/>
    </row>
    <row r="507">
      <c r="A507" s="910"/>
      <c r="B507" s="911"/>
      <c r="C507" s="910"/>
      <c r="D507" s="910"/>
      <c r="E507" s="912"/>
      <c r="F507" s="857"/>
      <c r="G507" s="911"/>
      <c r="H507" s="910"/>
      <c r="I507" s="910"/>
      <c r="J507" s="860"/>
      <c r="K507" s="910"/>
    </row>
    <row r="508">
      <c r="A508" s="910"/>
      <c r="B508" s="911"/>
      <c r="C508" s="910"/>
      <c r="D508" s="910"/>
      <c r="E508" s="912"/>
      <c r="F508" s="857"/>
      <c r="G508" s="911"/>
      <c r="H508" s="910"/>
      <c r="I508" s="910"/>
      <c r="J508" s="860"/>
      <c r="K508" s="910"/>
    </row>
    <row r="509">
      <c r="A509" s="910"/>
      <c r="B509" s="911"/>
      <c r="C509" s="910"/>
      <c r="D509" s="910"/>
      <c r="E509" s="912"/>
      <c r="F509" s="857"/>
      <c r="G509" s="911"/>
      <c r="H509" s="910"/>
      <c r="I509" s="910"/>
      <c r="J509" s="860"/>
      <c r="K509" s="910"/>
    </row>
    <row r="510">
      <c r="A510" s="910"/>
      <c r="B510" s="911"/>
      <c r="C510" s="910"/>
      <c r="D510" s="910"/>
      <c r="E510" s="912"/>
      <c r="F510" s="857"/>
      <c r="G510" s="911"/>
      <c r="H510" s="910"/>
      <c r="I510" s="910"/>
      <c r="J510" s="860"/>
      <c r="K510" s="910"/>
    </row>
    <row r="511">
      <c r="A511" s="910"/>
      <c r="B511" s="911"/>
      <c r="C511" s="910"/>
      <c r="D511" s="910"/>
      <c r="E511" s="912"/>
      <c r="F511" s="857"/>
      <c r="G511" s="911"/>
      <c r="H511" s="910"/>
      <c r="I511" s="910"/>
      <c r="J511" s="860"/>
      <c r="K511" s="910"/>
    </row>
    <row r="512">
      <c r="A512" s="910"/>
      <c r="B512" s="911"/>
      <c r="C512" s="910"/>
      <c r="D512" s="910"/>
      <c r="E512" s="912"/>
      <c r="F512" s="857"/>
      <c r="G512" s="911"/>
      <c r="H512" s="910"/>
      <c r="I512" s="910"/>
      <c r="J512" s="860"/>
      <c r="K512" s="910"/>
    </row>
    <row r="513">
      <c r="A513" s="910"/>
      <c r="B513" s="911"/>
      <c r="C513" s="910"/>
      <c r="D513" s="910"/>
      <c r="E513" s="912"/>
      <c r="F513" s="857"/>
      <c r="G513" s="911"/>
      <c r="H513" s="910"/>
      <c r="I513" s="910"/>
      <c r="J513" s="860"/>
      <c r="K513" s="910"/>
    </row>
    <row r="514">
      <c r="A514" s="910"/>
      <c r="B514" s="911"/>
      <c r="C514" s="910"/>
      <c r="D514" s="910"/>
      <c r="E514" s="912"/>
      <c r="F514" s="857"/>
      <c r="G514" s="911"/>
      <c r="H514" s="910"/>
      <c r="I514" s="910"/>
      <c r="J514" s="860"/>
      <c r="K514" s="910"/>
    </row>
    <row r="515">
      <c r="A515" s="910"/>
      <c r="B515" s="911"/>
      <c r="C515" s="910"/>
      <c r="D515" s="910"/>
      <c r="E515" s="912"/>
      <c r="F515" s="857"/>
      <c r="G515" s="911"/>
      <c r="H515" s="910"/>
      <c r="I515" s="910"/>
      <c r="J515" s="860"/>
      <c r="K515" s="910"/>
    </row>
    <row r="516">
      <c r="A516" s="910"/>
      <c r="B516" s="911"/>
      <c r="C516" s="910"/>
      <c r="D516" s="910"/>
      <c r="E516" s="912"/>
      <c r="F516" s="857"/>
      <c r="G516" s="911"/>
      <c r="H516" s="910"/>
      <c r="I516" s="910"/>
      <c r="J516" s="860"/>
      <c r="K516" s="910"/>
    </row>
    <row r="517">
      <c r="A517" s="910"/>
      <c r="B517" s="911"/>
      <c r="C517" s="910"/>
      <c r="D517" s="910"/>
      <c r="E517" s="912"/>
      <c r="F517" s="857"/>
      <c r="G517" s="911"/>
      <c r="H517" s="910"/>
      <c r="I517" s="910"/>
      <c r="J517" s="860"/>
      <c r="K517" s="910"/>
    </row>
    <row r="518">
      <c r="A518" s="910"/>
      <c r="B518" s="911"/>
      <c r="C518" s="910"/>
      <c r="D518" s="910"/>
      <c r="E518" s="912"/>
      <c r="F518" s="857"/>
      <c r="G518" s="911"/>
      <c r="H518" s="910"/>
      <c r="I518" s="910"/>
      <c r="J518" s="860"/>
      <c r="K518" s="910"/>
    </row>
    <row r="519">
      <c r="A519" s="910"/>
      <c r="B519" s="911"/>
      <c r="C519" s="910"/>
      <c r="D519" s="910"/>
      <c r="E519" s="912"/>
      <c r="F519" s="857"/>
      <c r="G519" s="911"/>
      <c r="H519" s="910"/>
      <c r="I519" s="910"/>
      <c r="J519" s="860"/>
      <c r="K519" s="910"/>
    </row>
    <row r="520">
      <c r="A520" s="910"/>
      <c r="B520" s="911"/>
      <c r="C520" s="910"/>
      <c r="D520" s="910"/>
      <c r="E520" s="912"/>
      <c r="F520" s="857"/>
      <c r="G520" s="911"/>
      <c r="H520" s="910"/>
      <c r="I520" s="910"/>
      <c r="J520" s="860"/>
      <c r="K520" s="910"/>
    </row>
    <row r="521">
      <c r="A521" s="910"/>
      <c r="B521" s="911"/>
      <c r="C521" s="910"/>
      <c r="D521" s="910"/>
      <c r="E521" s="912"/>
      <c r="F521" s="857"/>
      <c r="G521" s="911"/>
      <c r="H521" s="910"/>
      <c r="I521" s="910"/>
      <c r="J521" s="860"/>
      <c r="K521" s="910"/>
    </row>
    <row r="522">
      <c r="A522" s="910"/>
      <c r="B522" s="911"/>
      <c r="C522" s="910"/>
      <c r="D522" s="910"/>
      <c r="E522" s="912"/>
      <c r="F522" s="857"/>
      <c r="G522" s="911"/>
      <c r="H522" s="910"/>
      <c r="I522" s="910"/>
      <c r="J522" s="860"/>
      <c r="K522" s="910"/>
    </row>
    <row r="523">
      <c r="A523" s="910"/>
      <c r="B523" s="911"/>
      <c r="C523" s="910"/>
      <c r="D523" s="910"/>
      <c r="E523" s="912"/>
      <c r="F523" s="857"/>
      <c r="G523" s="911"/>
      <c r="H523" s="910"/>
      <c r="I523" s="910"/>
      <c r="J523" s="860"/>
      <c r="K523" s="910"/>
    </row>
    <row r="524">
      <c r="A524" s="910"/>
      <c r="B524" s="911"/>
      <c r="C524" s="910"/>
      <c r="D524" s="910"/>
      <c r="E524" s="912"/>
      <c r="F524" s="857"/>
      <c r="G524" s="911"/>
      <c r="H524" s="910"/>
      <c r="I524" s="910"/>
      <c r="J524" s="860"/>
      <c r="K524" s="910"/>
    </row>
    <row r="525">
      <c r="A525" s="910"/>
      <c r="B525" s="911"/>
      <c r="C525" s="910"/>
      <c r="D525" s="910"/>
      <c r="E525" s="912"/>
      <c r="F525" s="857"/>
      <c r="G525" s="911"/>
      <c r="H525" s="910"/>
      <c r="I525" s="910"/>
      <c r="J525" s="860"/>
      <c r="K525" s="910"/>
    </row>
    <row r="526">
      <c r="A526" s="910"/>
      <c r="B526" s="911"/>
      <c r="C526" s="910"/>
      <c r="D526" s="910"/>
      <c r="E526" s="912"/>
      <c r="F526" s="857"/>
      <c r="G526" s="911"/>
      <c r="H526" s="910"/>
      <c r="I526" s="910"/>
      <c r="J526" s="860"/>
      <c r="K526" s="910"/>
    </row>
    <row r="527">
      <c r="A527" s="910"/>
      <c r="B527" s="911"/>
      <c r="C527" s="910"/>
      <c r="D527" s="910"/>
      <c r="E527" s="912"/>
      <c r="F527" s="857"/>
      <c r="G527" s="911"/>
      <c r="H527" s="910"/>
      <c r="I527" s="910"/>
      <c r="J527" s="860"/>
      <c r="K527" s="910"/>
    </row>
    <row r="528">
      <c r="A528" s="910"/>
      <c r="B528" s="911"/>
      <c r="C528" s="910"/>
      <c r="D528" s="910"/>
      <c r="E528" s="912"/>
      <c r="F528" s="857"/>
      <c r="G528" s="911"/>
      <c r="H528" s="910"/>
      <c r="I528" s="910"/>
      <c r="J528" s="860"/>
      <c r="K528" s="910"/>
    </row>
    <row r="529">
      <c r="A529" s="910"/>
      <c r="B529" s="911"/>
      <c r="C529" s="910"/>
      <c r="D529" s="910"/>
      <c r="E529" s="912"/>
      <c r="F529" s="857"/>
      <c r="G529" s="911"/>
      <c r="H529" s="910"/>
      <c r="I529" s="910"/>
      <c r="J529" s="860"/>
      <c r="K529" s="910"/>
    </row>
    <row r="530">
      <c r="A530" s="910"/>
      <c r="B530" s="911"/>
      <c r="C530" s="910"/>
      <c r="D530" s="910"/>
      <c r="E530" s="912"/>
      <c r="F530" s="857"/>
      <c r="G530" s="911"/>
      <c r="H530" s="910"/>
      <c r="I530" s="910"/>
      <c r="J530" s="860"/>
      <c r="K530" s="910"/>
    </row>
    <row r="531">
      <c r="A531" s="910"/>
      <c r="B531" s="911"/>
      <c r="C531" s="910"/>
      <c r="D531" s="910"/>
      <c r="E531" s="912"/>
      <c r="F531" s="857"/>
      <c r="G531" s="911"/>
      <c r="H531" s="910"/>
      <c r="I531" s="910"/>
      <c r="J531" s="860"/>
      <c r="K531" s="910"/>
    </row>
    <row r="532">
      <c r="A532" s="910"/>
      <c r="B532" s="911"/>
      <c r="C532" s="910"/>
      <c r="D532" s="910"/>
      <c r="E532" s="912"/>
      <c r="F532" s="857"/>
      <c r="G532" s="911"/>
      <c r="H532" s="910"/>
      <c r="I532" s="910"/>
      <c r="J532" s="860"/>
      <c r="K532" s="910"/>
    </row>
    <row r="533">
      <c r="A533" s="910"/>
      <c r="B533" s="911"/>
      <c r="C533" s="910"/>
      <c r="D533" s="910"/>
      <c r="E533" s="912"/>
      <c r="F533" s="857"/>
      <c r="G533" s="911"/>
      <c r="H533" s="910"/>
      <c r="I533" s="910"/>
      <c r="J533" s="860"/>
      <c r="K533" s="910"/>
    </row>
    <row r="534">
      <c r="A534" s="910"/>
      <c r="B534" s="911"/>
      <c r="C534" s="910"/>
      <c r="D534" s="910"/>
      <c r="E534" s="912"/>
      <c r="F534" s="857"/>
      <c r="G534" s="911"/>
      <c r="H534" s="910"/>
      <c r="I534" s="910"/>
      <c r="J534" s="860"/>
      <c r="K534" s="910"/>
    </row>
    <row r="535">
      <c r="A535" s="910"/>
      <c r="B535" s="911"/>
      <c r="C535" s="910"/>
      <c r="D535" s="910"/>
      <c r="E535" s="912"/>
      <c r="F535" s="857"/>
      <c r="G535" s="911"/>
      <c r="H535" s="910"/>
      <c r="I535" s="910"/>
      <c r="J535" s="860"/>
      <c r="K535" s="910"/>
    </row>
    <row r="536">
      <c r="A536" s="910"/>
      <c r="B536" s="911"/>
      <c r="C536" s="910"/>
      <c r="D536" s="910"/>
      <c r="E536" s="912"/>
      <c r="F536" s="857"/>
      <c r="G536" s="911"/>
      <c r="H536" s="910"/>
      <c r="I536" s="910"/>
      <c r="J536" s="860"/>
      <c r="K536" s="910"/>
    </row>
    <row r="537">
      <c r="A537" s="910"/>
      <c r="B537" s="911"/>
      <c r="C537" s="910"/>
      <c r="D537" s="910"/>
      <c r="E537" s="912"/>
      <c r="F537" s="857"/>
      <c r="G537" s="911"/>
      <c r="H537" s="910"/>
      <c r="I537" s="910"/>
      <c r="J537" s="860"/>
      <c r="K537" s="910"/>
    </row>
    <row r="538">
      <c r="A538" s="910"/>
      <c r="B538" s="911"/>
      <c r="C538" s="910"/>
      <c r="D538" s="910"/>
      <c r="E538" s="912"/>
      <c r="F538" s="857"/>
      <c r="G538" s="911"/>
      <c r="H538" s="910"/>
      <c r="I538" s="910"/>
      <c r="J538" s="860"/>
      <c r="K538" s="910"/>
    </row>
    <row r="539">
      <c r="A539" s="910"/>
      <c r="B539" s="911"/>
      <c r="C539" s="910"/>
      <c r="D539" s="910"/>
      <c r="E539" s="912"/>
      <c r="F539" s="857"/>
      <c r="G539" s="911"/>
      <c r="H539" s="910"/>
      <c r="I539" s="910"/>
      <c r="J539" s="860"/>
      <c r="K539" s="910"/>
    </row>
    <row r="540">
      <c r="A540" s="910"/>
      <c r="B540" s="911"/>
      <c r="C540" s="910"/>
      <c r="D540" s="910"/>
      <c r="E540" s="912"/>
      <c r="F540" s="857"/>
      <c r="G540" s="911"/>
      <c r="H540" s="910"/>
      <c r="I540" s="910"/>
      <c r="J540" s="860"/>
      <c r="K540" s="910"/>
    </row>
    <row r="541">
      <c r="A541" s="910"/>
      <c r="B541" s="911"/>
      <c r="C541" s="910"/>
      <c r="D541" s="910"/>
      <c r="E541" s="912"/>
      <c r="F541" s="857"/>
      <c r="G541" s="911"/>
      <c r="H541" s="910"/>
      <c r="I541" s="910"/>
      <c r="J541" s="860"/>
      <c r="K541" s="910"/>
    </row>
    <row r="542">
      <c r="A542" s="910"/>
      <c r="B542" s="911"/>
      <c r="C542" s="910"/>
      <c r="D542" s="910"/>
      <c r="E542" s="912"/>
      <c r="F542" s="857"/>
      <c r="G542" s="911"/>
      <c r="H542" s="910"/>
      <c r="I542" s="910"/>
      <c r="J542" s="860"/>
      <c r="K542" s="910"/>
    </row>
    <row r="543">
      <c r="A543" s="910"/>
      <c r="B543" s="911"/>
      <c r="C543" s="910"/>
      <c r="D543" s="910"/>
      <c r="E543" s="912"/>
      <c r="F543" s="857"/>
      <c r="G543" s="911"/>
      <c r="H543" s="910"/>
      <c r="I543" s="910"/>
      <c r="J543" s="860"/>
      <c r="K543" s="910"/>
    </row>
    <row r="544">
      <c r="A544" s="910"/>
      <c r="B544" s="911"/>
      <c r="C544" s="910"/>
      <c r="D544" s="910"/>
      <c r="E544" s="912"/>
      <c r="F544" s="857"/>
      <c r="G544" s="911"/>
      <c r="H544" s="910"/>
      <c r="I544" s="910"/>
      <c r="J544" s="860"/>
      <c r="K544" s="910"/>
    </row>
    <row r="545">
      <c r="A545" s="910"/>
      <c r="B545" s="911"/>
      <c r="C545" s="910"/>
      <c r="D545" s="910"/>
      <c r="E545" s="912"/>
      <c r="F545" s="857"/>
      <c r="G545" s="911"/>
      <c r="H545" s="910"/>
      <c r="I545" s="910"/>
      <c r="J545" s="860"/>
      <c r="K545" s="910"/>
    </row>
    <row r="546">
      <c r="A546" s="910"/>
      <c r="B546" s="911"/>
      <c r="C546" s="910"/>
      <c r="D546" s="910"/>
      <c r="E546" s="912"/>
      <c r="F546" s="857"/>
      <c r="G546" s="911"/>
      <c r="H546" s="910"/>
      <c r="I546" s="910"/>
      <c r="J546" s="860"/>
      <c r="K546" s="910"/>
    </row>
    <row r="547">
      <c r="A547" s="910"/>
      <c r="B547" s="911"/>
      <c r="C547" s="910"/>
      <c r="D547" s="910"/>
      <c r="E547" s="912"/>
      <c r="F547" s="857"/>
      <c r="G547" s="911"/>
      <c r="H547" s="910"/>
      <c r="I547" s="910"/>
      <c r="J547" s="860"/>
      <c r="K547" s="910"/>
    </row>
    <row r="548">
      <c r="A548" s="910"/>
      <c r="B548" s="911"/>
      <c r="C548" s="910"/>
      <c r="D548" s="910"/>
      <c r="E548" s="912"/>
      <c r="F548" s="857"/>
      <c r="G548" s="911"/>
      <c r="H548" s="910"/>
      <c r="I548" s="910"/>
      <c r="J548" s="860"/>
      <c r="K548" s="910"/>
    </row>
    <row r="549">
      <c r="A549" s="910"/>
      <c r="B549" s="911"/>
      <c r="C549" s="910"/>
      <c r="D549" s="910"/>
      <c r="E549" s="912"/>
      <c r="F549" s="857"/>
      <c r="G549" s="911"/>
      <c r="H549" s="910"/>
      <c r="I549" s="910"/>
      <c r="J549" s="860"/>
      <c r="K549" s="910"/>
    </row>
    <row r="550">
      <c r="A550" s="910"/>
      <c r="B550" s="911"/>
      <c r="C550" s="910"/>
      <c r="D550" s="910"/>
      <c r="E550" s="912"/>
      <c r="F550" s="857"/>
      <c r="G550" s="911"/>
      <c r="H550" s="910"/>
      <c r="I550" s="910"/>
      <c r="J550" s="860"/>
      <c r="K550" s="910"/>
    </row>
    <row r="551">
      <c r="A551" s="910"/>
      <c r="B551" s="911"/>
      <c r="C551" s="910"/>
      <c r="D551" s="910"/>
      <c r="E551" s="912"/>
      <c r="F551" s="857"/>
      <c r="G551" s="911"/>
      <c r="H551" s="910"/>
      <c r="I551" s="910"/>
      <c r="J551" s="860"/>
      <c r="K551" s="910"/>
    </row>
    <row r="552">
      <c r="A552" s="910"/>
      <c r="B552" s="911"/>
      <c r="C552" s="910"/>
      <c r="D552" s="910"/>
      <c r="E552" s="912"/>
      <c r="F552" s="857"/>
      <c r="G552" s="911"/>
      <c r="H552" s="910"/>
      <c r="I552" s="910"/>
      <c r="J552" s="860"/>
      <c r="K552" s="910"/>
    </row>
    <row r="553">
      <c r="A553" s="910"/>
      <c r="B553" s="911"/>
      <c r="C553" s="910"/>
      <c r="D553" s="910"/>
      <c r="E553" s="912"/>
      <c r="F553" s="857"/>
      <c r="G553" s="911"/>
      <c r="H553" s="910"/>
      <c r="I553" s="910"/>
      <c r="J553" s="860"/>
      <c r="K553" s="910"/>
    </row>
    <row r="554">
      <c r="A554" s="910"/>
      <c r="B554" s="911"/>
      <c r="C554" s="910"/>
      <c r="D554" s="910"/>
      <c r="E554" s="912"/>
      <c r="F554" s="857"/>
      <c r="G554" s="911"/>
      <c r="H554" s="910"/>
      <c r="I554" s="910"/>
      <c r="J554" s="860"/>
      <c r="K554" s="910"/>
    </row>
    <row r="555">
      <c r="A555" s="910"/>
      <c r="B555" s="911"/>
      <c r="C555" s="910"/>
      <c r="D555" s="910"/>
      <c r="E555" s="912"/>
      <c r="F555" s="857"/>
      <c r="G555" s="911"/>
      <c r="H555" s="910"/>
      <c r="I555" s="910"/>
      <c r="J555" s="860"/>
      <c r="K555" s="910"/>
    </row>
    <row r="556">
      <c r="A556" s="910"/>
      <c r="B556" s="911"/>
      <c r="C556" s="910"/>
      <c r="D556" s="910"/>
      <c r="E556" s="912"/>
      <c r="F556" s="857"/>
      <c r="G556" s="911"/>
      <c r="H556" s="910"/>
      <c r="I556" s="910"/>
      <c r="J556" s="860"/>
      <c r="K556" s="910"/>
    </row>
    <row r="557">
      <c r="A557" s="910"/>
      <c r="B557" s="911"/>
      <c r="C557" s="910"/>
      <c r="D557" s="910"/>
      <c r="E557" s="912"/>
      <c r="F557" s="857"/>
      <c r="G557" s="911"/>
      <c r="H557" s="910"/>
      <c r="I557" s="910"/>
      <c r="J557" s="860"/>
      <c r="K557" s="910"/>
    </row>
    <row r="558">
      <c r="A558" s="910"/>
      <c r="B558" s="911"/>
      <c r="C558" s="910"/>
      <c r="D558" s="910"/>
      <c r="E558" s="912"/>
      <c r="F558" s="857"/>
      <c r="G558" s="911"/>
      <c r="H558" s="910"/>
      <c r="I558" s="910"/>
      <c r="J558" s="860"/>
      <c r="K558" s="910"/>
    </row>
    <row r="559">
      <c r="A559" s="910"/>
      <c r="B559" s="911"/>
      <c r="C559" s="910"/>
      <c r="D559" s="910"/>
      <c r="E559" s="912"/>
      <c r="F559" s="857"/>
      <c r="G559" s="911"/>
      <c r="H559" s="910"/>
      <c r="I559" s="910"/>
      <c r="J559" s="860"/>
      <c r="K559" s="910"/>
    </row>
    <row r="560">
      <c r="A560" s="910"/>
      <c r="B560" s="911"/>
      <c r="C560" s="910"/>
      <c r="D560" s="910"/>
      <c r="E560" s="912"/>
      <c r="F560" s="857"/>
      <c r="G560" s="911"/>
      <c r="H560" s="910"/>
      <c r="I560" s="910"/>
      <c r="J560" s="860"/>
      <c r="K560" s="910"/>
    </row>
    <row r="561">
      <c r="A561" s="910"/>
      <c r="B561" s="911"/>
      <c r="C561" s="910"/>
      <c r="D561" s="910"/>
      <c r="E561" s="912"/>
      <c r="F561" s="857"/>
      <c r="G561" s="911"/>
      <c r="H561" s="910"/>
      <c r="I561" s="910"/>
      <c r="J561" s="860"/>
      <c r="K561" s="910"/>
    </row>
    <row r="562">
      <c r="A562" s="910"/>
      <c r="B562" s="911"/>
      <c r="C562" s="910"/>
      <c r="D562" s="910"/>
      <c r="E562" s="912"/>
      <c r="F562" s="857"/>
      <c r="G562" s="911"/>
      <c r="H562" s="910"/>
      <c r="I562" s="910"/>
      <c r="J562" s="860"/>
      <c r="K562" s="910"/>
    </row>
    <row r="563">
      <c r="A563" s="910"/>
      <c r="B563" s="911"/>
      <c r="C563" s="910"/>
      <c r="D563" s="910"/>
      <c r="E563" s="912"/>
      <c r="F563" s="857"/>
      <c r="G563" s="911"/>
      <c r="H563" s="910"/>
      <c r="I563" s="910"/>
      <c r="J563" s="860"/>
      <c r="K563" s="910"/>
    </row>
    <row r="564">
      <c r="A564" s="910"/>
      <c r="B564" s="911"/>
      <c r="C564" s="910"/>
      <c r="D564" s="910"/>
      <c r="E564" s="912"/>
      <c r="F564" s="857"/>
      <c r="G564" s="911"/>
      <c r="H564" s="910"/>
      <c r="I564" s="910"/>
      <c r="J564" s="860"/>
      <c r="K564" s="910"/>
    </row>
    <row r="565">
      <c r="A565" s="910"/>
      <c r="B565" s="911"/>
      <c r="C565" s="910"/>
      <c r="D565" s="910"/>
      <c r="E565" s="912"/>
      <c r="F565" s="857"/>
      <c r="G565" s="911"/>
      <c r="H565" s="910"/>
      <c r="I565" s="910"/>
      <c r="J565" s="860"/>
      <c r="K565" s="910"/>
    </row>
    <row r="566">
      <c r="A566" s="910"/>
      <c r="B566" s="911"/>
      <c r="C566" s="910"/>
      <c r="D566" s="910"/>
      <c r="E566" s="912"/>
      <c r="F566" s="857"/>
      <c r="G566" s="911"/>
      <c r="H566" s="910"/>
      <c r="I566" s="910"/>
      <c r="J566" s="860"/>
      <c r="K566" s="910"/>
    </row>
    <row r="567">
      <c r="A567" s="910"/>
      <c r="B567" s="911"/>
      <c r="C567" s="910"/>
      <c r="D567" s="910"/>
      <c r="E567" s="912"/>
      <c r="F567" s="857"/>
      <c r="G567" s="911"/>
      <c r="H567" s="910"/>
      <c r="I567" s="910"/>
      <c r="J567" s="860"/>
      <c r="K567" s="910"/>
    </row>
    <row r="568">
      <c r="A568" s="910"/>
      <c r="B568" s="911"/>
      <c r="C568" s="910"/>
      <c r="D568" s="910"/>
      <c r="E568" s="912"/>
      <c r="F568" s="857"/>
      <c r="G568" s="911"/>
      <c r="H568" s="910"/>
      <c r="I568" s="910"/>
      <c r="J568" s="860"/>
      <c r="K568" s="910"/>
    </row>
    <row r="569">
      <c r="A569" s="910"/>
      <c r="B569" s="911"/>
      <c r="C569" s="910"/>
      <c r="D569" s="910"/>
      <c r="E569" s="912"/>
      <c r="F569" s="857"/>
      <c r="G569" s="911"/>
      <c r="H569" s="910"/>
      <c r="I569" s="910"/>
      <c r="J569" s="860"/>
      <c r="K569" s="910"/>
    </row>
    <row r="570">
      <c r="A570" s="910"/>
      <c r="B570" s="911"/>
      <c r="C570" s="910"/>
      <c r="D570" s="910"/>
      <c r="E570" s="912"/>
      <c r="F570" s="857"/>
      <c r="G570" s="911"/>
      <c r="H570" s="910"/>
      <c r="I570" s="910"/>
      <c r="J570" s="860"/>
      <c r="K570" s="910"/>
    </row>
    <row r="571">
      <c r="A571" s="910"/>
      <c r="B571" s="911"/>
      <c r="C571" s="910"/>
      <c r="D571" s="910"/>
      <c r="E571" s="912"/>
      <c r="F571" s="857"/>
      <c r="G571" s="911"/>
      <c r="H571" s="910"/>
      <c r="I571" s="910"/>
      <c r="J571" s="860"/>
      <c r="K571" s="910"/>
    </row>
    <row r="572">
      <c r="A572" s="910"/>
      <c r="B572" s="911"/>
      <c r="C572" s="910"/>
      <c r="D572" s="910"/>
      <c r="E572" s="912"/>
      <c r="F572" s="857"/>
      <c r="G572" s="911"/>
      <c r="H572" s="910"/>
      <c r="I572" s="910"/>
      <c r="J572" s="860"/>
      <c r="K572" s="910"/>
    </row>
    <row r="573">
      <c r="A573" s="910"/>
      <c r="B573" s="911"/>
      <c r="C573" s="910"/>
      <c r="D573" s="910"/>
      <c r="E573" s="912"/>
      <c r="F573" s="857"/>
      <c r="G573" s="911"/>
      <c r="H573" s="910"/>
      <c r="I573" s="910"/>
      <c r="J573" s="860"/>
      <c r="K573" s="910"/>
    </row>
    <row r="574">
      <c r="A574" s="910"/>
      <c r="B574" s="911"/>
      <c r="C574" s="910"/>
      <c r="D574" s="910"/>
      <c r="E574" s="912"/>
      <c r="F574" s="857"/>
      <c r="G574" s="911"/>
      <c r="H574" s="910"/>
      <c r="I574" s="910"/>
      <c r="J574" s="860"/>
      <c r="K574" s="910"/>
    </row>
    <row r="575">
      <c r="A575" s="910"/>
      <c r="B575" s="911"/>
      <c r="C575" s="910"/>
      <c r="D575" s="910"/>
      <c r="E575" s="912"/>
      <c r="F575" s="857"/>
      <c r="G575" s="911"/>
      <c r="H575" s="910"/>
      <c r="I575" s="910"/>
      <c r="J575" s="860"/>
      <c r="K575" s="910"/>
    </row>
    <row r="576">
      <c r="A576" s="910"/>
      <c r="B576" s="911"/>
      <c r="C576" s="910"/>
      <c r="D576" s="910"/>
      <c r="E576" s="912"/>
      <c r="F576" s="857"/>
      <c r="G576" s="911"/>
      <c r="H576" s="910"/>
      <c r="I576" s="910"/>
      <c r="J576" s="860"/>
      <c r="K576" s="910"/>
    </row>
    <row r="577">
      <c r="A577" s="910"/>
      <c r="B577" s="911"/>
      <c r="C577" s="910"/>
      <c r="D577" s="910"/>
      <c r="E577" s="912"/>
      <c r="F577" s="857"/>
      <c r="G577" s="911"/>
      <c r="H577" s="910"/>
      <c r="I577" s="910"/>
      <c r="J577" s="860"/>
      <c r="K577" s="910"/>
    </row>
    <row r="578">
      <c r="A578" s="910"/>
      <c r="B578" s="911"/>
      <c r="C578" s="910"/>
      <c r="D578" s="910"/>
      <c r="E578" s="912"/>
      <c r="F578" s="857"/>
      <c r="G578" s="911"/>
      <c r="H578" s="910"/>
      <c r="I578" s="910"/>
      <c r="J578" s="860"/>
      <c r="K578" s="910"/>
    </row>
    <row r="579">
      <c r="A579" s="910"/>
      <c r="B579" s="911"/>
      <c r="C579" s="910"/>
      <c r="D579" s="910"/>
      <c r="E579" s="912"/>
      <c r="F579" s="857"/>
      <c r="G579" s="911"/>
      <c r="H579" s="910"/>
      <c r="I579" s="910"/>
      <c r="J579" s="860"/>
      <c r="K579" s="910"/>
    </row>
    <row r="580">
      <c r="A580" s="910"/>
      <c r="B580" s="911"/>
      <c r="C580" s="910"/>
      <c r="D580" s="910"/>
      <c r="E580" s="912"/>
      <c r="F580" s="857"/>
      <c r="G580" s="911"/>
      <c r="H580" s="910"/>
      <c r="I580" s="910"/>
      <c r="J580" s="860"/>
      <c r="K580" s="910"/>
    </row>
    <row r="581">
      <c r="A581" s="910"/>
      <c r="B581" s="911"/>
      <c r="C581" s="910"/>
      <c r="D581" s="910"/>
      <c r="E581" s="912"/>
      <c r="F581" s="857"/>
      <c r="G581" s="911"/>
      <c r="H581" s="910"/>
      <c r="I581" s="910"/>
      <c r="J581" s="860"/>
      <c r="K581" s="910"/>
    </row>
    <row r="582">
      <c r="A582" s="910"/>
      <c r="B582" s="911"/>
      <c r="C582" s="910"/>
      <c r="D582" s="910"/>
      <c r="E582" s="912"/>
      <c r="F582" s="857"/>
      <c r="G582" s="911"/>
      <c r="H582" s="910"/>
      <c r="I582" s="910"/>
      <c r="J582" s="860"/>
      <c r="K582" s="910"/>
    </row>
    <row r="583">
      <c r="A583" s="910"/>
      <c r="B583" s="911"/>
      <c r="C583" s="910"/>
      <c r="D583" s="910"/>
      <c r="E583" s="912"/>
      <c r="F583" s="857"/>
      <c r="G583" s="911"/>
      <c r="H583" s="910"/>
      <c r="I583" s="910"/>
      <c r="J583" s="860"/>
      <c r="K583" s="910"/>
    </row>
    <row r="584">
      <c r="A584" s="910"/>
      <c r="B584" s="911"/>
      <c r="C584" s="910"/>
      <c r="D584" s="910"/>
      <c r="E584" s="912"/>
      <c r="F584" s="857"/>
      <c r="G584" s="911"/>
      <c r="H584" s="910"/>
      <c r="I584" s="910"/>
      <c r="J584" s="860"/>
      <c r="K584" s="910"/>
    </row>
    <row r="585">
      <c r="A585" s="910"/>
      <c r="B585" s="911"/>
      <c r="C585" s="910"/>
      <c r="D585" s="910"/>
      <c r="E585" s="912"/>
      <c r="F585" s="857"/>
      <c r="G585" s="911"/>
      <c r="H585" s="910"/>
      <c r="I585" s="910"/>
      <c r="J585" s="860"/>
      <c r="K585" s="910"/>
    </row>
    <row r="586">
      <c r="A586" s="910"/>
      <c r="B586" s="911"/>
      <c r="C586" s="910"/>
      <c r="D586" s="910"/>
      <c r="E586" s="912"/>
      <c r="F586" s="857"/>
      <c r="G586" s="911"/>
      <c r="H586" s="910"/>
      <c r="I586" s="910"/>
      <c r="J586" s="860"/>
      <c r="K586" s="910"/>
    </row>
    <row r="587">
      <c r="A587" s="910"/>
      <c r="B587" s="911"/>
      <c r="C587" s="910"/>
      <c r="D587" s="910"/>
      <c r="E587" s="912"/>
      <c r="F587" s="857"/>
      <c r="G587" s="911"/>
      <c r="H587" s="910"/>
      <c r="I587" s="910"/>
      <c r="J587" s="860"/>
      <c r="K587" s="910"/>
    </row>
    <row r="588">
      <c r="A588" s="910"/>
      <c r="B588" s="911"/>
      <c r="C588" s="910"/>
      <c r="D588" s="910"/>
      <c r="E588" s="912"/>
      <c r="F588" s="857"/>
      <c r="G588" s="911"/>
      <c r="H588" s="910"/>
      <c r="I588" s="910"/>
      <c r="J588" s="860"/>
      <c r="K588" s="910"/>
    </row>
    <row r="589">
      <c r="A589" s="910"/>
      <c r="B589" s="911"/>
      <c r="C589" s="910"/>
      <c r="D589" s="910"/>
      <c r="E589" s="912"/>
      <c r="F589" s="857"/>
      <c r="G589" s="911"/>
      <c r="H589" s="910"/>
      <c r="I589" s="910"/>
      <c r="J589" s="860"/>
      <c r="K589" s="910"/>
    </row>
    <row r="590">
      <c r="A590" s="910"/>
      <c r="B590" s="911"/>
      <c r="C590" s="910"/>
      <c r="D590" s="910"/>
      <c r="E590" s="912"/>
      <c r="F590" s="857"/>
      <c r="G590" s="911"/>
      <c r="H590" s="910"/>
      <c r="I590" s="910"/>
      <c r="J590" s="860"/>
      <c r="K590" s="910"/>
    </row>
    <row r="591">
      <c r="A591" s="910"/>
      <c r="B591" s="911"/>
      <c r="C591" s="910"/>
      <c r="D591" s="910"/>
      <c r="E591" s="912"/>
      <c r="F591" s="857"/>
      <c r="G591" s="911"/>
      <c r="H591" s="910"/>
      <c r="I591" s="910"/>
      <c r="J591" s="860"/>
      <c r="K591" s="910"/>
    </row>
    <row r="592">
      <c r="A592" s="910"/>
      <c r="B592" s="911"/>
      <c r="C592" s="910"/>
      <c r="D592" s="910"/>
      <c r="E592" s="912"/>
      <c r="F592" s="857"/>
      <c r="G592" s="911"/>
      <c r="H592" s="910"/>
      <c r="I592" s="910"/>
      <c r="J592" s="860"/>
      <c r="K592" s="910"/>
    </row>
    <row r="593">
      <c r="A593" s="910"/>
      <c r="B593" s="911"/>
      <c r="C593" s="910"/>
      <c r="D593" s="910"/>
      <c r="E593" s="912"/>
      <c r="F593" s="857"/>
      <c r="G593" s="911"/>
      <c r="H593" s="910"/>
      <c r="I593" s="910"/>
      <c r="J593" s="860"/>
      <c r="K593" s="910"/>
    </row>
    <row r="594">
      <c r="A594" s="910"/>
      <c r="B594" s="911"/>
      <c r="C594" s="910"/>
      <c r="D594" s="910"/>
      <c r="E594" s="912"/>
      <c r="F594" s="857"/>
      <c r="G594" s="911"/>
      <c r="H594" s="910"/>
      <c r="I594" s="910"/>
      <c r="J594" s="860"/>
      <c r="K594" s="910"/>
    </row>
    <row r="595">
      <c r="A595" s="910"/>
      <c r="B595" s="911"/>
      <c r="C595" s="910"/>
      <c r="D595" s="910"/>
      <c r="E595" s="912"/>
      <c r="F595" s="857"/>
      <c r="G595" s="911"/>
      <c r="H595" s="910"/>
      <c r="I595" s="910"/>
      <c r="J595" s="860"/>
      <c r="K595" s="910"/>
    </row>
    <row r="596">
      <c r="A596" s="910"/>
      <c r="B596" s="911"/>
      <c r="C596" s="910"/>
      <c r="D596" s="910"/>
      <c r="E596" s="912"/>
      <c r="F596" s="857"/>
      <c r="G596" s="911"/>
      <c r="H596" s="910"/>
      <c r="I596" s="910"/>
      <c r="J596" s="860"/>
      <c r="K596" s="910"/>
    </row>
    <row r="597">
      <c r="A597" s="910"/>
      <c r="B597" s="911"/>
      <c r="C597" s="910"/>
      <c r="D597" s="910"/>
      <c r="E597" s="912"/>
      <c r="F597" s="857"/>
      <c r="G597" s="911"/>
      <c r="H597" s="910"/>
      <c r="I597" s="910"/>
      <c r="J597" s="860"/>
      <c r="K597" s="910"/>
    </row>
    <row r="598">
      <c r="A598" s="910"/>
      <c r="B598" s="911"/>
      <c r="C598" s="910"/>
      <c r="D598" s="910"/>
      <c r="E598" s="912"/>
      <c r="F598" s="857"/>
      <c r="G598" s="911"/>
      <c r="H598" s="910"/>
      <c r="I598" s="910"/>
      <c r="J598" s="860"/>
      <c r="K598" s="910"/>
    </row>
    <row r="599">
      <c r="A599" s="910"/>
      <c r="B599" s="911"/>
      <c r="C599" s="910"/>
      <c r="D599" s="910"/>
      <c r="E599" s="912"/>
      <c r="F599" s="857"/>
      <c r="G599" s="911"/>
      <c r="H599" s="910"/>
      <c r="I599" s="910"/>
      <c r="J599" s="860"/>
      <c r="K599" s="910"/>
    </row>
    <row r="600">
      <c r="A600" s="910"/>
      <c r="B600" s="911"/>
      <c r="C600" s="910"/>
      <c r="D600" s="910"/>
      <c r="E600" s="912"/>
      <c r="F600" s="857"/>
      <c r="G600" s="911"/>
      <c r="H600" s="910"/>
      <c r="I600" s="910"/>
      <c r="J600" s="860"/>
      <c r="K600" s="910"/>
    </row>
    <row r="601">
      <c r="A601" s="910"/>
      <c r="B601" s="911"/>
      <c r="C601" s="910"/>
      <c r="D601" s="910"/>
      <c r="E601" s="912"/>
      <c r="F601" s="857"/>
      <c r="G601" s="911"/>
      <c r="H601" s="910"/>
      <c r="I601" s="910"/>
      <c r="J601" s="860"/>
      <c r="K601" s="910"/>
    </row>
    <row r="602">
      <c r="A602" s="910"/>
      <c r="B602" s="911"/>
      <c r="C602" s="910"/>
      <c r="D602" s="910"/>
      <c r="E602" s="912"/>
      <c r="F602" s="857"/>
      <c r="G602" s="911"/>
      <c r="H602" s="910"/>
      <c r="I602" s="910"/>
      <c r="J602" s="860"/>
      <c r="K602" s="910"/>
    </row>
    <row r="603">
      <c r="A603" s="910"/>
      <c r="B603" s="911"/>
      <c r="C603" s="910"/>
      <c r="D603" s="910"/>
      <c r="E603" s="912"/>
      <c r="F603" s="857"/>
      <c r="G603" s="911"/>
      <c r="H603" s="910"/>
      <c r="I603" s="910"/>
      <c r="J603" s="860"/>
      <c r="K603" s="910"/>
    </row>
    <row r="604">
      <c r="A604" s="910"/>
      <c r="B604" s="911"/>
      <c r="C604" s="910"/>
      <c r="D604" s="910"/>
      <c r="E604" s="912"/>
      <c r="F604" s="857"/>
      <c r="G604" s="911"/>
      <c r="H604" s="910"/>
      <c r="I604" s="910"/>
      <c r="J604" s="860"/>
      <c r="K604" s="910"/>
    </row>
    <row r="605">
      <c r="A605" s="910"/>
      <c r="B605" s="911"/>
      <c r="C605" s="910"/>
      <c r="D605" s="910"/>
      <c r="E605" s="912"/>
      <c r="F605" s="857"/>
      <c r="G605" s="911"/>
      <c r="H605" s="910"/>
      <c r="I605" s="910"/>
      <c r="J605" s="860"/>
      <c r="K605" s="910"/>
    </row>
    <row r="606">
      <c r="A606" s="910"/>
      <c r="B606" s="911"/>
      <c r="C606" s="910"/>
      <c r="D606" s="910"/>
      <c r="E606" s="912"/>
      <c r="F606" s="857"/>
      <c r="G606" s="911"/>
      <c r="H606" s="910"/>
      <c r="I606" s="910"/>
      <c r="J606" s="860"/>
      <c r="K606" s="910"/>
    </row>
    <row r="607">
      <c r="A607" s="910"/>
      <c r="B607" s="911"/>
      <c r="C607" s="910"/>
      <c r="D607" s="910"/>
      <c r="E607" s="912"/>
      <c r="F607" s="857"/>
      <c r="G607" s="911"/>
      <c r="H607" s="910"/>
      <c r="I607" s="910"/>
      <c r="J607" s="860"/>
      <c r="K607" s="910"/>
    </row>
    <row r="608">
      <c r="A608" s="910"/>
      <c r="B608" s="911"/>
      <c r="C608" s="910"/>
      <c r="D608" s="910"/>
      <c r="E608" s="912"/>
      <c r="F608" s="857"/>
      <c r="G608" s="911"/>
      <c r="H608" s="910"/>
      <c r="I608" s="910"/>
      <c r="J608" s="860"/>
      <c r="K608" s="910"/>
    </row>
    <row r="609">
      <c r="A609" s="910"/>
      <c r="B609" s="911"/>
      <c r="C609" s="910"/>
      <c r="D609" s="910"/>
      <c r="E609" s="912"/>
      <c r="F609" s="857"/>
      <c r="G609" s="911"/>
      <c r="H609" s="910"/>
      <c r="I609" s="910"/>
      <c r="J609" s="860"/>
      <c r="K609" s="910"/>
    </row>
    <row r="610">
      <c r="A610" s="910"/>
      <c r="B610" s="911"/>
      <c r="C610" s="910"/>
      <c r="D610" s="910"/>
      <c r="E610" s="912"/>
      <c r="F610" s="857"/>
      <c r="G610" s="911"/>
      <c r="H610" s="910"/>
      <c r="I610" s="910"/>
      <c r="J610" s="860"/>
      <c r="K610" s="910"/>
    </row>
    <row r="611">
      <c r="A611" s="910"/>
      <c r="B611" s="911"/>
      <c r="C611" s="910"/>
      <c r="D611" s="910"/>
      <c r="E611" s="912"/>
      <c r="F611" s="857"/>
      <c r="G611" s="911"/>
      <c r="H611" s="910"/>
      <c r="I611" s="910"/>
      <c r="J611" s="860"/>
      <c r="K611" s="910"/>
    </row>
    <row r="612">
      <c r="A612" s="910"/>
      <c r="B612" s="911"/>
      <c r="C612" s="910"/>
      <c r="D612" s="910"/>
      <c r="E612" s="912"/>
      <c r="F612" s="857"/>
      <c r="G612" s="911"/>
      <c r="H612" s="910"/>
      <c r="I612" s="910"/>
      <c r="J612" s="860"/>
      <c r="K612" s="910"/>
    </row>
    <row r="613">
      <c r="A613" s="910"/>
      <c r="B613" s="911"/>
      <c r="C613" s="910"/>
      <c r="D613" s="910"/>
      <c r="E613" s="912"/>
      <c r="F613" s="857"/>
      <c r="G613" s="911"/>
      <c r="H613" s="910"/>
      <c r="I613" s="910"/>
      <c r="J613" s="860"/>
      <c r="K613" s="910"/>
    </row>
    <row r="614">
      <c r="A614" s="910"/>
      <c r="B614" s="911"/>
      <c r="C614" s="910"/>
      <c r="D614" s="910"/>
      <c r="E614" s="912"/>
      <c r="F614" s="857"/>
      <c r="G614" s="911"/>
      <c r="H614" s="910"/>
      <c r="I614" s="910"/>
      <c r="J614" s="860"/>
      <c r="K614" s="910"/>
    </row>
    <row r="615">
      <c r="A615" s="910"/>
      <c r="B615" s="911"/>
      <c r="C615" s="910"/>
      <c r="D615" s="910"/>
      <c r="E615" s="912"/>
      <c r="F615" s="857"/>
      <c r="G615" s="911"/>
      <c r="H615" s="910"/>
      <c r="I615" s="910"/>
      <c r="J615" s="860"/>
      <c r="K615" s="910"/>
    </row>
    <row r="616">
      <c r="A616" s="910"/>
      <c r="B616" s="911"/>
      <c r="C616" s="910"/>
      <c r="D616" s="910"/>
      <c r="E616" s="912"/>
      <c r="F616" s="857"/>
      <c r="G616" s="911"/>
      <c r="H616" s="910"/>
      <c r="I616" s="910"/>
      <c r="J616" s="860"/>
      <c r="K616" s="910"/>
    </row>
    <row r="617">
      <c r="A617" s="910"/>
      <c r="B617" s="911"/>
      <c r="C617" s="910"/>
      <c r="D617" s="910"/>
      <c r="E617" s="912"/>
      <c r="F617" s="857"/>
      <c r="G617" s="911"/>
      <c r="H617" s="910"/>
      <c r="I617" s="910"/>
      <c r="J617" s="860"/>
      <c r="K617" s="910"/>
    </row>
    <row r="618">
      <c r="A618" s="910"/>
      <c r="B618" s="911"/>
      <c r="C618" s="910"/>
      <c r="D618" s="910"/>
      <c r="E618" s="912"/>
      <c r="F618" s="857"/>
      <c r="G618" s="911"/>
      <c r="H618" s="910"/>
      <c r="I618" s="910"/>
      <c r="J618" s="860"/>
      <c r="K618" s="910"/>
    </row>
    <row r="619">
      <c r="A619" s="910"/>
      <c r="B619" s="911"/>
      <c r="C619" s="910"/>
      <c r="D619" s="910"/>
      <c r="E619" s="912"/>
      <c r="F619" s="857"/>
      <c r="G619" s="911"/>
      <c r="H619" s="910"/>
      <c r="I619" s="910"/>
      <c r="J619" s="860"/>
      <c r="K619" s="910"/>
    </row>
    <row r="620">
      <c r="A620" s="910"/>
      <c r="B620" s="911"/>
      <c r="C620" s="910"/>
      <c r="D620" s="910"/>
      <c r="E620" s="912"/>
      <c r="F620" s="857"/>
      <c r="G620" s="911"/>
      <c r="H620" s="910"/>
      <c r="I620" s="910"/>
      <c r="J620" s="860"/>
      <c r="K620" s="910"/>
    </row>
    <row r="621">
      <c r="A621" s="910"/>
      <c r="B621" s="911"/>
      <c r="C621" s="910"/>
      <c r="D621" s="910"/>
      <c r="E621" s="912"/>
      <c r="F621" s="857"/>
      <c r="G621" s="911"/>
      <c r="H621" s="910"/>
      <c r="I621" s="910"/>
      <c r="J621" s="860"/>
      <c r="K621" s="910"/>
    </row>
    <row r="622">
      <c r="A622" s="910"/>
      <c r="B622" s="911"/>
      <c r="C622" s="910"/>
      <c r="D622" s="910"/>
      <c r="E622" s="912"/>
      <c r="F622" s="857"/>
      <c r="G622" s="911"/>
      <c r="H622" s="910"/>
      <c r="I622" s="910"/>
      <c r="J622" s="860"/>
      <c r="K622" s="910"/>
    </row>
    <row r="623">
      <c r="A623" s="910"/>
      <c r="B623" s="911"/>
      <c r="C623" s="910"/>
      <c r="D623" s="910"/>
      <c r="E623" s="912"/>
      <c r="F623" s="857"/>
      <c r="G623" s="911"/>
      <c r="H623" s="910"/>
      <c r="I623" s="910"/>
      <c r="J623" s="860"/>
      <c r="K623" s="910"/>
    </row>
    <row r="624">
      <c r="A624" s="910"/>
      <c r="B624" s="911"/>
      <c r="C624" s="910"/>
      <c r="D624" s="910"/>
      <c r="E624" s="912"/>
      <c r="F624" s="857"/>
      <c r="G624" s="911"/>
      <c r="H624" s="910"/>
      <c r="I624" s="910"/>
      <c r="J624" s="860"/>
      <c r="K624" s="910"/>
    </row>
    <row r="625">
      <c r="A625" s="910"/>
      <c r="B625" s="911"/>
      <c r="C625" s="910"/>
      <c r="D625" s="910"/>
      <c r="E625" s="912"/>
      <c r="F625" s="857"/>
      <c r="G625" s="911"/>
      <c r="H625" s="910"/>
      <c r="I625" s="910"/>
      <c r="J625" s="860"/>
      <c r="K625" s="910"/>
    </row>
    <row r="626">
      <c r="A626" s="910"/>
      <c r="B626" s="911"/>
      <c r="C626" s="910"/>
      <c r="D626" s="910"/>
      <c r="E626" s="912"/>
      <c r="F626" s="857"/>
      <c r="G626" s="911"/>
      <c r="H626" s="910"/>
      <c r="I626" s="910"/>
      <c r="J626" s="860"/>
      <c r="K626" s="910"/>
    </row>
    <row r="627">
      <c r="A627" s="910"/>
      <c r="B627" s="911"/>
      <c r="C627" s="910"/>
      <c r="D627" s="910"/>
      <c r="E627" s="912"/>
      <c r="F627" s="857"/>
      <c r="G627" s="911"/>
      <c r="H627" s="910"/>
      <c r="I627" s="910"/>
      <c r="J627" s="860"/>
      <c r="K627" s="910"/>
    </row>
    <row r="628">
      <c r="A628" s="910"/>
      <c r="B628" s="911"/>
      <c r="C628" s="910"/>
      <c r="D628" s="910"/>
      <c r="E628" s="912"/>
      <c r="F628" s="857"/>
      <c r="G628" s="911"/>
      <c r="H628" s="910"/>
      <c r="I628" s="910"/>
      <c r="J628" s="860"/>
      <c r="K628" s="910"/>
    </row>
    <row r="629">
      <c r="A629" s="910"/>
      <c r="B629" s="911"/>
      <c r="C629" s="910"/>
      <c r="D629" s="910"/>
      <c r="E629" s="912"/>
      <c r="F629" s="857"/>
      <c r="G629" s="911"/>
      <c r="H629" s="910"/>
      <c r="I629" s="910"/>
      <c r="J629" s="860"/>
      <c r="K629" s="910"/>
    </row>
    <row r="630">
      <c r="A630" s="910"/>
      <c r="B630" s="911"/>
      <c r="C630" s="910"/>
      <c r="D630" s="910"/>
      <c r="E630" s="912"/>
      <c r="F630" s="857"/>
      <c r="G630" s="911"/>
      <c r="H630" s="910"/>
      <c r="I630" s="910"/>
      <c r="J630" s="860"/>
      <c r="K630" s="910"/>
    </row>
    <row r="631">
      <c r="A631" s="910"/>
      <c r="B631" s="911"/>
      <c r="C631" s="910"/>
      <c r="D631" s="910"/>
      <c r="E631" s="912"/>
      <c r="F631" s="857"/>
      <c r="G631" s="911"/>
      <c r="H631" s="910"/>
      <c r="I631" s="910"/>
      <c r="J631" s="860"/>
      <c r="K631" s="910"/>
    </row>
    <row r="632">
      <c r="A632" s="910"/>
      <c r="B632" s="911"/>
      <c r="C632" s="910"/>
      <c r="D632" s="910"/>
      <c r="E632" s="912"/>
      <c r="F632" s="857"/>
      <c r="G632" s="911"/>
      <c r="H632" s="910"/>
      <c r="I632" s="910"/>
      <c r="J632" s="860"/>
      <c r="K632" s="910"/>
    </row>
    <row r="633">
      <c r="A633" s="910"/>
      <c r="B633" s="911"/>
      <c r="C633" s="910"/>
      <c r="D633" s="910"/>
      <c r="E633" s="912"/>
      <c r="F633" s="857"/>
      <c r="G633" s="911"/>
      <c r="H633" s="910"/>
      <c r="I633" s="910"/>
      <c r="J633" s="860"/>
      <c r="K633" s="910"/>
    </row>
    <row r="634">
      <c r="A634" s="910"/>
      <c r="B634" s="911"/>
      <c r="C634" s="910"/>
      <c r="D634" s="910"/>
      <c r="E634" s="912"/>
      <c r="F634" s="857"/>
      <c r="G634" s="911"/>
      <c r="H634" s="910"/>
      <c r="I634" s="910"/>
      <c r="J634" s="860"/>
      <c r="K634" s="910"/>
    </row>
    <row r="635">
      <c r="A635" s="910"/>
      <c r="B635" s="911"/>
      <c r="C635" s="910"/>
      <c r="D635" s="910"/>
      <c r="E635" s="912"/>
      <c r="F635" s="857"/>
      <c r="G635" s="911"/>
      <c r="H635" s="910"/>
      <c r="I635" s="910"/>
      <c r="J635" s="860"/>
      <c r="K635" s="910"/>
    </row>
    <row r="636">
      <c r="A636" s="910"/>
      <c r="B636" s="911"/>
      <c r="C636" s="910"/>
      <c r="D636" s="910"/>
      <c r="E636" s="912"/>
      <c r="F636" s="857"/>
      <c r="G636" s="911"/>
      <c r="H636" s="910"/>
      <c r="I636" s="910"/>
      <c r="J636" s="860"/>
      <c r="K636" s="910"/>
    </row>
    <row r="637">
      <c r="A637" s="910"/>
      <c r="B637" s="911"/>
      <c r="C637" s="910"/>
      <c r="D637" s="910"/>
      <c r="E637" s="912"/>
      <c r="F637" s="857"/>
      <c r="G637" s="911"/>
      <c r="H637" s="910"/>
      <c r="I637" s="910"/>
      <c r="J637" s="860"/>
      <c r="K637" s="910"/>
    </row>
    <row r="638">
      <c r="A638" s="910"/>
      <c r="B638" s="911"/>
      <c r="C638" s="910"/>
      <c r="D638" s="910"/>
      <c r="E638" s="912"/>
      <c r="F638" s="857"/>
      <c r="G638" s="911"/>
      <c r="H638" s="910"/>
      <c r="I638" s="910"/>
      <c r="J638" s="860"/>
      <c r="K638" s="910"/>
    </row>
    <row r="639">
      <c r="A639" s="910"/>
      <c r="B639" s="911"/>
      <c r="C639" s="910"/>
      <c r="D639" s="910"/>
      <c r="E639" s="912"/>
      <c r="F639" s="857"/>
      <c r="G639" s="911"/>
      <c r="H639" s="910"/>
      <c r="I639" s="910"/>
      <c r="J639" s="860"/>
      <c r="K639" s="910"/>
    </row>
    <row r="640">
      <c r="A640" s="910"/>
      <c r="B640" s="911"/>
      <c r="C640" s="910"/>
      <c r="D640" s="910"/>
      <c r="E640" s="912"/>
      <c r="F640" s="857"/>
      <c r="G640" s="911"/>
      <c r="H640" s="910"/>
      <c r="I640" s="910"/>
      <c r="J640" s="860"/>
      <c r="K640" s="910"/>
    </row>
    <row r="641">
      <c r="A641" s="910"/>
      <c r="B641" s="911"/>
      <c r="C641" s="910"/>
      <c r="D641" s="910"/>
      <c r="E641" s="912"/>
      <c r="F641" s="857"/>
      <c r="G641" s="911"/>
      <c r="H641" s="910"/>
      <c r="I641" s="910"/>
      <c r="J641" s="860"/>
      <c r="K641" s="910"/>
    </row>
    <row r="642">
      <c r="A642" s="910"/>
      <c r="B642" s="911"/>
      <c r="C642" s="910"/>
      <c r="D642" s="910"/>
      <c r="E642" s="912"/>
      <c r="F642" s="857"/>
      <c r="G642" s="911"/>
      <c r="H642" s="910"/>
      <c r="I642" s="910"/>
      <c r="J642" s="860"/>
      <c r="K642" s="910"/>
    </row>
    <row r="643">
      <c r="A643" s="910"/>
      <c r="B643" s="911"/>
      <c r="C643" s="910"/>
      <c r="D643" s="910"/>
      <c r="E643" s="912"/>
      <c r="F643" s="857"/>
      <c r="G643" s="911"/>
      <c r="H643" s="910"/>
      <c r="I643" s="910"/>
      <c r="J643" s="860"/>
      <c r="K643" s="910"/>
    </row>
    <row r="644">
      <c r="A644" s="910"/>
      <c r="B644" s="911"/>
      <c r="C644" s="910"/>
      <c r="D644" s="910"/>
      <c r="E644" s="912"/>
      <c r="F644" s="857"/>
      <c r="G644" s="911"/>
      <c r="H644" s="910"/>
      <c r="I644" s="910"/>
      <c r="J644" s="860"/>
      <c r="K644" s="910"/>
    </row>
    <row r="645">
      <c r="A645" s="910"/>
      <c r="B645" s="911"/>
      <c r="C645" s="910"/>
      <c r="D645" s="910"/>
      <c r="E645" s="912"/>
      <c r="F645" s="857"/>
      <c r="G645" s="911"/>
      <c r="H645" s="910"/>
      <c r="I645" s="910"/>
      <c r="J645" s="860"/>
      <c r="K645" s="910"/>
    </row>
    <row r="646">
      <c r="A646" s="910"/>
      <c r="B646" s="911"/>
      <c r="C646" s="910"/>
      <c r="D646" s="910"/>
      <c r="E646" s="912"/>
      <c r="F646" s="857"/>
      <c r="G646" s="911"/>
      <c r="H646" s="910"/>
      <c r="I646" s="910"/>
      <c r="J646" s="860"/>
      <c r="K646" s="910"/>
    </row>
    <row r="647">
      <c r="A647" s="910"/>
      <c r="B647" s="911"/>
      <c r="C647" s="910"/>
      <c r="D647" s="910"/>
      <c r="E647" s="912"/>
      <c r="F647" s="857"/>
      <c r="G647" s="911"/>
      <c r="H647" s="910"/>
      <c r="I647" s="910"/>
      <c r="J647" s="860"/>
      <c r="K647" s="910"/>
    </row>
    <row r="648">
      <c r="A648" s="910"/>
      <c r="B648" s="911"/>
      <c r="C648" s="910"/>
      <c r="D648" s="910"/>
      <c r="E648" s="912"/>
      <c r="F648" s="857"/>
      <c r="G648" s="911"/>
      <c r="H648" s="910"/>
      <c r="I648" s="910"/>
      <c r="J648" s="860"/>
      <c r="K648" s="910"/>
    </row>
    <row r="649">
      <c r="A649" s="910"/>
      <c r="B649" s="911"/>
      <c r="C649" s="910"/>
      <c r="D649" s="910"/>
      <c r="E649" s="912"/>
      <c r="F649" s="857"/>
      <c r="G649" s="911"/>
      <c r="H649" s="910"/>
      <c r="I649" s="910"/>
      <c r="J649" s="860"/>
      <c r="K649" s="910"/>
    </row>
    <row r="650">
      <c r="A650" s="910"/>
      <c r="B650" s="911"/>
      <c r="C650" s="910"/>
      <c r="D650" s="910"/>
      <c r="E650" s="912"/>
      <c r="F650" s="857"/>
      <c r="G650" s="911"/>
      <c r="H650" s="910"/>
      <c r="I650" s="910"/>
      <c r="J650" s="860"/>
      <c r="K650" s="910"/>
    </row>
    <row r="651">
      <c r="A651" s="910"/>
      <c r="B651" s="911"/>
      <c r="C651" s="910"/>
      <c r="D651" s="910"/>
      <c r="E651" s="912"/>
      <c r="F651" s="857"/>
      <c r="G651" s="911"/>
      <c r="H651" s="910"/>
      <c r="I651" s="910"/>
      <c r="J651" s="860"/>
      <c r="K651" s="910"/>
    </row>
    <row r="652">
      <c r="A652" s="910"/>
      <c r="B652" s="911"/>
      <c r="C652" s="910"/>
      <c r="D652" s="910"/>
      <c r="E652" s="912"/>
      <c r="F652" s="857"/>
      <c r="G652" s="911"/>
      <c r="H652" s="910"/>
      <c r="I652" s="910"/>
      <c r="J652" s="860"/>
      <c r="K652" s="910"/>
    </row>
    <row r="653">
      <c r="A653" s="910"/>
      <c r="B653" s="911"/>
      <c r="C653" s="910"/>
      <c r="D653" s="910"/>
      <c r="E653" s="912"/>
      <c r="F653" s="857"/>
      <c r="G653" s="911"/>
      <c r="H653" s="910"/>
      <c r="I653" s="910"/>
      <c r="J653" s="860"/>
      <c r="K653" s="910"/>
    </row>
    <row r="654">
      <c r="A654" s="910"/>
      <c r="B654" s="911"/>
      <c r="C654" s="910"/>
      <c r="D654" s="910"/>
      <c r="E654" s="912"/>
      <c r="F654" s="857"/>
      <c r="G654" s="911"/>
      <c r="H654" s="910"/>
      <c r="I654" s="910"/>
      <c r="J654" s="860"/>
      <c r="K654" s="910"/>
    </row>
    <row r="655">
      <c r="A655" s="910"/>
      <c r="B655" s="911"/>
      <c r="C655" s="910"/>
      <c r="D655" s="910"/>
      <c r="E655" s="912"/>
      <c r="F655" s="857"/>
      <c r="G655" s="911"/>
      <c r="H655" s="910"/>
      <c r="I655" s="910"/>
      <c r="J655" s="860"/>
      <c r="K655" s="910"/>
    </row>
    <row r="656">
      <c r="A656" s="910"/>
      <c r="B656" s="911"/>
      <c r="C656" s="910"/>
      <c r="D656" s="910"/>
      <c r="E656" s="912"/>
      <c r="F656" s="857"/>
      <c r="G656" s="911"/>
      <c r="H656" s="910"/>
      <c r="I656" s="910"/>
      <c r="J656" s="860"/>
      <c r="K656" s="910"/>
    </row>
    <row r="657">
      <c r="A657" s="910"/>
      <c r="B657" s="911"/>
      <c r="C657" s="910"/>
      <c r="D657" s="910"/>
      <c r="E657" s="912"/>
      <c r="F657" s="857"/>
      <c r="G657" s="911"/>
      <c r="H657" s="910"/>
      <c r="I657" s="910"/>
      <c r="J657" s="860"/>
      <c r="K657" s="910"/>
    </row>
    <row r="658">
      <c r="A658" s="910"/>
      <c r="B658" s="911"/>
      <c r="C658" s="910"/>
      <c r="D658" s="910"/>
      <c r="E658" s="912"/>
      <c r="F658" s="857"/>
      <c r="G658" s="911"/>
      <c r="H658" s="910"/>
      <c r="I658" s="910"/>
      <c r="J658" s="860"/>
      <c r="K658" s="910"/>
    </row>
    <row r="659">
      <c r="A659" s="910"/>
      <c r="B659" s="911"/>
      <c r="C659" s="910"/>
      <c r="D659" s="910"/>
      <c r="E659" s="912"/>
      <c r="F659" s="857"/>
      <c r="G659" s="911"/>
      <c r="H659" s="910"/>
      <c r="I659" s="910"/>
      <c r="J659" s="860"/>
      <c r="K659" s="910"/>
    </row>
    <row r="660">
      <c r="A660" s="910"/>
      <c r="B660" s="911"/>
      <c r="C660" s="910"/>
      <c r="D660" s="910"/>
      <c r="E660" s="912"/>
      <c r="F660" s="857"/>
      <c r="G660" s="911"/>
      <c r="H660" s="910"/>
      <c r="I660" s="910"/>
      <c r="J660" s="860"/>
      <c r="K660" s="910"/>
    </row>
    <row r="661">
      <c r="A661" s="910"/>
      <c r="B661" s="911"/>
      <c r="C661" s="910"/>
      <c r="D661" s="910"/>
      <c r="E661" s="912"/>
      <c r="F661" s="857"/>
      <c r="G661" s="911"/>
      <c r="H661" s="910"/>
      <c r="I661" s="910"/>
      <c r="J661" s="860"/>
      <c r="K661" s="910"/>
    </row>
    <row r="662">
      <c r="A662" s="910"/>
      <c r="B662" s="911"/>
      <c r="C662" s="910"/>
      <c r="D662" s="910"/>
      <c r="E662" s="912"/>
      <c r="F662" s="857"/>
      <c r="G662" s="911"/>
      <c r="H662" s="910"/>
      <c r="I662" s="910"/>
      <c r="J662" s="860"/>
      <c r="K662" s="910"/>
    </row>
    <row r="663">
      <c r="A663" s="910"/>
      <c r="B663" s="911"/>
      <c r="C663" s="910"/>
      <c r="D663" s="910"/>
      <c r="E663" s="912"/>
      <c r="F663" s="857"/>
      <c r="G663" s="911"/>
      <c r="H663" s="910"/>
      <c r="I663" s="910"/>
      <c r="J663" s="860"/>
      <c r="K663" s="910"/>
    </row>
    <row r="664">
      <c r="A664" s="910"/>
      <c r="B664" s="911"/>
      <c r="C664" s="910"/>
      <c r="D664" s="910"/>
      <c r="E664" s="912"/>
      <c r="F664" s="857"/>
      <c r="G664" s="911"/>
      <c r="H664" s="910"/>
      <c r="I664" s="910"/>
      <c r="J664" s="860"/>
      <c r="K664" s="910"/>
    </row>
    <row r="665">
      <c r="A665" s="910"/>
      <c r="B665" s="911"/>
      <c r="C665" s="910"/>
      <c r="D665" s="910"/>
      <c r="E665" s="912"/>
      <c r="F665" s="857"/>
      <c r="G665" s="911"/>
      <c r="H665" s="910"/>
      <c r="I665" s="910"/>
      <c r="J665" s="860"/>
      <c r="K665" s="910"/>
    </row>
    <row r="666">
      <c r="A666" s="910"/>
      <c r="B666" s="911"/>
      <c r="C666" s="910"/>
      <c r="D666" s="910"/>
      <c r="E666" s="912"/>
      <c r="F666" s="857"/>
      <c r="G666" s="911"/>
      <c r="H666" s="910"/>
      <c r="I666" s="910"/>
      <c r="J666" s="860"/>
      <c r="K666" s="910"/>
    </row>
    <row r="667">
      <c r="A667" s="910"/>
      <c r="B667" s="911"/>
      <c r="C667" s="910"/>
      <c r="D667" s="910"/>
      <c r="E667" s="912"/>
      <c r="F667" s="857"/>
      <c r="G667" s="911"/>
      <c r="H667" s="910"/>
      <c r="I667" s="910"/>
      <c r="J667" s="860"/>
      <c r="K667" s="910"/>
    </row>
    <row r="668">
      <c r="A668" s="910"/>
      <c r="B668" s="911"/>
      <c r="C668" s="910"/>
      <c r="D668" s="910"/>
      <c r="E668" s="912"/>
      <c r="F668" s="857"/>
      <c r="G668" s="911"/>
      <c r="H668" s="910"/>
      <c r="I668" s="910"/>
      <c r="J668" s="860"/>
      <c r="K668" s="910"/>
    </row>
    <row r="669">
      <c r="A669" s="910"/>
      <c r="B669" s="911"/>
      <c r="C669" s="910"/>
      <c r="D669" s="910"/>
      <c r="E669" s="912"/>
      <c r="F669" s="857"/>
      <c r="G669" s="911"/>
      <c r="H669" s="910"/>
      <c r="I669" s="910"/>
      <c r="J669" s="860"/>
      <c r="K669" s="910"/>
    </row>
    <row r="670">
      <c r="A670" s="910"/>
      <c r="B670" s="911"/>
      <c r="C670" s="910"/>
      <c r="D670" s="910"/>
      <c r="E670" s="912"/>
      <c r="F670" s="857"/>
      <c r="G670" s="911"/>
      <c r="H670" s="910"/>
      <c r="I670" s="910"/>
      <c r="J670" s="860"/>
      <c r="K670" s="910"/>
    </row>
    <row r="671">
      <c r="A671" s="910"/>
      <c r="B671" s="911"/>
      <c r="C671" s="910"/>
      <c r="D671" s="910"/>
      <c r="E671" s="912"/>
      <c r="F671" s="857"/>
      <c r="G671" s="911"/>
      <c r="H671" s="910"/>
      <c r="I671" s="910"/>
      <c r="J671" s="860"/>
      <c r="K671" s="910"/>
    </row>
    <row r="672">
      <c r="A672" s="910"/>
      <c r="B672" s="911"/>
      <c r="C672" s="910"/>
      <c r="D672" s="910"/>
      <c r="E672" s="912"/>
      <c r="F672" s="857"/>
      <c r="G672" s="911"/>
      <c r="H672" s="910"/>
      <c r="I672" s="910"/>
      <c r="J672" s="860"/>
      <c r="K672" s="910"/>
    </row>
    <row r="673">
      <c r="A673" s="910"/>
      <c r="B673" s="911"/>
      <c r="C673" s="910"/>
      <c r="D673" s="910"/>
      <c r="E673" s="912"/>
      <c r="F673" s="857"/>
      <c r="G673" s="911"/>
      <c r="H673" s="910"/>
      <c r="I673" s="910"/>
      <c r="J673" s="860"/>
      <c r="K673" s="910"/>
    </row>
    <row r="674">
      <c r="A674" s="910"/>
      <c r="B674" s="911"/>
      <c r="C674" s="910"/>
      <c r="D674" s="910"/>
      <c r="E674" s="912"/>
      <c r="F674" s="857"/>
      <c r="G674" s="911"/>
      <c r="H674" s="910"/>
      <c r="I674" s="910"/>
      <c r="J674" s="860"/>
      <c r="K674" s="910"/>
    </row>
    <row r="675">
      <c r="A675" s="910"/>
      <c r="B675" s="911"/>
      <c r="C675" s="910"/>
      <c r="D675" s="910"/>
      <c r="E675" s="912"/>
      <c r="F675" s="857"/>
      <c r="G675" s="911"/>
      <c r="H675" s="910"/>
      <c r="I675" s="910"/>
      <c r="J675" s="860"/>
      <c r="K675" s="910"/>
    </row>
    <row r="676">
      <c r="A676" s="910"/>
      <c r="B676" s="911"/>
      <c r="C676" s="910"/>
      <c r="D676" s="910"/>
      <c r="E676" s="912"/>
      <c r="F676" s="857"/>
      <c r="G676" s="911"/>
      <c r="H676" s="910"/>
      <c r="I676" s="910"/>
      <c r="J676" s="860"/>
      <c r="K676" s="910"/>
    </row>
    <row r="677">
      <c r="A677" s="910"/>
      <c r="B677" s="911"/>
      <c r="C677" s="910"/>
      <c r="D677" s="910"/>
      <c r="E677" s="912"/>
      <c r="F677" s="857"/>
      <c r="G677" s="911"/>
      <c r="H677" s="910"/>
      <c r="I677" s="910"/>
      <c r="J677" s="860"/>
      <c r="K677" s="910"/>
    </row>
    <row r="678">
      <c r="A678" s="910"/>
      <c r="B678" s="911"/>
      <c r="C678" s="910"/>
      <c r="D678" s="910"/>
      <c r="E678" s="912"/>
      <c r="F678" s="857"/>
      <c r="G678" s="911"/>
      <c r="H678" s="910"/>
      <c r="I678" s="910"/>
      <c r="J678" s="860"/>
      <c r="K678" s="910"/>
    </row>
    <row r="679">
      <c r="A679" s="910"/>
      <c r="B679" s="911"/>
      <c r="C679" s="910"/>
      <c r="D679" s="910"/>
      <c r="E679" s="912"/>
      <c r="F679" s="857"/>
      <c r="G679" s="911"/>
      <c r="H679" s="910"/>
      <c r="I679" s="910"/>
      <c r="J679" s="860"/>
      <c r="K679" s="910"/>
    </row>
    <row r="680">
      <c r="A680" s="910"/>
      <c r="B680" s="911"/>
      <c r="C680" s="910"/>
      <c r="D680" s="910"/>
      <c r="E680" s="912"/>
      <c r="F680" s="857"/>
      <c r="G680" s="911"/>
      <c r="H680" s="910"/>
      <c r="I680" s="910"/>
      <c r="J680" s="860"/>
      <c r="K680" s="910"/>
    </row>
    <row r="681">
      <c r="A681" s="910"/>
      <c r="B681" s="911"/>
      <c r="C681" s="910"/>
      <c r="D681" s="910"/>
      <c r="E681" s="912"/>
      <c r="F681" s="857"/>
      <c r="G681" s="911"/>
      <c r="H681" s="910"/>
      <c r="I681" s="910"/>
      <c r="J681" s="860"/>
      <c r="K681" s="910"/>
    </row>
    <row r="682">
      <c r="A682" s="910"/>
      <c r="B682" s="911"/>
      <c r="C682" s="910"/>
      <c r="D682" s="910"/>
      <c r="E682" s="912"/>
      <c r="F682" s="857"/>
      <c r="G682" s="911"/>
      <c r="H682" s="910"/>
      <c r="I682" s="910"/>
      <c r="J682" s="860"/>
      <c r="K682" s="910"/>
    </row>
    <row r="683">
      <c r="A683" s="910"/>
      <c r="B683" s="911"/>
      <c r="C683" s="910"/>
      <c r="D683" s="910"/>
      <c r="E683" s="912"/>
      <c r="F683" s="857"/>
      <c r="G683" s="911"/>
      <c r="H683" s="910"/>
      <c r="I683" s="910"/>
      <c r="J683" s="860"/>
      <c r="K683" s="910"/>
    </row>
    <row r="684">
      <c r="A684" s="910"/>
      <c r="B684" s="911"/>
      <c r="C684" s="910"/>
      <c r="D684" s="910"/>
      <c r="E684" s="912"/>
      <c r="F684" s="857"/>
      <c r="G684" s="911"/>
      <c r="H684" s="910"/>
      <c r="I684" s="910"/>
      <c r="J684" s="860"/>
      <c r="K684" s="910"/>
    </row>
    <row r="685">
      <c r="A685" s="910"/>
      <c r="B685" s="911"/>
      <c r="C685" s="910"/>
      <c r="D685" s="910"/>
      <c r="E685" s="912"/>
      <c r="F685" s="857"/>
      <c r="G685" s="911"/>
      <c r="H685" s="910"/>
      <c r="I685" s="910"/>
      <c r="J685" s="860"/>
      <c r="K685" s="910"/>
    </row>
    <row r="686">
      <c r="A686" s="910"/>
      <c r="B686" s="911"/>
      <c r="C686" s="910"/>
      <c r="D686" s="910"/>
      <c r="E686" s="912"/>
      <c r="F686" s="857"/>
      <c r="G686" s="911"/>
      <c r="H686" s="910"/>
      <c r="I686" s="910"/>
      <c r="J686" s="860"/>
      <c r="K686" s="910"/>
    </row>
    <row r="687">
      <c r="A687" s="910"/>
      <c r="B687" s="911"/>
      <c r="C687" s="910"/>
      <c r="D687" s="910"/>
      <c r="E687" s="912"/>
      <c r="F687" s="857"/>
      <c r="G687" s="911"/>
      <c r="H687" s="910"/>
      <c r="I687" s="910"/>
      <c r="J687" s="860"/>
      <c r="K687" s="910"/>
    </row>
    <row r="688">
      <c r="A688" s="910"/>
      <c r="B688" s="911"/>
      <c r="C688" s="910"/>
      <c r="D688" s="910"/>
      <c r="E688" s="912"/>
      <c r="F688" s="857"/>
      <c r="G688" s="911"/>
      <c r="H688" s="910"/>
      <c r="I688" s="910"/>
      <c r="J688" s="860"/>
      <c r="K688" s="910"/>
    </row>
    <row r="689">
      <c r="A689" s="910"/>
      <c r="B689" s="911"/>
      <c r="C689" s="910"/>
      <c r="D689" s="910"/>
      <c r="E689" s="912"/>
      <c r="F689" s="857"/>
      <c r="G689" s="911"/>
      <c r="H689" s="910"/>
      <c r="I689" s="910"/>
      <c r="J689" s="860"/>
      <c r="K689" s="910"/>
    </row>
    <row r="690">
      <c r="A690" s="910"/>
      <c r="B690" s="911"/>
      <c r="C690" s="910"/>
      <c r="D690" s="910"/>
      <c r="E690" s="912"/>
      <c r="F690" s="857"/>
      <c r="G690" s="911"/>
      <c r="H690" s="910"/>
      <c r="I690" s="910"/>
      <c r="J690" s="860"/>
      <c r="K690" s="910"/>
    </row>
    <row r="691">
      <c r="A691" s="910"/>
      <c r="B691" s="911"/>
      <c r="C691" s="910"/>
      <c r="D691" s="910"/>
      <c r="E691" s="912"/>
      <c r="F691" s="857"/>
      <c r="G691" s="911"/>
      <c r="H691" s="910"/>
      <c r="I691" s="910"/>
      <c r="J691" s="860"/>
      <c r="K691" s="910"/>
    </row>
    <row r="692">
      <c r="A692" s="910"/>
      <c r="B692" s="911"/>
      <c r="C692" s="910"/>
      <c r="D692" s="910"/>
      <c r="E692" s="912"/>
      <c r="F692" s="857"/>
      <c r="G692" s="911"/>
      <c r="H692" s="910"/>
      <c r="I692" s="910"/>
      <c r="J692" s="860"/>
      <c r="K692" s="910"/>
    </row>
    <row r="693">
      <c r="A693" s="910"/>
      <c r="B693" s="911"/>
      <c r="C693" s="910"/>
      <c r="D693" s="910"/>
      <c r="E693" s="912"/>
      <c r="F693" s="857"/>
      <c r="G693" s="911"/>
      <c r="H693" s="910"/>
      <c r="I693" s="910"/>
      <c r="J693" s="860"/>
      <c r="K693" s="910"/>
    </row>
    <row r="694">
      <c r="A694" s="910"/>
      <c r="B694" s="911"/>
      <c r="C694" s="910"/>
      <c r="D694" s="910"/>
      <c r="E694" s="912"/>
      <c r="F694" s="857"/>
      <c r="G694" s="911"/>
      <c r="H694" s="910"/>
      <c r="I694" s="910"/>
      <c r="J694" s="860"/>
      <c r="K694" s="910"/>
    </row>
    <row r="695">
      <c r="A695" s="910"/>
      <c r="B695" s="911"/>
      <c r="C695" s="910"/>
      <c r="D695" s="910"/>
      <c r="E695" s="912"/>
      <c r="F695" s="857"/>
      <c r="G695" s="911"/>
      <c r="H695" s="910"/>
      <c r="I695" s="910"/>
      <c r="J695" s="860"/>
      <c r="K695" s="910"/>
    </row>
    <row r="696">
      <c r="A696" s="910"/>
      <c r="B696" s="911"/>
      <c r="C696" s="910"/>
      <c r="D696" s="910"/>
      <c r="E696" s="912"/>
      <c r="F696" s="857"/>
      <c r="G696" s="911"/>
      <c r="H696" s="910"/>
      <c r="I696" s="910"/>
      <c r="J696" s="860"/>
      <c r="K696" s="910"/>
    </row>
    <row r="697">
      <c r="A697" s="910"/>
      <c r="B697" s="911"/>
      <c r="C697" s="910"/>
      <c r="D697" s="910"/>
      <c r="E697" s="912"/>
      <c r="F697" s="857"/>
      <c r="G697" s="911"/>
      <c r="H697" s="910"/>
      <c r="I697" s="910"/>
      <c r="J697" s="860"/>
      <c r="K697" s="910"/>
    </row>
    <row r="698">
      <c r="A698" s="910"/>
      <c r="B698" s="911"/>
      <c r="C698" s="910"/>
      <c r="D698" s="910"/>
      <c r="E698" s="912"/>
      <c r="F698" s="857"/>
      <c r="G698" s="911"/>
      <c r="H698" s="910"/>
      <c r="I698" s="910"/>
      <c r="J698" s="860"/>
      <c r="K698" s="910"/>
    </row>
    <row r="699">
      <c r="A699" s="910"/>
      <c r="B699" s="911"/>
      <c r="C699" s="910"/>
      <c r="D699" s="910"/>
      <c r="E699" s="912"/>
      <c r="F699" s="857"/>
      <c r="G699" s="911"/>
      <c r="H699" s="910"/>
      <c r="I699" s="910"/>
      <c r="J699" s="860"/>
      <c r="K699" s="910"/>
    </row>
    <row r="700">
      <c r="A700" s="910"/>
      <c r="B700" s="911"/>
      <c r="C700" s="910"/>
      <c r="D700" s="910"/>
      <c r="E700" s="912"/>
      <c r="F700" s="857"/>
      <c r="G700" s="911"/>
      <c r="H700" s="910"/>
      <c r="I700" s="910"/>
      <c r="J700" s="860"/>
      <c r="K700" s="910"/>
    </row>
    <row r="701">
      <c r="A701" s="910"/>
      <c r="B701" s="911"/>
      <c r="C701" s="910"/>
      <c r="D701" s="910"/>
      <c r="E701" s="912"/>
      <c r="F701" s="857"/>
      <c r="G701" s="911"/>
      <c r="H701" s="910"/>
      <c r="I701" s="910"/>
      <c r="J701" s="860"/>
      <c r="K701" s="910"/>
    </row>
    <row r="702">
      <c r="A702" s="910"/>
      <c r="B702" s="911"/>
      <c r="C702" s="910"/>
      <c r="D702" s="910"/>
      <c r="E702" s="912"/>
      <c r="F702" s="857"/>
      <c r="G702" s="911"/>
      <c r="H702" s="910"/>
      <c r="I702" s="910"/>
      <c r="J702" s="860"/>
      <c r="K702" s="910"/>
    </row>
    <row r="703">
      <c r="A703" s="910"/>
      <c r="B703" s="911"/>
      <c r="C703" s="910"/>
      <c r="D703" s="910"/>
      <c r="E703" s="912"/>
      <c r="F703" s="857"/>
      <c r="G703" s="911"/>
      <c r="H703" s="910"/>
      <c r="I703" s="910"/>
      <c r="J703" s="860"/>
      <c r="K703" s="910"/>
    </row>
    <row r="704">
      <c r="A704" s="910"/>
      <c r="B704" s="911"/>
      <c r="C704" s="910"/>
      <c r="D704" s="910"/>
      <c r="E704" s="912"/>
      <c r="F704" s="857"/>
      <c r="G704" s="911"/>
      <c r="H704" s="910"/>
      <c r="I704" s="910"/>
      <c r="J704" s="860"/>
      <c r="K704" s="910"/>
    </row>
    <row r="705">
      <c r="A705" s="910"/>
      <c r="B705" s="911"/>
      <c r="C705" s="910"/>
      <c r="D705" s="910"/>
      <c r="E705" s="912"/>
      <c r="F705" s="857"/>
      <c r="G705" s="911"/>
      <c r="H705" s="910"/>
      <c r="I705" s="910"/>
      <c r="J705" s="860"/>
      <c r="K705" s="910"/>
    </row>
    <row r="706">
      <c r="A706" s="910"/>
      <c r="B706" s="911"/>
      <c r="C706" s="910"/>
      <c r="D706" s="910"/>
      <c r="E706" s="912"/>
      <c r="F706" s="857"/>
      <c r="G706" s="911"/>
      <c r="H706" s="910"/>
      <c r="I706" s="910"/>
      <c r="J706" s="860"/>
      <c r="K706" s="910"/>
    </row>
    <row r="707">
      <c r="A707" s="910"/>
      <c r="B707" s="911"/>
      <c r="C707" s="910"/>
      <c r="D707" s="910"/>
      <c r="E707" s="912"/>
      <c r="F707" s="857"/>
      <c r="G707" s="911"/>
      <c r="H707" s="910"/>
      <c r="I707" s="910"/>
      <c r="J707" s="860"/>
      <c r="K707" s="910"/>
    </row>
    <row r="708">
      <c r="A708" s="910"/>
      <c r="B708" s="911"/>
      <c r="C708" s="910"/>
      <c r="D708" s="910"/>
      <c r="E708" s="912"/>
      <c r="F708" s="857"/>
      <c r="G708" s="911"/>
      <c r="H708" s="910"/>
      <c r="I708" s="910"/>
      <c r="J708" s="860"/>
      <c r="K708" s="910"/>
    </row>
    <row r="709">
      <c r="A709" s="910"/>
      <c r="B709" s="911"/>
      <c r="C709" s="910"/>
      <c r="D709" s="910"/>
      <c r="E709" s="912"/>
      <c r="F709" s="857"/>
      <c r="G709" s="911"/>
      <c r="H709" s="910"/>
      <c r="I709" s="910"/>
      <c r="J709" s="860"/>
      <c r="K709" s="910"/>
    </row>
    <row r="710">
      <c r="A710" s="910"/>
      <c r="B710" s="911"/>
      <c r="C710" s="910"/>
      <c r="D710" s="910"/>
      <c r="E710" s="912"/>
      <c r="F710" s="857"/>
      <c r="G710" s="911"/>
      <c r="H710" s="910"/>
      <c r="I710" s="910"/>
      <c r="J710" s="860"/>
      <c r="K710" s="910"/>
    </row>
    <row r="711">
      <c r="A711" s="910"/>
      <c r="B711" s="911"/>
      <c r="C711" s="910"/>
      <c r="D711" s="910"/>
      <c r="E711" s="912"/>
      <c r="F711" s="857"/>
      <c r="G711" s="911"/>
      <c r="H711" s="910"/>
      <c r="I711" s="910"/>
      <c r="J711" s="860"/>
      <c r="K711" s="910"/>
    </row>
    <row r="712">
      <c r="A712" s="910"/>
      <c r="B712" s="911"/>
      <c r="C712" s="910"/>
      <c r="D712" s="910"/>
      <c r="E712" s="912"/>
      <c r="F712" s="857"/>
      <c r="G712" s="911"/>
      <c r="H712" s="910"/>
      <c r="I712" s="910"/>
      <c r="J712" s="860"/>
      <c r="K712" s="910"/>
    </row>
    <row r="713">
      <c r="A713" s="910"/>
      <c r="B713" s="911"/>
      <c r="C713" s="910"/>
      <c r="D713" s="910"/>
      <c r="E713" s="912"/>
      <c r="F713" s="857"/>
      <c r="G713" s="911"/>
      <c r="H713" s="910"/>
      <c r="I713" s="910"/>
      <c r="J713" s="860"/>
      <c r="K713" s="910"/>
    </row>
    <row r="714">
      <c r="A714" s="910"/>
      <c r="B714" s="911"/>
      <c r="C714" s="910"/>
      <c r="D714" s="910"/>
      <c r="E714" s="912"/>
      <c r="F714" s="857"/>
      <c r="G714" s="911"/>
      <c r="H714" s="910"/>
      <c r="I714" s="910"/>
      <c r="J714" s="860"/>
      <c r="K714" s="910"/>
    </row>
    <row r="715">
      <c r="A715" s="910"/>
      <c r="B715" s="911"/>
      <c r="C715" s="910"/>
      <c r="D715" s="910"/>
      <c r="E715" s="912"/>
      <c r="F715" s="857"/>
      <c r="G715" s="911"/>
      <c r="H715" s="910"/>
      <c r="I715" s="910"/>
      <c r="J715" s="860"/>
      <c r="K715" s="910"/>
    </row>
    <row r="716">
      <c r="A716" s="910"/>
      <c r="B716" s="911"/>
      <c r="C716" s="910"/>
      <c r="D716" s="910"/>
      <c r="E716" s="912"/>
      <c r="F716" s="857"/>
      <c r="G716" s="911"/>
      <c r="H716" s="910"/>
      <c r="I716" s="910"/>
      <c r="J716" s="860"/>
      <c r="K716" s="910"/>
    </row>
    <row r="717">
      <c r="A717" s="910"/>
      <c r="B717" s="911"/>
      <c r="C717" s="910"/>
      <c r="D717" s="910"/>
      <c r="E717" s="912"/>
      <c r="F717" s="857"/>
      <c r="G717" s="911"/>
      <c r="H717" s="910"/>
      <c r="I717" s="910"/>
      <c r="J717" s="860"/>
      <c r="K717" s="910"/>
    </row>
    <row r="718">
      <c r="A718" s="910"/>
      <c r="B718" s="911"/>
      <c r="C718" s="910"/>
      <c r="D718" s="910"/>
      <c r="E718" s="912"/>
      <c r="F718" s="857"/>
      <c r="G718" s="911"/>
      <c r="H718" s="910"/>
      <c r="I718" s="910"/>
      <c r="J718" s="860"/>
      <c r="K718" s="910"/>
    </row>
    <row r="719">
      <c r="A719" s="910"/>
      <c r="B719" s="911"/>
      <c r="C719" s="910"/>
      <c r="D719" s="910"/>
      <c r="E719" s="912"/>
      <c r="F719" s="857"/>
      <c r="G719" s="911"/>
      <c r="H719" s="910"/>
      <c r="I719" s="910"/>
      <c r="J719" s="860"/>
      <c r="K719" s="910"/>
    </row>
    <row r="720">
      <c r="A720" s="910"/>
      <c r="B720" s="911"/>
      <c r="C720" s="910"/>
      <c r="D720" s="910"/>
      <c r="E720" s="912"/>
      <c r="F720" s="857"/>
      <c r="G720" s="911"/>
      <c r="H720" s="910"/>
      <c r="I720" s="910"/>
      <c r="J720" s="860"/>
      <c r="K720" s="910"/>
    </row>
    <row r="721">
      <c r="A721" s="910"/>
      <c r="B721" s="911"/>
      <c r="C721" s="910"/>
      <c r="D721" s="910"/>
      <c r="E721" s="912"/>
      <c r="F721" s="857"/>
      <c r="G721" s="911"/>
      <c r="H721" s="910"/>
      <c r="I721" s="910"/>
      <c r="J721" s="860"/>
      <c r="K721" s="910"/>
    </row>
    <row r="722">
      <c r="A722" s="910"/>
      <c r="B722" s="911"/>
      <c r="C722" s="910"/>
      <c r="D722" s="910"/>
      <c r="E722" s="912"/>
      <c r="F722" s="857"/>
      <c r="G722" s="911"/>
      <c r="H722" s="910"/>
      <c r="I722" s="910"/>
      <c r="J722" s="860"/>
      <c r="K722" s="910"/>
    </row>
    <row r="723">
      <c r="A723" s="910"/>
      <c r="B723" s="911"/>
      <c r="C723" s="910"/>
      <c r="D723" s="910"/>
      <c r="E723" s="912"/>
      <c r="F723" s="857"/>
      <c r="G723" s="911"/>
      <c r="H723" s="910"/>
      <c r="I723" s="910"/>
      <c r="J723" s="860"/>
      <c r="K723" s="910"/>
    </row>
    <row r="724">
      <c r="A724" s="910"/>
      <c r="B724" s="911"/>
      <c r="C724" s="910"/>
      <c r="D724" s="910"/>
      <c r="E724" s="912"/>
      <c r="F724" s="857"/>
      <c r="G724" s="911"/>
      <c r="H724" s="910"/>
      <c r="I724" s="910"/>
      <c r="J724" s="860"/>
      <c r="K724" s="910"/>
    </row>
    <row r="725">
      <c r="A725" s="910"/>
      <c r="B725" s="911"/>
      <c r="C725" s="910"/>
      <c r="D725" s="910"/>
      <c r="E725" s="912"/>
      <c r="F725" s="857"/>
      <c r="G725" s="911"/>
      <c r="H725" s="910"/>
      <c r="I725" s="910"/>
      <c r="J725" s="860"/>
      <c r="K725" s="910"/>
    </row>
    <row r="726">
      <c r="A726" s="910"/>
      <c r="B726" s="911"/>
      <c r="C726" s="910"/>
      <c r="D726" s="910"/>
      <c r="E726" s="912"/>
      <c r="F726" s="857"/>
      <c r="G726" s="911"/>
      <c r="H726" s="910"/>
      <c r="I726" s="910"/>
      <c r="J726" s="860"/>
      <c r="K726" s="910"/>
    </row>
    <row r="727">
      <c r="A727" s="910"/>
      <c r="B727" s="911"/>
      <c r="C727" s="910"/>
      <c r="D727" s="910"/>
      <c r="E727" s="912"/>
      <c r="F727" s="857"/>
      <c r="G727" s="911"/>
      <c r="H727" s="910"/>
      <c r="I727" s="910"/>
      <c r="J727" s="860"/>
      <c r="K727" s="910"/>
    </row>
    <row r="728">
      <c r="A728" s="910"/>
      <c r="B728" s="911"/>
      <c r="C728" s="910"/>
      <c r="D728" s="910"/>
      <c r="E728" s="912"/>
      <c r="F728" s="857"/>
      <c r="G728" s="911"/>
      <c r="H728" s="910"/>
      <c r="I728" s="910"/>
      <c r="J728" s="860"/>
      <c r="K728" s="910"/>
    </row>
    <row r="729">
      <c r="A729" s="910"/>
      <c r="B729" s="911"/>
      <c r="C729" s="910"/>
      <c r="D729" s="910"/>
      <c r="E729" s="912"/>
      <c r="F729" s="857"/>
      <c r="G729" s="911"/>
      <c r="H729" s="910"/>
      <c r="I729" s="910"/>
      <c r="J729" s="860"/>
      <c r="K729" s="910"/>
    </row>
    <row r="730">
      <c r="A730" s="910"/>
      <c r="B730" s="911"/>
      <c r="C730" s="910"/>
      <c r="D730" s="910"/>
      <c r="E730" s="912"/>
      <c r="F730" s="857"/>
      <c r="G730" s="911"/>
      <c r="H730" s="910"/>
      <c r="I730" s="910"/>
      <c r="J730" s="860"/>
      <c r="K730" s="910"/>
    </row>
    <row r="731">
      <c r="A731" s="910"/>
      <c r="B731" s="911"/>
      <c r="C731" s="910"/>
      <c r="D731" s="910"/>
      <c r="E731" s="912"/>
      <c r="F731" s="857"/>
      <c r="G731" s="911"/>
      <c r="H731" s="910"/>
      <c r="I731" s="910"/>
      <c r="J731" s="860"/>
      <c r="K731" s="910"/>
    </row>
    <row r="732">
      <c r="A732" s="910"/>
      <c r="B732" s="911"/>
      <c r="C732" s="910"/>
      <c r="D732" s="910"/>
      <c r="E732" s="912"/>
      <c r="F732" s="857"/>
      <c r="G732" s="911"/>
      <c r="H732" s="910"/>
      <c r="I732" s="910"/>
      <c r="J732" s="860"/>
      <c r="K732" s="910"/>
    </row>
    <row r="733">
      <c r="A733" s="910"/>
      <c r="B733" s="911"/>
      <c r="C733" s="910"/>
      <c r="D733" s="910"/>
      <c r="E733" s="912"/>
      <c r="F733" s="857"/>
      <c r="G733" s="911"/>
      <c r="H733" s="910"/>
      <c r="I733" s="910"/>
      <c r="J733" s="860"/>
      <c r="K733" s="910"/>
    </row>
    <row r="734">
      <c r="A734" s="910"/>
      <c r="B734" s="911"/>
      <c r="C734" s="910"/>
      <c r="D734" s="910"/>
      <c r="E734" s="912"/>
      <c r="F734" s="857"/>
      <c r="G734" s="911"/>
      <c r="H734" s="910"/>
      <c r="I734" s="910"/>
      <c r="J734" s="860"/>
      <c r="K734" s="910"/>
    </row>
    <row r="735">
      <c r="A735" s="910"/>
      <c r="B735" s="911"/>
      <c r="C735" s="910"/>
      <c r="D735" s="910"/>
      <c r="E735" s="912"/>
      <c r="F735" s="857"/>
      <c r="G735" s="911"/>
      <c r="H735" s="910"/>
      <c r="I735" s="910"/>
      <c r="J735" s="860"/>
      <c r="K735" s="910"/>
    </row>
    <row r="736">
      <c r="A736" s="910"/>
      <c r="B736" s="911"/>
      <c r="C736" s="910"/>
      <c r="D736" s="910"/>
      <c r="E736" s="912"/>
      <c r="F736" s="857"/>
      <c r="G736" s="911"/>
      <c r="H736" s="910"/>
      <c r="I736" s="910"/>
      <c r="J736" s="860"/>
      <c r="K736" s="910"/>
    </row>
    <row r="737">
      <c r="A737" s="910"/>
      <c r="B737" s="911"/>
      <c r="C737" s="910"/>
      <c r="D737" s="910"/>
      <c r="E737" s="912"/>
      <c r="F737" s="857"/>
      <c r="G737" s="911"/>
      <c r="H737" s="910"/>
      <c r="I737" s="910"/>
      <c r="J737" s="860"/>
      <c r="K737" s="910"/>
    </row>
    <row r="738">
      <c r="A738" s="910"/>
      <c r="B738" s="911"/>
      <c r="C738" s="910"/>
      <c r="D738" s="910"/>
      <c r="E738" s="912"/>
      <c r="F738" s="857"/>
      <c r="G738" s="911"/>
      <c r="H738" s="910"/>
      <c r="I738" s="910"/>
      <c r="J738" s="860"/>
      <c r="K738" s="910"/>
    </row>
    <row r="739">
      <c r="A739" s="910"/>
      <c r="B739" s="911"/>
      <c r="C739" s="910"/>
      <c r="D739" s="910"/>
      <c r="E739" s="912"/>
      <c r="F739" s="857"/>
      <c r="G739" s="911"/>
      <c r="H739" s="910"/>
      <c r="I739" s="910"/>
      <c r="J739" s="860"/>
      <c r="K739" s="910"/>
    </row>
    <row r="740">
      <c r="A740" s="910"/>
      <c r="B740" s="911"/>
      <c r="C740" s="910"/>
      <c r="D740" s="910"/>
      <c r="E740" s="912"/>
      <c r="F740" s="857"/>
      <c r="G740" s="911"/>
      <c r="H740" s="910"/>
      <c r="I740" s="910"/>
      <c r="J740" s="860"/>
      <c r="K740" s="910"/>
    </row>
    <row r="741">
      <c r="A741" s="910"/>
      <c r="B741" s="911"/>
      <c r="C741" s="910"/>
      <c r="D741" s="910"/>
      <c r="E741" s="912"/>
      <c r="F741" s="857"/>
      <c r="G741" s="911"/>
      <c r="H741" s="910"/>
      <c r="I741" s="910"/>
      <c r="J741" s="860"/>
      <c r="K741" s="910"/>
    </row>
    <row r="742">
      <c r="A742" s="910"/>
      <c r="B742" s="911"/>
      <c r="C742" s="910"/>
      <c r="D742" s="910"/>
      <c r="E742" s="912"/>
      <c r="F742" s="857"/>
      <c r="G742" s="911"/>
      <c r="H742" s="910"/>
      <c r="I742" s="910"/>
      <c r="J742" s="860"/>
      <c r="K742" s="910"/>
    </row>
    <row r="743">
      <c r="A743" s="910"/>
      <c r="B743" s="911"/>
      <c r="C743" s="910"/>
      <c r="D743" s="910"/>
      <c r="E743" s="912"/>
      <c r="F743" s="857"/>
      <c r="G743" s="911"/>
      <c r="H743" s="910"/>
      <c r="I743" s="910"/>
      <c r="J743" s="860"/>
      <c r="K743" s="910"/>
    </row>
    <row r="744">
      <c r="A744" s="910"/>
      <c r="B744" s="911"/>
      <c r="C744" s="910"/>
      <c r="D744" s="910"/>
      <c r="E744" s="912"/>
      <c r="F744" s="857"/>
      <c r="G744" s="911"/>
      <c r="H744" s="910"/>
      <c r="I744" s="910"/>
      <c r="J744" s="860"/>
      <c r="K744" s="910"/>
    </row>
    <row r="745">
      <c r="A745" s="910"/>
      <c r="B745" s="911"/>
      <c r="C745" s="910"/>
      <c r="D745" s="910"/>
      <c r="E745" s="912"/>
      <c r="F745" s="857"/>
      <c r="G745" s="911"/>
      <c r="H745" s="910"/>
      <c r="I745" s="910"/>
      <c r="J745" s="860"/>
      <c r="K745" s="910"/>
    </row>
    <row r="746">
      <c r="A746" s="910"/>
      <c r="B746" s="911"/>
      <c r="C746" s="910"/>
      <c r="D746" s="910"/>
      <c r="E746" s="912"/>
      <c r="F746" s="857"/>
      <c r="G746" s="911"/>
      <c r="H746" s="910"/>
      <c r="I746" s="910"/>
      <c r="J746" s="860"/>
      <c r="K746" s="910"/>
    </row>
    <row r="747">
      <c r="A747" s="910"/>
      <c r="B747" s="911"/>
      <c r="C747" s="910"/>
      <c r="D747" s="910"/>
      <c r="E747" s="912"/>
      <c r="F747" s="857"/>
      <c r="G747" s="911"/>
      <c r="H747" s="910"/>
      <c r="I747" s="910"/>
      <c r="J747" s="860"/>
      <c r="K747" s="910"/>
    </row>
    <row r="748">
      <c r="A748" s="910"/>
      <c r="B748" s="911"/>
      <c r="C748" s="910"/>
      <c r="D748" s="910"/>
      <c r="E748" s="912"/>
      <c r="F748" s="857"/>
      <c r="G748" s="911"/>
      <c r="H748" s="910"/>
      <c r="I748" s="910"/>
      <c r="J748" s="860"/>
      <c r="K748" s="910"/>
    </row>
    <row r="749">
      <c r="A749" s="910"/>
      <c r="B749" s="911"/>
      <c r="C749" s="910"/>
      <c r="D749" s="910"/>
      <c r="E749" s="912"/>
      <c r="F749" s="857"/>
      <c r="G749" s="911"/>
      <c r="H749" s="910"/>
      <c r="I749" s="910"/>
      <c r="J749" s="860"/>
      <c r="K749" s="910"/>
    </row>
    <row r="750">
      <c r="A750" s="910"/>
      <c r="B750" s="911"/>
      <c r="C750" s="910"/>
      <c r="D750" s="910"/>
      <c r="E750" s="912"/>
      <c r="F750" s="857"/>
      <c r="G750" s="911"/>
      <c r="H750" s="910"/>
      <c r="I750" s="910"/>
      <c r="J750" s="860"/>
      <c r="K750" s="910"/>
    </row>
    <row r="751">
      <c r="A751" s="910"/>
      <c r="B751" s="911"/>
      <c r="C751" s="910"/>
      <c r="D751" s="910"/>
      <c r="E751" s="912"/>
      <c r="F751" s="857"/>
      <c r="G751" s="911"/>
      <c r="H751" s="910"/>
      <c r="I751" s="910"/>
      <c r="J751" s="860"/>
      <c r="K751" s="910"/>
    </row>
    <row r="752">
      <c r="A752" s="910"/>
      <c r="B752" s="911"/>
      <c r="C752" s="910"/>
      <c r="D752" s="910"/>
      <c r="E752" s="912"/>
      <c r="F752" s="857"/>
      <c r="G752" s="911"/>
      <c r="H752" s="910"/>
      <c r="I752" s="910"/>
      <c r="J752" s="860"/>
      <c r="K752" s="910"/>
    </row>
    <row r="753">
      <c r="A753" s="910"/>
      <c r="B753" s="911"/>
      <c r="C753" s="910"/>
      <c r="D753" s="910"/>
      <c r="E753" s="912"/>
      <c r="F753" s="857"/>
      <c r="G753" s="911"/>
      <c r="H753" s="910"/>
      <c r="I753" s="910"/>
      <c r="J753" s="860"/>
      <c r="K753" s="910"/>
    </row>
    <row r="754">
      <c r="A754" s="910"/>
      <c r="B754" s="911"/>
      <c r="C754" s="910"/>
      <c r="D754" s="910"/>
      <c r="E754" s="912"/>
      <c r="F754" s="857"/>
      <c r="G754" s="911"/>
      <c r="H754" s="910"/>
      <c r="I754" s="910"/>
      <c r="J754" s="860"/>
      <c r="K754" s="910"/>
    </row>
    <row r="755">
      <c r="A755" s="910"/>
      <c r="B755" s="911"/>
      <c r="C755" s="910"/>
      <c r="D755" s="910"/>
      <c r="E755" s="912"/>
      <c r="F755" s="857"/>
      <c r="G755" s="911"/>
      <c r="H755" s="910"/>
      <c r="I755" s="910"/>
      <c r="J755" s="860"/>
      <c r="K755" s="910"/>
    </row>
    <row r="756">
      <c r="A756" s="910"/>
      <c r="B756" s="911"/>
      <c r="C756" s="910"/>
      <c r="D756" s="910"/>
      <c r="E756" s="912"/>
      <c r="F756" s="857"/>
      <c r="G756" s="911"/>
      <c r="H756" s="910"/>
      <c r="I756" s="910"/>
      <c r="J756" s="860"/>
      <c r="K756" s="910"/>
    </row>
    <row r="757">
      <c r="A757" s="910"/>
      <c r="B757" s="911"/>
      <c r="C757" s="910"/>
      <c r="D757" s="910"/>
      <c r="E757" s="912"/>
      <c r="F757" s="857"/>
      <c r="G757" s="911"/>
      <c r="H757" s="910"/>
      <c r="I757" s="910"/>
      <c r="J757" s="860"/>
      <c r="K757" s="910"/>
    </row>
    <row r="758">
      <c r="A758" s="910"/>
      <c r="B758" s="911"/>
      <c r="C758" s="910"/>
      <c r="D758" s="910"/>
      <c r="E758" s="912"/>
      <c r="F758" s="857"/>
      <c r="G758" s="911"/>
      <c r="H758" s="910"/>
      <c r="I758" s="910"/>
      <c r="J758" s="860"/>
      <c r="K758" s="910"/>
    </row>
    <row r="759">
      <c r="A759" s="910"/>
      <c r="B759" s="911"/>
      <c r="C759" s="910"/>
      <c r="D759" s="910"/>
      <c r="E759" s="912"/>
      <c r="F759" s="857"/>
      <c r="G759" s="911"/>
      <c r="H759" s="910"/>
      <c r="I759" s="910"/>
      <c r="J759" s="860"/>
      <c r="K759" s="910"/>
    </row>
    <row r="760">
      <c r="A760" s="910"/>
      <c r="B760" s="911"/>
      <c r="C760" s="910"/>
      <c r="D760" s="910"/>
      <c r="E760" s="912"/>
      <c r="F760" s="857"/>
      <c r="G760" s="911"/>
      <c r="H760" s="910"/>
      <c r="I760" s="910"/>
      <c r="J760" s="860"/>
      <c r="K760" s="910"/>
    </row>
    <row r="761">
      <c r="A761" s="910"/>
      <c r="B761" s="911"/>
      <c r="C761" s="910"/>
      <c r="D761" s="910"/>
      <c r="E761" s="912"/>
      <c r="F761" s="857"/>
      <c r="G761" s="911"/>
      <c r="H761" s="910"/>
      <c r="I761" s="910"/>
      <c r="J761" s="860"/>
      <c r="K761" s="910"/>
    </row>
    <row r="762">
      <c r="A762" s="910"/>
      <c r="B762" s="911"/>
      <c r="C762" s="910"/>
      <c r="D762" s="910"/>
      <c r="E762" s="912"/>
      <c r="F762" s="857"/>
      <c r="G762" s="911"/>
      <c r="H762" s="910"/>
      <c r="I762" s="910"/>
      <c r="J762" s="860"/>
      <c r="K762" s="910"/>
    </row>
    <row r="763">
      <c r="A763" s="910"/>
      <c r="B763" s="911"/>
      <c r="C763" s="910"/>
      <c r="D763" s="910"/>
      <c r="E763" s="912"/>
      <c r="F763" s="857"/>
      <c r="G763" s="911"/>
      <c r="H763" s="910"/>
      <c r="I763" s="910"/>
      <c r="J763" s="860"/>
      <c r="K763" s="910"/>
    </row>
    <row r="764">
      <c r="A764" s="910"/>
      <c r="B764" s="911"/>
      <c r="C764" s="910"/>
      <c r="D764" s="910"/>
      <c r="E764" s="912"/>
      <c r="F764" s="857"/>
      <c r="G764" s="911"/>
      <c r="H764" s="910"/>
      <c r="I764" s="910"/>
      <c r="J764" s="860"/>
      <c r="K764" s="910"/>
    </row>
    <row r="765">
      <c r="A765" s="910"/>
      <c r="B765" s="911"/>
      <c r="C765" s="910"/>
      <c r="D765" s="910"/>
      <c r="E765" s="912"/>
      <c r="F765" s="857"/>
      <c r="G765" s="911"/>
      <c r="H765" s="910"/>
      <c r="I765" s="910"/>
      <c r="J765" s="860"/>
      <c r="K765" s="910"/>
    </row>
    <row r="766">
      <c r="A766" s="910"/>
      <c r="B766" s="911"/>
      <c r="C766" s="910"/>
      <c r="D766" s="910"/>
      <c r="E766" s="912"/>
      <c r="F766" s="857"/>
      <c r="G766" s="911"/>
      <c r="H766" s="910"/>
      <c r="I766" s="910"/>
      <c r="J766" s="860"/>
      <c r="K766" s="910"/>
    </row>
    <row r="767">
      <c r="A767" s="910"/>
      <c r="B767" s="911"/>
      <c r="C767" s="910"/>
      <c r="D767" s="910"/>
      <c r="E767" s="912"/>
      <c r="F767" s="857"/>
      <c r="G767" s="911"/>
      <c r="H767" s="910"/>
      <c r="I767" s="910"/>
      <c r="J767" s="860"/>
      <c r="K767" s="910"/>
    </row>
    <row r="768">
      <c r="A768" s="910"/>
      <c r="B768" s="911"/>
      <c r="C768" s="910"/>
      <c r="D768" s="910"/>
      <c r="E768" s="912"/>
      <c r="F768" s="857"/>
      <c r="G768" s="911"/>
      <c r="H768" s="910"/>
      <c r="I768" s="910"/>
      <c r="J768" s="860"/>
      <c r="K768" s="910"/>
    </row>
    <row r="769">
      <c r="A769" s="910"/>
      <c r="B769" s="911"/>
      <c r="C769" s="910"/>
      <c r="D769" s="910"/>
      <c r="E769" s="912"/>
      <c r="F769" s="857"/>
      <c r="G769" s="911"/>
      <c r="H769" s="910"/>
      <c r="I769" s="910"/>
      <c r="J769" s="860"/>
      <c r="K769" s="910"/>
    </row>
    <row r="770">
      <c r="A770" s="910"/>
      <c r="B770" s="911"/>
      <c r="C770" s="910"/>
      <c r="D770" s="910"/>
      <c r="E770" s="912"/>
      <c r="F770" s="857"/>
      <c r="G770" s="911"/>
      <c r="H770" s="910"/>
      <c r="I770" s="910"/>
      <c r="J770" s="860"/>
      <c r="K770" s="910"/>
    </row>
    <row r="771">
      <c r="A771" s="910"/>
      <c r="B771" s="911"/>
      <c r="C771" s="910"/>
      <c r="D771" s="910"/>
      <c r="E771" s="912"/>
      <c r="F771" s="857"/>
      <c r="G771" s="911"/>
      <c r="H771" s="910"/>
      <c r="I771" s="910"/>
      <c r="J771" s="860"/>
      <c r="K771" s="910"/>
    </row>
    <row r="772">
      <c r="A772" s="910"/>
      <c r="B772" s="911"/>
      <c r="C772" s="910"/>
      <c r="D772" s="910"/>
      <c r="E772" s="912"/>
      <c r="F772" s="857"/>
      <c r="G772" s="911"/>
      <c r="H772" s="910"/>
      <c r="I772" s="910"/>
      <c r="J772" s="860"/>
      <c r="K772" s="910"/>
    </row>
    <row r="773">
      <c r="A773" s="910"/>
      <c r="B773" s="911"/>
      <c r="C773" s="910"/>
      <c r="D773" s="910"/>
      <c r="E773" s="912"/>
      <c r="F773" s="857"/>
      <c r="G773" s="911"/>
      <c r="H773" s="910"/>
      <c r="I773" s="910"/>
      <c r="J773" s="860"/>
      <c r="K773" s="910"/>
    </row>
    <row r="774">
      <c r="A774" s="910"/>
      <c r="B774" s="911"/>
      <c r="C774" s="910"/>
      <c r="D774" s="910"/>
      <c r="E774" s="912"/>
      <c r="F774" s="857"/>
      <c r="G774" s="911"/>
      <c r="H774" s="910"/>
      <c r="I774" s="910"/>
      <c r="J774" s="860"/>
      <c r="K774" s="910"/>
    </row>
    <row r="775">
      <c r="A775" s="910"/>
      <c r="B775" s="911"/>
      <c r="C775" s="910"/>
      <c r="D775" s="910"/>
      <c r="E775" s="912"/>
      <c r="F775" s="857"/>
      <c r="G775" s="911"/>
      <c r="H775" s="910"/>
      <c r="I775" s="910"/>
      <c r="J775" s="860"/>
      <c r="K775" s="910"/>
    </row>
    <row r="776">
      <c r="A776" s="910"/>
      <c r="B776" s="911"/>
      <c r="C776" s="910"/>
      <c r="D776" s="910"/>
      <c r="E776" s="912"/>
      <c r="F776" s="857"/>
      <c r="G776" s="911"/>
      <c r="H776" s="910"/>
      <c r="I776" s="910"/>
      <c r="J776" s="860"/>
      <c r="K776" s="910"/>
    </row>
    <row r="777">
      <c r="A777" s="910"/>
      <c r="B777" s="911"/>
      <c r="C777" s="910"/>
      <c r="D777" s="910"/>
      <c r="E777" s="912"/>
      <c r="F777" s="857"/>
      <c r="G777" s="911"/>
      <c r="H777" s="910"/>
      <c r="I777" s="910"/>
      <c r="J777" s="860"/>
      <c r="K777" s="910"/>
    </row>
    <row r="778">
      <c r="A778" s="910"/>
      <c r="B778" s="911"/>
      <c r="C778" s="910"/>
      <c r="D778" s="910"/>
      <c r="E778" s="912"/>
      <c r="F778" s="857"/>
      <c r="G778" s="911"/>
      <c r="H778" s="910"/>
      <c r="I778" s="910"/>
      <c r="J778" s="860"/>
      <c r="K778" s="910"/>
    </row>
    <row r="779">
      <c r="A779" s="910"/>
      <c r="B779" s="911"/>
      <c r="C779" s="910"/>
      <c r="D779" s="910"/>
      <c r="E779" s="912"/>
      <c r="F779" s="857"/>
      <c r="G779" s="911"/>
      <c r="H779" s="910"/>
      <c r="I779" s="910"/>
      <c r="J779" s="860"/>
      <c r="K779" s="910"/>
    </row>
    <row r="780">
      <c r="A780" s="910"/>
      <c r="B780" s="911"/>
      <c r="C780" s="910"/>
      <c r="D780" s="910"/>
      <c r="E780" s="912"/>
      <c r="F780" s="857"/>
      <c r="G780" s="911"/>
      <c r="H780" s="910"/>
      <c r="I780" s="910"/>
      <c r="J780" s="860"/>
      <c r="K780" s="910"/>
    </row>
    <row r="781">
      <c r="A781" s="910"/>
      <c r="B781" s="911"/>
      <c r="C781" s="910"/>
      <c r="D781" s="910"/>
      <c r="E781" s="912"/>
      <c r="F781" s="857"/>
      <c r="G781" s="911"/>
      <c r="H781" s="910"/>
      <c r="I781" s="910"/>
      <c r="J781" s="860"/>
      <c r="K781" s="910"/>
    </row>
    <row r="782">
      <c r="A782" s="910"/>
      <c r="B782" s="911"/>
      <c r="C782" s="910"/>
      <c r="D782" s="910"/>
      <c r="E782" s="912"/>
      <c r="F782" s="857"/>
      <c r="G782" s="911"/>
      <c r="H782" s="910"/>
      <c r="I782" s="910"/>
      <c r="J782" s="860"/>
      <c r="K782" s="910"/>
    </row>
    <row r="783">
      <c r="A783" s="910"/>
      <c r="B783" s="911"/>
      <c r="C783" s="910"/>
      <c r="D783" s="910"/>
      <c r="E783" s="912"/>
      <c r="F783" s="857"/>
      <c r="G783" s="911"/>
      <c r="H783" s="910"/>
      <c r="I783" s="910"/>
      <c r="J783" s="860"/>
      <c r="K783" s="910"/>
    </row>
    <row r="784">
      <c r="A784" s="910"/>
      <c r="B784" s="911"/>
      <c r="C784" s="910"/>
      <c r="D784" s="910"/>
      <c r="E784" s="912"/>
      <c r="F784" s="857"/>
      <c r="G784" s="911"/>
      <c r="H784" s="910"/>
      <c r="I784" s="910"/>
      <c r="J784" s="860"/>
      <c r="K784" s="910"/>
    </row>
    <row r="785">
      <c r="A785" s="910"/>
      <c r="B785" s="911"/>
      <c r="C785" s="910"/>
      <c r="D785" s="910"/>
      <c r="E785" s="912"/>
      <c r="F785" s="857"/>
      <c r="G785" s="911"/>
      <c r="H785" s="910"/>
      <c r="I785" s="910"/>
      <c r="J785" s="860"/>
      <c r="K785" s="910"/>
    </row>
    <row r="786">
      <c r="A786" s="910"/>
      <c r="B786" s="911"/>
      <c r="C786" s="910"/>
      <c r="D786" s="910"/>
      <c r="E786" s="912"/>
      <c r="F786" s="857"/>
      <c r="G786" s="911"/>
      <c r="H786" s="910"/>
      <c r="I786" s="910"/>
      <c r="J786" s="860"/>
      <c r="K786" s="910"/>
    </row>
    <row r="787">
      <c r="A787" s="910"/>
      <c r="B787" s="911"/>
      <c r="C787" s="910"/>
      <c r="D787" s="910"/>
      <c r="E787" s="912"/>
      <c r="F787" s="857"/>
      <c r="G787" s="911"/>
      <c r="H787" s="910"/>
      <c r="I787" s="910"/>
      <c r="J787" s="860"/>
      <c r="K787" s="910"/>
    </row>
    <row r="788">
      <c r="A788" s="910"/>
      <c r="B788" s="911"/>
      <c r="C788" s="910"/>
      <c r="D788" s="910"/>
      <c r="E788" s="912"/>
      <c r="F788" s="857"/>
      <c r="G788" s="911"/>
      <c r="H788" s="910"/>
      <c r="I788" s="910"/>
      <c r="J788" s="860"/>
      <c r="K788" s="910"/>
    </row>
    <row r="789">
      <c r="A789" s="910"/>
      <c r="B789" s="911"/>
      <c r="C789" s="910"/>
      <c r="D789" s="910"/>
      <c r="E789" s="912"/>
      <c r="F789" s="857"/>
      <c r="G789" s="911"/>
      <c r="H789" s="910"/>
      <c r="I789" s="910"/>
      <c r="J789" s="860"/>
      <c r="K789" s="910"/>
    </row>
    <row r="790">
      <c r="A790" s="910"/>
      <c r="B790" s="911"/>
      <c r="C790" s="910"/>
      <c r="D790" s="910"/>
      <c r="E790" s="912"/>
      <c r="F790" s="857"/>
      <c r="G790" s="911"/>
      <c r="H790" s="910"/>
      <c r="I790" s="910"/>
      <c r="J790" s="860"/>
      <c r="K790" s="910"/>
    </row>
    <row r="791">
      <c r="A791" s="910"/>
      <c r="B791" s="911"/>
      <c r="C791" s="910"/>
      <c r="D791" s="910"/>
      <c r="E791" s="912"/>
      <c r="F791" s="857"/>
      <c r="G791" s="911"/>
      <c r="H791" s="910"/>
      <c r="I791" s="910"/>
      <c r="J791" s="860"/>
      <c r="K791" s="910"/>
    </row>
    <row r="792">
      <c r="A792" s="910"/>
      <c r="B792" s="911"/>
      <c r="C792" s="910"/>
      <c r="D792" s="910"/>
      <c r="E792" s="912"/>
      <c r="F792" s="857"/>
      <c r="G792" s="911"/>
      <c r="H792" s="910"/>
      <c r="I792" s="910"/>
      <c r="J792" s="860"/>
      <c r="K792" s="910"/>
    </row>
    <row r="793">
      <c r="A793" s="910"/>
      <c r="B793" s="911"/>
      <c r="C793" s="910"/>
      <c r="D793" s="910"/>
      <c r="E793" s="912"/>
      <c r="F793" s="857"/>
      <c r="G793" s="911"/>
      <c r="H793" s="910"/>
      <c r="I793" s="910"/>
      <c r="J793" s="860"/>
      <c r="K793" s="910"/>
    </row>
    <row r="794">
      <c r="A794" s="910"/>
      <c r="B794" s="911"/>
      <c r="C794" s="910"/>
      <c r="D794" s="910"/>
      <c r="E794" s="912"/>
      <c r="F794" s="857"/>
      <c r="G794" s="911"/>
      <c r="H794" s="910"/>
      <c r="I794" s="910"/>
      <c r="J794" s="860"/>
      <c r="K794" s="910"/>
    </row>
    <row r="795">
      <c r="A795" s="910"/>
      <c r="B795" s="911"/>
      <c r="C795" s="910"/>
      <c r="D795" s="910"/>
      <c r="E795" s="912"/>
      <c r="F795" s="857"/>
      <c r="G795" s="911"/>
      <c r="H795" s="910"/>
      <c r="I795" s="910"/>
      <c r="J795" s="860"/>
      <c r="K795" s="910"/>
    </row>
    <row r="796">
      <c r="A796" s="910"/>
      <c r="B796" s="911"/>
      <c r="C796" s="910"/>
      <c r="D796" s="910"/>
      <c r="E796" s="912"/>
      <c r="F796" s="857"/>
      <c r="G796" s="911"/>
      <c r="H796" s="910"/>
      <c r="I796" s="910"/>
      <c r="J796" s="860"/>
      <c r="K796" s="910"/>
    </row>
    <row r="797">
      <c r="A797" s="910"/>
      <c r="B797" s="911"/>
      <c r="C797" s="910"/>
      <c r="D797" s="910"/>
      <c r="E797" s="912"/>
      <c r="F797" s="857"/>
      <c r="G797" s="911"/>
      <c r="H797" s="910"/>
      <c r="I797" s="910"/>
      <c r="J797" s="860"/>
      <c r="K797" s="910"/>
    </row>
    <row r="798">
      <c r="A798" s="910"/>
      <c r="B798" s="911"/>
      <c r="C798" s="910"/>
      <c r="D798" s="910"/>
      <c r="E798" s="912"/>
      <c r="F798" s="857"/>
      <c r="G798" s="911"/>
      <c r="H798" s="910"/>
      <c r="I798" s="910"/>
      <c r="J798" s="860"/>
      <c r="K798" s="910"/>
    </row>
    <row r="799">
      <c r="A799" s="910"/>
      <c r="B799" s="911"/>
      <c r="C799" s="910"/>
      <c r="D799" s="910"/>
      <c r="E799" s="912"/>
      <c r="F799" s="857"/>
      <c r="G799" s="911"/>
      <c r="H799" s="910"/>
      <c r="I799" s="910"/>
      <c r="J799" s="860"/>
      <c r="K799" s="910"/>
    </row>
    <row r="800">
      <c r="A800" s="910"/>
      <c r="B800" s="911"/>
      <c r="C800" s="910"/>
      <c r="D800" s="910"/>
      <c r="E800" s="912"/>
      <c r="F800" s="857"/>
      <c r="G800" s="911"/>
      <c r="H800" s="910"/>
      <c r="I800" s="910"/>
      <c r="J800" s="860"/>
      <c r="K800" s="910"/>
    </row>
    <row r="801">
      <c r="A801" s="910"/>
      <c r="B801" s="911"/>
      <c r="C801" s="910"/>
      <c r="D801" s="910"/>
      <c r="E801" s="912"/>
      <c r="F801" s="857"/>
      <c r="G801" s="911"/>
      <c r="H801" s="910"/>
      <c r="I801" s="910"/>
      <c r="J801" s="860"/>
      <c r="K801" s="910"/>
    </row>
    <row r="802">
      <c r="A802" s="910"/>
      <c r="B802" s="911"/>
      <c r="C802" s="910"/>
      <c r="D802" s="910"/>
      <c r="E802" s="912"/>
      <c r="F802" s="857"/>
      <c r="G802" s="911"/>
      <c r="H802" s="910"/>
      <c r="I802" s="910"/>
      <c r="J802" s="860"/>
      <c r="K802" s="910"/>
    </row>
    <row r="803">
      <c r="A803" s="910"/>
      <c r="B803" s="911"/>
      <c r="C803" s="910"/>
      <c r="D803" s="910"/>
      <c r="E803" s="912"/>
      <c r="F803" s="857"/>
      <c r="G803" s="911"/>
      <c r="H803" s="910"/>
      <c r="I803" s="910"/>
      <c r="J803" s="860"/>
      <c r="K803" s="910"/>
    </row>
    <row r="804">
      <c r="A804" s="910"/>
      <c r="B804" s="911"/>
      <c r="C804" s="910"/>
      <c r="D804" s="910"/>
      <c r="E804" s="912"/>
      <c r="F804" s="857"/>
      <c r="G804" s="911"/>
      <c r="H804" s="910"/>
      <c r="I804" s="910"/>
      <c r="J804" s="860"/>
      <c r="K804" s="910"/>
    </row>
    <row r="805">
      <c r="A805" s="910"/>
      <c r="B805" s="911"/>
      <c r="C805" s="910"/>
      <c r="D805" s="910"/>
      <c r="E805" s="912"/>
      <c r="F805" s="857"/>
      <c r="G805" s="911"/>
      <c r="H805" s="910"/>
      <c r="I805" s="910"/>
      <c r="J805" s="860"/>
      <c r="K805" s="910"/>
    </row>
    <row r="806">
      <c r="A806" s="910"/>
      <c r="B806" s="911"/>
      <c r="C806" s="910"/>
      <c r="D806" s="910"/>
      <c r="E806" s="912"/>
      <c r="F806" s="857"/>
      <c r="G806" s="911"/>
      <c r="H806" s="910"/>
      <c r="I806" s="910"/>
      <c r="J806" s="860"/>
      <c r="K806" s="910"/>
    </row>
    <row r="807">
      <c r="A807" s="910"/>
      <c r="B807" s="911"/>
      <c r="C807" s="910"/>
      <c r="D807" s="910"/>
      <c r="E807" s="912"/>
      <c r="F807" s="857"/>
      <c r="G807" s="911"/>
      <c r="H807" s="910"/>
      <c r="I807" s="910"/>
      <c r="J807" s="860"/>
      <c r="K807" s="910"/>
    </row>
    <row r="808">
      <c r="A808" s="910"/>
      <c r="B808" s="911"/>
      <c r="C808" s="910"/>
      <c r="D808" s="910"/>
      <c r="E808" s="912"/>
      <c r="F808" s="857"/>
      <c r="G808" s="911"/>
      <c r="H808" s="910"/>
      <c r="I808" s="910"/>
      <c r="J808" s="860"/>
      <c r="K808" s="910"/>
    </row>
    <row r="809">
      <c r="A809" s="910"/>
      <c r="B809" s="911"/>
      <c r="C809" s="910"/>
      <c r="D809" s="910"/>
      <c r="E809" s="912"/>
      <c r="F809" s="857"/>
      <c r="G809" s="911"/>
      <c r="H809" s="910"/>
      <c r="I809" s="910"/>
      <c r="J809" s="860"/>
      <c r="K809" s="910"/>
    </row>
    <row r="810">
      <c r="A810" s="910"/>
      <c r="B810" s="911"/>
      <c r="C810" s="910"/>
      <c r="D810" s="910"/>
      <c r="E810" s="912"/>
      <c r="F810" s="857"/>
      <c r="G810" s="911"/>
      <c r="H810" s="910"/>
      <c r="I810" s="910"/>
      <c r="J810" s="860"/>
      <c r="K810" s="910"/>
    </row>
    <row r="811">
      <c r="A811" s="910"/>
      <c r="B811" s="911"/>
      <c r="C811" s="910"/>
      <c r="D811" s="910"/>
      <c r="E811" s="912"/>
      <c r="F811" s="857"/>
      <c r="G811" s="911"/>
      <c r="H811" s="910"/>
      <c r="I811" s="910"/>
      <c r="J811" s="860"/>
      <c r="K811" s="910"/>
    </row>
    <row r="812">
      <c r="A812" s="910"/>
      <c r="B812" s="911"/>
      <c r="C812" s="910"/>
      <c r="D812" s="910"/>
      <c r="E812" s="912"/>
      <c r="F812" s="857"/>
      <c r="G812" s="911"/>
      <c r="H812" s="910"/>
      <c r="I812" s="910"/>
      <c r="J812" s="860"/>
      <c r="K812" s="910"/>
    </row>
    <row r="813">
      <c r="A813" s="910"/>
      <c r="B813" s="911"/>
      <c r="C813" s="910"/>
      <c r="D813" s="910"/>
      <c r="E813" s="912"/>
      <c r="F813" s="857"/>
      <c r="G813" s="911"/>
      <c r="H813" s="910"/>
      <c r="I813" s="910"/>
      <c r="J813" s="860"/>
      <c r="K813" s="910"/>
    </row>
    <row r="814">
      <c r="A814" s="910"/>
      <c r="B814" s="911"/>
      <c r="C814" s="910"/>
      <c r="D814" s="910"/>
      <c r="E814" s="912"/>
      <c r="F814" s="857"/>
      <c r="G814" s="911"/>
      <c r="H814" s="910"/>
      <c r="I814" s="910"/>
      <c r="J814" s="860"/>
      <c r="K814" s="910"/>
    </row>
    <row r="815">
      <c r="A815" s="910"/>
      <c r="B815" s="911"/>
      <c r="C815" s="910"/>
      <c r="D815" s="910"/>
      <c r="E815" s="912"/>
      <c r="F815" s="857"/>
      <c r="G815" s="911"/>
      <c r="H815" s="910"/>
      <c r="I815" s="910"/>
      <c r="J815" s="860"/>
      <c r="K815" s="910"/>
    </row>
    <row r="816">
      <c r="A816" s="910"/>
      <c r="B816" s="911"/>
      <c r="C816" s="910"/>
      <c r="D816" s="910"/>
      <c r="E816" s="912"/>
      <c r="F816" s="857"/>
      <c r="G816" s="911"/>
      <c r="H816" s="910"/>
      <c r="I816" s="910"/>
      <c r="J816" s="860"/>
      <c r="K816" s="910"/>
    </row>
    <row r="817">
      <c r="A817" s="910"/>
      <c r="B817" s="911"/>
      <c r="C817" s="910"/>
      <c r="D817" s="910"/>
      <c r="E817" s="912"/>
      <c r="F817" s="857"/>
      <c r="G817" s="911"/>
      <c r="H817" s="910"/>
      <c r="I817" s="910"/>
      <c r="J817" s="860"/>
      <c r="K817" s="910"/>
    </row>
    <row r="818">
      <c r="A818" s="910"/>
      <c r="B818" s="911"/>
      <c r="C818" s="910"/>
      <c r="D818" s="910"/>
      <c r="E818" s="912"/>
      <c r="F818" s="857"/>
      <c r="G818" s="911"/>
      <c r="H818" s="910"/>
      <c r="I818" s="910"/>
      <c r="J818" s="860"/>
      <c r="K818" s="910"/>
    </row>
    <row r="819">
      <c r="A819" s="910"/>
      <c r="B819" s="911"/>
      <c r="C819" s="910"/>
      <c r="D819" s="910"/>
      <c r="E819" s="912"/>
      <c r="F819" s="857"/>
      <c r="G819" s="911"/>
      <c r="H819" s="910"/>
      <c r="I819" s="910"/>
      <c r="J819" s="860"/>
      <c r="K819" s="910"/>
    </row>
    <row r="820">
      <c r="A820" s="910"/>
      <c r="B820" s="911"/>
      <c r="C820" s="910"/>
      <c r="D820" s="910"/>
      <c r="E820" s="912"/>
      <c r="F820" s="857"/>
      <c r="G820" s="911"/>
      <c r="H820" s="910"/>
      <c r="I820" s="910"/>
      <c r="J820" s="860"/>
      <c r="K820" s="910"/>
    </row>
    <row r="821">
      <c r="A821" s="910"/>
      <c r="B821" s="911"/>
      <c r="C821" s="910"/>
      <c r="D821" s="910"/>
      <c r="E821" s="912"/>
      <c r="F821" s="857"/>
      <c r="G821" s="911"/>
      <c r="H821" s="910"/>
      <c r="I821" s="910"/>
      <c r="J821" s="860"/>
      <c r="K821" s="910"/>
    </row>
    <row r="822">
      <c r="A822" s="910"/>
      <c r="B822" s="911"/>
      <c r="C822" s="910"/>
      <c r="D822" s="910"/>
      <c r="E822" s="912"/>
      <c r="F822" s="857"/>
      <c r="G822" s="911"/>
      <c r="H822" s="910"/>
      <c r="I822" s="910"/>
      <c r="J822" s="860"/>
      <c r="K822" s="910"/>
    </row>
    <row r="823">
      <c r="A823" s="910"/>
      <c r="B823" s="911"/>
      <c r="C823" s="910"/>
      <c r="D823" s="910"/>
      <c r="E823" s="912"/>
      <c r="F823" s="857"/>
      <c r="G823" s="911"/>
      <c r="H823" s="910"/>
      <c r="I823" s="910"/>
      <c r="J823" s="860"/>
      <c r="K823" s="910"/>
    </row>
    <row r="824">
      <c r="A824" s="910"/>
      <c r="B824" s="911"/>
      <c r="C824" s="910"/>
      <c r="D824" s="910"/>
      <c r="E824" s="912"/>
      <c r="F824" s="857"/>
      <c r="G824" s="911"/>
      <c r="H824" s="910"/>
      <c r="I824" s="910"/>
      <c r="J824" s="860"/>
      <c r="K824" s="910"/>
    </row>
    <row r="825">
      <c r="A825" s="910"/>
      <c r="B825" s="911"/>
      <c r="C825" s="910"/>
      <c r="D825" s="910"/>
      <c r="E825" s="912"/>
      <c r="F825" s="857"/>
      <c r="G825" s="911"/>
      <c r="H825" s="910"/>
      <c r="I825" s="910"/>
      <c r="J825" s="860"/>
      <c r="K825" s="910"/>
    </row>
    <row r="826">
      <c r="A826" s="910"/>
      <c r="B826" s="911"/>
      <c r="C826" s="910"/>
      <c r="D826" s="910"/>
      <c r="E826" s="912"/>
      <c r="F826" s="857"/>
      <c r="G826" s="911"/>
      <c r="H826" s="910"/>
      <c r="I826" s="910"/>
      <c r="J826" s="860"/>
      <c r="K826" s="910"/>
    </row>
    <row r="827">
      <c r="A827" s="910"/>
      <c r="B827" s="911"/>
      <c r="C827" s="910"/>
      <c r="D827" s="910"/>
      <c r="E827" s="912"/>
      <c r="F827" s="857"/>
      <c r="G827" s="911"/>
      <c r="H827" s="910"/>
      <c r="I827" s="910"/>
      <c r="J827" s="860"/>
      <c r="K827" s="910"/>
    </row>
    <row r="828">
      <c r="A828" s="910"/>
      <c r="B828" s="911"/>
      <c r="C828" s="910"/>
      <c r="D828" s="910"/>
      <c r="E828" s="912"/>
      <c r="F828" s="857"/>
      <c r="G828" s="911"/>
      <c r="H828" s="910"/>
      <c r="I828" s="910"/>
      <c r="J828" s="860"/>
      <c r="K828" s="910"/>
    </row>
    <row r="829">
      <c r="A829" s="910"/>
      <c r="B829" s="911"/>
      <c r="C829" s="910"/>
      <c r="D829" s="910"/>
      <c r="E829" s="912"/>
      <c r="F829" s="857"/>
      <c r="G829" s="911"/>
      <c r="H829" s="910"/>
      <c r="I829" s="910"/>
      <c r="J829" s="860"/>
      <c r="K829" s="910"/>
    </row>
    <row r="830">
      <c r="A830" s="910"/>
      <c r="B830" s="911"/>
      <c r="C830" s="910"/>
      <c r="D830" s="910"/>
      <c r="E830" s="912"/>
      <c r="F830" s="857"/>
      <c r="G830" s="911"/>
      <c r="H830" s="910"/>
      <c r="I830" s="910"/>
      <c r="J830" s="860"/>
      <c r="K830" s="910"/>
    </row>
    <row r="831">
      <c r="A831" s="910"/>
      <c r="B831" s="911"/>
      <c r="C831" s="910"/>
      <c r="D831" s="910"/>
      <c r="E831" s="912"/>
      <c r="F831" s="857"/>
      <c r="G831" s="911"/>
      <c r="H831" s="910"/>
      <c r="I831" s="910"/>
      <c r="J831" s="860"/>
      <c r="K831" s="910"/>
    </row>
    <row r="832">
      <c r="A832" s="910"/>
      <c r="B832" s="911"/>
      <c r="C832" s="910"/>
      <c r="D832" s="910"/>
      <c r="E832" s="912"/>
      <c r="F832" s="857"/>
      <c r="G832" s="911"/>
      <c r="H832" s="910"/>
      <c r="I832" s="910"/>
      <c r="J832" s="860"/>
      <c r="K832" s="910"/>
    </row>
    <row r="833">
      <c r="A833" s="910"/>
      <c r="B833" s="911"/>
      <c r="C833" s="910"/>
      <c r="D833" s="910"/>
      <c r="E833" s="912"/>
      <c r="F833" s="857"/>
      <c r="G833" s="911"/>
      <c r="H833" s="910"/>
      <c r="I833" s="910"/>
      <c r="J833" s="860"/>
      <c r="K833" s="910"/>
    </row>
    <row r="834">
      <c r="A834" s="910"/>
      <c r="B834" s="911"/>
      <c r="C834" s="910"/>
      <c r="D834" s="910"/>
      <c r="E834" s="912"/>
      <c r="F834" s="857"/>
      <c r="G834" s="911"/>
      <c r="H834" s="910"/>
      <c r="I834" s="910"/>
      <c r="J834" s="860"/>
      <c r="K834" s="910"/>
    </row>
    <row r="835">
      <c r="A835" s="910"/>
      <c r="B835" s="911"/>
      <c r="C835" s="910"/>
      <c r="D835" s="910"/>
      <c r="E835" s="912"/>
      <c r="F835" s="857"/>
      <c r="G835" s="911"/>
      <c r="H835" s="910"/>
      <c r="I835" s="910"/>
      <c r="J835" s="860"/>
      <c r="K835" s="910"/>
    </row>
    <row r="836">
      <c r="A836" s="910"/>
      <c r="B836" s="911"/>
      <c r="C836" s="910"/>
      <c r="D836" s="910"/>
      <c r="E836" s="912"/>
      <c r="F836" s="857"/>
      <c r="G836" s="911"/>
      <c r="H836" s="910"/>
      <c r="I836" s="910"/>
      <c r="J836" s="860"/>
      <c r="K836" s="910"/>
    </row>
    <row r="837">
      <c r="A837" s="910"/>
      <c r="B837" s="911"/>
      <c r="C837" s="910"/>
      <c r="D837" s="910"/>
      <c r="E837" s="912"/>
      <c r="F837" s="857"/>
      <c r="G837" s="911"/>
      <c r="H837" s="910"/>
      <c r="I837" s="910"/>
      <c r="J837" s="860"/>
      <c r="K837" s="910"/>
    </row>
    <row r="838">
      <c r="A838" s="910"/>
      <c r="B838" s="911"/>
      <c r="C838" s="910"/>
      <c r="D838" s="910"/>
      <c r="E838" s="912"/>
      <c r="F838" s="857"/>
      <c r="G838" s="911"/>
      <c r="H838" s="910"/>
      <c r="I838" s="910"/>
      <c r="J838" s="860"/>
      <c r="K838" s="910"/>
    </row>
    <row r="839">
      <c r="A839" s="910"/>
      <c r="B839" s="911"/>
      <c r="C839" s="910"/>
      <c r="D839" s="910"/>
      <c r="E839" s="912"/>
      <c r="F839" s="857"/>
      <c r="G839" s="911"/>
      <c r="H839" s="910"/>
      <c r="I839" s="910"/>
      <c r="J839" s="860"/>
      <c r="K839" s="910"/>
    </row>
    <row r="840">
      <c r="A840" s="910"/>
      <c r="B840" s="911"/>
      <c r="C840" s="910"/>
      <c r="D840" s="910"/>
      <c r="E840" s="912"/>
      <c r="F840" s="857"/>
      <c r="G840" s="911"/>
      <c r="H840" s="910"/>
      <c r="I840" s="910"/>
      <c r="J840" s="860"/>
      <c r="K840" s="910"/>
    </row>
    <row r="841">
      <c r="A841" s="910"/>
      <c r="B841" s="911"/>
      <c r="C841" s="910"/>
      <c r="D841" s="910"/>
      <c r="E841" s="912"/>
      <c r="F841" s="857"/>
      <c r="G841" s="911"/>
      <c r="H841" s="910"/>
      <c r="I841" s="910"/>
      <c r="J841" s="860"/>
      <c r="K841" s="910"/>
    </row>
    <row r="842">
      <c r="A842" s="910"/>
      <c r="B842" s="911"/>
      <c r="C842" s="910"/>
      <c r="D842" s="910"/>
      <c r="E842" s="912"/>
      <c r="F842" s="857"/>
      <c r="G842" s="911"/>
      <c r="H842" s="910"/>
      <c r="I842" s="910"/>
      <c r="J842" s="860"/>
      <c r="K842" s="910"/>
    </row>
    <row r="843">
      <c r="A843" s="910"/>
      <c r="B843" s="911"/>
      <c r="C843" s="910"/>
      <c r="D843" s="910"/>
      <c r="E843" s="912"/>
      <c r="F843" s="857"/>
      <c r="G843" s="911"/>
      <c r="H843" s="910"/>
      <c r="I843" s="910"/>
      <c r="J843" s="860"/>
      <c r="K843" s="910"/>
    </row>
    <row r="844">
      <c r="A844" s="910"/>
      <c r="B844" s="911"/>
      <c r="C844" s="910"/>
      <c r="D844" s="910"/>
      <c r="E844" s="912"/>
      <c r="F844" s="857"/>
      <c r="G844" s="911"/>
      <c r="H844" s="910"/>
      <c r="I844" s="910"/>
      <c r="J844" s="860"/>
      <c r="K844" s="910"/>
    </row>
    <row r="845">
      <c r="A845" s="910"/>
      <c r="B845" s="911"/>
      <c r="C845" s="910"/>
      <c r="D845" s="910"/>
      <c r="E845" s="912"/>
      <c r="F845" s="857"/>
      <c r="G845" s="911"/>
      <c r="H845" s="910"/>
      <c r="I845" s="910"/>
      <c r="J845" s="860"/>
      <c r="K845" s="910"/>
    </row>
    <row r="846">
      <c r="A846" s="910"/>
      <c r="B846" s="911"/>
      <c r="C846" s="910"/>
      <c r="D846" s="910"/>
      <c r="E846" s="912"/>
      <c r="F846" s="857"/>
      <c r="G846" s="911"/>
      <c r="H846" s="910"/>
      <c r="I846" s="910"/>
      <c r="J846" s="860"/>
      <c r="K846" s="910"/>
    </row>
    <row r="847">
      <c r="A847" s="910"/>
      <c r="B847" s="911"/>
      <c r="C847" s="910"/>
      <c r="D847" s="910"/>
      <c r="E847" s="912"/>
      <c r="F847" s="857"/>
      <c r="G847" s="911"/>
      <c r="H847" s="910"/>
      <c r="I847" s="910"/>
      <c r="J847" s="860"/>
      <c r="K847" s="910"/>
    </row>
    <row r="848">
      <c r="A848" s="910"/>
      <c r="B848" s="911"/>
      <c r="C848" s="910"/>
      <c r="D848" s="910"/>
      <c r="E848" s="912"/>
      <c r="F848" s="857"/>
      <c r="G848" s="911"/>
      <c r="H848" s="910"/>
      <c r="I848" s="910"/>
      <c r="J848" s="860"/>
      <c r="K848" s="910"/>
    </row>
    <row r="849">
      <c r="A849" s="910"/>
      <c r="B849" s="911"/>
      <c r="C849" s="910"/>
      <c r="D849" s="910"/>
      <c r="E849" s="912"/>
      <c r="F849" s="857"/>
      <c r="G849" s="911"/>
      <c r="H849" s="910"/>
      <c r="I849" s="910"/>
      <c r="J849" s="860"/>
      <c r="K849" s="910"/>
    </row>
    <row r="850">
      <c r="A850" s="910"/>
      <c r="B850" s="911"/>
      <c r="C850" s="910"/>
      <c r="D850" s="910"/>
      <c r="E850" s="912"/>
      <c r="F850" s="857"/>
      <c r="G850" s="911"/>
      <c r="H850" s="910"/>
      <c r="I850" s="910"/>
      <c r="J850" s="860"/>
      <c r="K850" s="910"/>
    </row>
    <row r="851">
      <c r="A851" s="910"/>
      <c r="B851" s="911"/>
      <c r="C851" s="910"/>
      <c r="D851" s="910"/>
      <c r="E851" s="912"/>
      <c r="F851" s="857"/>
      <c r="G851" s="911"/>
      <c r="H851" s="910"/>
      <c r="I851" s="910"/>
      <c r="J851" s="860"/>
      <c r="K851" s="910"/>
    </row>
    <row r="852">
      <c r="A852" s="910"/>
      <c r="B852" s="911"/>
      <c r="C852" s="910"/>
      <c r="D852" s="910"/>
      <c r="E852" s="912"/>
      <c r="F852" s="857"/>
      <c r="G852" s="911"/>
      <c r="H852" s="910"/>
      <c r="I852" s="910"/>
      <c r="J852" s="860"/>
      <c r="K852" s="910"/>
    </row>
    <row r="853">
      <c r="A853" s="910"/>
      <c r="B853" s="911"/>
      <c r="C853" s="910"/>
      <c r="D853" s="910"/>
      <c r="E853" s="912"/>
      <c r="F853" s="857"/>
      <c r="G853" s="911"/>
      <c r="H853" s="910"/>
      <c r="I853" s="910"/>
      <c r="J853" s="860"/>
      <c r="K853" s="910"/>
    </row>
    <row r="854">
      <c r="A854" s="910"/>
      <c r="B854" s="911"/>
      <c r="C854" s="910"/>
      <c r="D854" s="910"/>
      <c r="E854" s="912"/>
      <c r="F854" s="857"/>
      <c r="G854" s="911"/>
      <c r="H854" s="910"/>
      <c r="I854" s="910"/>
      <c r="J854" s="860"/>
      <c r="K854" s="910"/>
    </row>
    <row r="855">
      <c r="A855" s="910"/>
      <c r="B855" s="911"/>
      <c r="C855" s="910"/>
      <c r="D855" s="910"/>
      <c r="E855" s="912"/>
      <c r="F855" s="857"/>
      <c r="G855" s="911"/>
      <c r="H855" s="910"/>
      <c r="I855" s="910"/>
      <c r="J855" s="860"/>
      <c r="K855" s="910"/>
    </row>
    <row r="856">
      <c r="A856" s="910"/>
      <c r="B856" s="911"/>
      <c r="C856" s="910"/>
      <c r="D856" s="910"/>
      <c r="E856" s="912"/>
      <c r="F856" s="857"/>
      <c r="G856" s="911"/>
      <c r="H856" s="910"/>
      <c r="I856" s="910"/>
      <c r="J856" s="860"/>
      <c r="K856" s="910"/>
    </row>
    <row r="857">
      <c r="A857" s="910"/>
      <c r="B857" s="911"/>
      <c r="C857" s="910"/>
      <c r="D857" s="910"/>
      <c r="E857" s="912"/>
      <c r="F857" s="857"/>
      <c r="G857" s="911"/>
      <c r="H857" s="910"/>
      <c r="I857" s="910"/>
      <c r="J857" s="860"/>
      <c r="K857" s="910"/>
    </row>
    <row r="858">
      <c r="A858" s="910"/>
      <c r="B858" s="911"/>
      <c r="C858" s="910"/>
      <c r="D858" s="910"/>
      <c r="E858" s="912"/>
      <c r="F858" s="857"/>
      <c r="G858" s="911"/>
      <c r="H858" s="910"/>
      <c r="I858" s="910"/>
      <c r="J858" s="860"/>
      <c r="K858" s="910"/>
    </row>
    <row r="859">
      <c r="A859" s="910"/>
      <c r="B859" s="911"/>
      <c r="C859" s="910"/>
      <c r="D859" s="910"/>
      <c r="E859" s="912"/>
      <c r="F859" s="857"/>
      <c r="G859" s="911"/>
      <c r="H859" s="910"/>
      <c r="I859" s="910"/>
      <c r="J859" s="860"/>
      <c r="K859" s="910"/>
    </row>
    <row r="860">
      <c r="A860" s="910"/>
      <c r="B860" s="911"/>
      <c r="C860" s="910"/>
      <c r="D860" s="910"/>
      <c r="E860" s="912"/>
      <c r="F860" s="857"/>
      <c r="G860" s="911"/>
      <c r="H860" s="910"/>
      <c r="I860" s="910"/>
      <c r="J860" s="860"/>
      <c r="K860" s="910"/>
    </row>
    <row r="861">
      <c r="A861" s="910"/>
      <c r="B861" s="911"/>
      <c r="C861" s="910"/>
      <c r="D861" s="910"/>
      <c r="E861" s="912"/>
      <c r="F861" s="857"/>
      <c r="G861" s="911"/>
      <c r="H861" s="910"/>
      <c r="I861" s="910"/>
      <c r="J861" s="860"/>
      <c r="K861" s="910"/>
    </row>
    <row r="862">
      <c r="A862" s="910"/>
      <c r="B862" s="911"/>
      <c r="C862" s="910"/>
      <c r="D862" s="910"/>
      <c r="E862" s="912"/>
      <c r="F862" s="857"/>
      <c r="G862" s="911"/>
      <c r="H862" s="910"/>
      <c r="I862" s="910"/>
      <c r="J862" s="860"/>
      <c r="K862" s="910"/>
    </row>
    <row r="863">
      <c r="A863" s="910"/>
      <c r="B863" s="911"/>
      <c r="C863" s="910"/>
      <c r="D863" s="910"/>
      <c r="E863" s="912"/>
      <c r="F863" s="857"/>
      <c r="G863" s="911"/>
      <c r="H863" s="910"/>
      <c r="I863" s="910"/>
      <c r="J863" s="860"/>
      <c r="K863" s="910"/>
    </row>
    <row r="864">
      <c r="A864" s="910"/>
      <c r="B864" s="911"/>
      <c r="C864" s="910"/>
      <c r="D864" s="910"/>
      <c r="E864" s="912"/>
      <c r="F864" s="857"/>
      <c r="G864" s="911"/>
      <c r="H864" s="910"/>
      <c r="I864" s="910"/>
      <c r="J864" s="860"/>
      <c r="K864" s="910"/>
    </row>
    <row r="865">
      <c r="A865" s="910"/>
      <c r="B865" s="911"/>
      <c r="C865" s="910"/>
      <c r="D865" s="910"/>
      <c r="E865" s="912"/>
      <c r="F865" s="857"/>
      <c r="G865" s="911"/>
      <c r="H865" s="910"/>
      <c r="I865" s="910"/>
      <c r="J865" s="860"/>
      <c r="K865" s="910"/>
    </row>
    <row r="866">
      <c r="A866" s="910"/>
      <c r="B866" s="911"/>
      <c r="C866" s="910"/>
      <c r="D866" s="910"/>
      <c r="E866" s="912"/>
      <c r="F866" s="857"/>
      <c r="G866" s="911"/>
      <c r="H866" s="910"/>
      <c r="I866" s="910"/>
      <c r="J866" s="860"/>
      <c r="K866" s="910"/>
    </row>
    <row r="867">
      <c r="A867" s="910"/>
      <c r="B867" s="911"/>
      <c r="C867" s="910"/>
      <c r="D867" s="910"/>
      <c r="E867" s="912"/>
      <c r="F867" s="857"/>
      <c r="G867" s="911"/>
      <c r="H867" s="910"/>
      <c r="I867" s="910"/>
      <c r="J867" s="860"/>
      <c r="K867" s="910"/>
    </row>
    <row r="868">
      <c r="A868" s="910"/>
      <c r="B868" s="911"/>
      <c r="C868" s="910"/>
      <c r="D868" s="910"/>
      <c r="E868" s="912"/>
      <c r="F868" s="857"/>
      <c r="G868" s="911"/>
      <c r="H868" s="910"/>
      <c r="I868" s="910"/>
      <c r="J868" s="860"/>
      <c r="K868" s="910"/>
    </row>
    <row r="869">
      <c r="A869" s="910"/>
      <c r="B869" s="911"/>
      <c r="C869" s="910"/>
      <c r="D869" s="910"/>
      <c r="E869" s="912"/>
      <c r="F869" s="857"/>
      <c r="G869" s="911"/>
      <c r="H869" s="910"/>
      <c r="I869" s="910"/>
      <c r="J869" s="860"/>
      <c r="K869" s="910"/>
    </row>
    <row r="870">
      <c r="A870" s="910"/>
      <c r="B870" s="911"/>
      <c r="C870" s="910"/>
      <c r="D870" s="910"/>
      <c r="E870" s="912"/>
      <c r="F870" s="857"/>
      <c r="G870" s="911"/>
      <c r="H870" s="910"/>
      <c r="I870" s="910"/>
      <c r="J870" s="860"/>
      <c r="K870" s="910"/>
    </row>
    <row r="871">
      <c r="A871" s="910"/>
      <c r="B871" s="911"/>
      <c r="C871" s="910"/>
      <c r="D871" s="910"/>
      <c r="E871" s="912"/>
      <c r="F871" s="857"/>
      <c r="G871" s="911"/>
      <c r="H871" s="910"/>
      <c r="I871" s="910"/>
      <c r="J871" s="860"/>
      <c r="K871" s="910"/>
    </row>
    <row r="872">
      <c r="A872" s="910"/>
      <c r="B872" s="911"/>
      <c r="C872" s="910"/>
      <c r="D872" s="910"/>
      <c r="E872" s="912"/>
      <c r="F872" s="857"/>
      <c r="G872" s="911"/>
      <c r="H872" s="910"/>
      <c r="I872" s="910"/>
      <c r="J872" s="860"/>
      <c r="K872" s="910"/>
    </row>
    <row r="873">
      <c r="A873" s="910"/>
      <c r="B873" s="911"/>
      <c r="C873" s="910"/>
      <c r="D873" s="910"/>
      <c r="E873" s="912"/>
      <c r="F873" s="857"/>
      <c r="G873" s="911"/>
      <c r="H873" s="910"/>
      <c r="I873" s="910"/>
      <c r="J873" s="860"/>
      <c r="K873" s="910"/>
    </row>
    <row r="874">
      <c r="A874" s="910"/>
      <c r="B874" s="911"/>
      <c r="C874" s="910"/>
      <c r="D874" s="910"/>
      <c r="E874" s="912"/>
      <c r="F874" s="857"/>
      <c r="G874" s="911"/>
      <c r="H874" s="910"/>
      <c r="I874" s="910"/>
      <c r="J874" s="860"/>
      <c r="K874" s="910"/>
    </row>
    <row r="875">
      <c r="A875" s="910"/>
      <c r="B875" s="911"/>
      <c r="C875" s="910"/>
      <c r="D875" s="910"/>
      <c r="E875" s="912"/>
      <c r="F875" s="857"/>
      <c r="G875" s="911"/>
      <c r="H875" s="910"/>
      <c r="I875" s="910"/>
      <c r="J875" s="860"/>
      <c r="K875" s="910"/>
    </row>
    <row r="876">
      <c r="A876" s="910"/>
      <c r="B876" s="911"/>
      <c r="C876" s="910"/>
      <c r="D876" s="910"/>
      <c r="E876" s="912"/>
      <c r="F876" s="857"/>
      <c r="G876" s="911"/>
      <c r="H876" s="910"/>
      <c r="I876" s="910"/>
      <c r="J876" s="860"/>
      <c r="K876" s="910"/>
    </row>
    <row r="877">
      <c r="A877" s="910"/>
      <c r="B877" s="911"/>
      <c r="C877" s="910"/>
      <c r="D877" s="910"/>
      <c r="E877" s="912"/>
      <c r="F877" s="857"/>
      <c r="G877" s="911"/>
      <c r="H877" s="910"/>
      <c r="I877" s="910"/>
      <c r="J877" s="860"/>
      <c r="K877" s="910"/>
    </row>
    <row r="878">
      <c r="A878" s="910"/>
      <c r="B878" s="911"/>
      <c r="C878" s="910"/>
      <c r="D878" s="910"/>
      <c r="E878" s="912"/>
      <c r="F878" s="857"/>
      <c r="G878" s="911"/>
      <c r="H878" s="910"/>
      <c r="I878" s="910"/>
      <c r="J878" s="860"/>
      <c r="K878" s="910"/>
    </row>
    <row r="879">
      <c r="A879" s="910"/>
      <c r="B879" s="911"/>
      <c r="C879" s="910"/>
      <c r="D879" s="910"/>
      <c r="E879" s="912"/>
      <c r="F879" s="857"/>
      <c r="G879" s="911"/>
      <c r="H879" s="910"/>
      <c r="I879" s="910"/>
      <c r="J879" s="860"/>
      <c r="K879" s="910"/>
    </row>
    <row r="880">
      <c r="A880" s="910"/>
      <c r="B880" s="911"/>
      <c r="C880" s="910"/>
      <c r="D880" s="910"/>
      <c r="E880" s="912"/>
      <c r="F880" s="857"/>
      <c r="G880" s="911"/>
      <c r="H880" s="910"/>
      <c r="I880" s="910"/>
      <c r="J880" s="860"/>
      <c r="K880" s="910"/>
    </row>
    <row r="881">
      <c r="A881" s="910"/>
      <c r="B881" s="911"/>
      <c r="C881" s="910"/>
      <c r="D881" s="910"/>
      <c r="E881" s="912"/>
      <c r="F881" s="857"/>
      <c r="G881" s="911"/>
      <c r="H881" s="910"/>
      <c r="I881" s="910"/>
      <c r="J881" s="860"/>
      <c r="K881" s="910"/>
    </row>
    <row r="882">
      <c r="A882" s="910"/>
      <c r="B882" s="911"/>
      <c r="C882" s="910"/>
      <c r="D882" s="910"/>
      <c r="E882" s="912"/>
      <c r="F882" s="857"/>
      <c r="G882" s="911"/>
      <c r="H882" s="910"/>
      <c r="I882" s="910"/>
      <c r="J882" s="860"/>
      <c r="K882" s="910"/>
    </row>
    <row r="883">
      <c r="A883" s="910"/>
      <c r="B883" s="911"/>
      <c r="C883" s="910"/>
      <c r="D883" s="910"/>
      <c r="E883" s="912"/>
      <c r="F883" s="857"/>
      <c r="G883" s="911"/>
      <c r="H883" s="910"/>
      <c r="I883" s="910"/>
      <c r="J883" s="860"/>
      <c r="K883" s="910"/>
    </row>
    <row r="884">
      <c r="A884" s="910"/>
      <c r="B884" s="911"/>
      <c r="C884" s="910"/>
      <c r="D884" s="910"/>
      <c r="E884" s="912"/>
      <c r="F884" s="857"/>
      <c r="G884" s="911"/>
      <c r="H884" s="910"/>
      <c r="I884" s="910"/>
      <c r="J884" s="860"/>
      <c r="K884" s="910"/>
    </row>
    <row r="885">
      <c r="A885" s="910"/>
      <c r="B885" s="911"/>
      <c r="C885" s="910"/>
      <c r="D885" s="910"/>
      <c r="E885" s="912"/>
      <c r="F885" s="857"/>
      <c r="G885" s="911"/>
      <c r="H885" s="910"/>
      <c r="I885" s="910"/>
      <c r="J885" s="860"/>
      <c r="K885" s="910"/>
    </row>
    <row r="886">
      <c r="A886" s="910"/>
      <c r="B886" s="911"/>
      <c r="C886" s="910"/>
      <c r="D886" s="910"/>
      <c r="E886" s="912"/>
      <c r="F886" s="857"/>
      <c r="G886" s="911"/>
      <c r="H886" s="910"/>
      <c r="I886" s="910"/>
      <c r="J886" s="860"/>
      <c r="K886" s="910"/>
    </row>
    <row r="887">
      <c r="A887" s="910"/>
      <c r="B887" s="911"/>
      <c r="C887" s="910"/>
      <c r="D887" s="910"/>
      <c r="E887" s="912"/>
      <c r="F887" s="857"/>
      <c r="G887" s="911"/>
      <c r="H887" s="910"/>
      <c r="I887" s="910"/>
      <c r="J887" s="860"/>
      <c r="K887" s="910"/>
    </row>
    <row r="888">
      <c r="A888" s="910"/>
      <c r="B888" s="911"/>
      <c r="C888" s="910"/>
      <c r="D888" s="910"/>
      <c r="E888" s="912"/>
      <c r="F888" s="857"/>
      <c r="G888" s="911"/>
      <c r="H888" s="910"/>
      <c r="I888" s="910"/>
      <c r="J888" s="860"/>
      <c r="K888" s="910"/>
    </row>
    <row r="889">
      <c r="A889" s="910"/>
      <c r="B889" s="911"/>
      <c r="C889" s="910"/>
      <c r="D889" s="910"/>
      <c r="E889" s="912"/>
      <c r="F889" s="857"/>
      <c r="G889" s="911"/>
      <c r="H889" s="910"/>
      <c r="I889" s="910"/>
      <c r="J889" s="860"/>
      <c r="K889" s="910"/>
    </row>
    <row r="890">
      <c r="A890" s="910"/>
      <c r="B890" s="911"/>
      <c r="C890" s="910"/>
      <c r="D890" s="910"/>
      <c r="E890" s="912"/>
      <c r="F890" s="857"/>
      <c r="G890" s="911"/>
      <c r="H890" s="910"/>
      <c r="I890" s="910"/>
      <c r="J890" s="860"/>
      <c r="K890" s="910"/>
    </row>
    <row r="891">
      <c r="A891" s="910"/>
      <c r="B891" s="911"/>
      <c r="C891" s="910"/>
      <c r="D891" s="910"/>
      <c r="E891" s="912"/>
      <c r="F891" s="857"/>
      <c r="G891" s="911"/>
      <c r="H891" s="910"/>
      <c r="I891" s="910"/>
      <c r="J891" s="860"/>
      <c r="K891" s="910"/>
    </row>
    <row r="892">
      <c r="A892" s="910"/>
      <c r="B892" s="911"/>
      <c r="C892" s="910"/>
      <c r="D892" s="910"/>
      <c r="E892" s="912"/>
      <c r="F892" s="857"/>
      <c r="G892" s="911"/>
      <c r="H892" s="910"/>
      <c r="I892" s="910"/>
      <c r="J892" s="860"/>
      <c r="K892" s="910"/>
    </row>
    <row r="893">
      <c r="A893" s="910"/>
      <c r="B893" s="911"/>
      <c r="C893" s="910"/>
      <c r="D893" s="910"/>
      <c r="E893" s="912"/>
      <c r="F893" s="857"/>
      <c r="G893" s="911"/>
      <c r="H893" s="910"/>
      <c r="I893" s="910"/>
      <c r="J893" s="860"/>
      <c r="K893" s="910"/>
    </row>
    <row r="894">
      <c r="A894" s="910"/>
      <c r="B894" s="911"/>
      <c r="C894" s="910"/>
      <c r="D894" s="910"/>
      <c r="E894" s="912"/>
      <c r="F894" s="857"/>
      <c r="G894" s="911"/>
      <c r="H894" s="910"/>
      <c r="I894" s="910"/>
      <c r="J894" s="860"/>
      <c r="K894" s="910"/>
    </row>
    <row r="895">
      <c r="A895" s="910"/>
      <c r="B895" s="911"/>
      <c r="C895" s="910"/>
      <c r="D895" s="910"/>
      <c r="E895" s="912"/>
      <c r="F895" s="857"/>
      <c r="G895" s="911"/>
      <c r="H895" s="910"/>
      <c r="I895" s="910"/>
      <c r="J895" s="860"/>
      <c r="K895" s="910"/>
    </row>
    <row r="896">
      <c r="A896" s="910"/>
      <c r="B896" s="911"/>
      <c r="C896" s="910"/>
      <c r="D896" s="910"/>
      <c r="E896" s="912"/>
      <c r="F896" s="857"/>
      <c r="G896" s="911"/>
      <c r="H896" s="910"/>
      <c r="I896" s="910"/>
      <c r="J896" s="860"/>
      <c r="K896" s="910"/>
    </row>
    <row r="897">
      <c r="A897" s="910"/>
      <c r="B897" s="911"/>
      <c r="C897" s="910"/>
      <c r="D897" s="910"/>
      <c r="E897" s="912"/>
      <c r="F897" s="857"/>
      <c r="G897" s="911"/>
      <c r="H897" s="910"/>
      <c r="I897" s="910"/>
      <c r="J897" s="860"/>
      <c r="K897" s="910"/>
    </row>
    <row r="898">
      <c r="A898" s="910"/>
      <c r="B898" s="911"/>
      <c r="C898" s="910"/>
      <c r="D898" s="910"/>
      <c r="E898" s="912"/>
      <c r="F898" s="857"/>
      <c r="G898" s="911"/>
      <c r="H898" s="910"/>
      <c r="I898" s="910"/>
      <c r="J898" s="860"/>
      <c r="K898" s="910"/>
    </row>
    <row r="899">
      <c r="A899" s="910"/>
      <c r="B899" s="911"/>
      <c r="C899" s="910"/>
      <c r="D899" s="910"/>
      <c r="E899" s="912"/>
      <c r="F899" s="857"/>
      <c r="G899" s="911"/>
      <c r="H899" s="910"/>
      <c r="I899" s="910"/>
      <c r="J899" s="860"/>
      <c r="K899" s="910"/>
    </row>
    <row r="900">
      <c r="A900" s="910"/>
      <c r="B900" s="911"/>
      <c r="C900" s="910"/>
      <c r="D900" s="910"/>
      <c r="E900" s="912"/>
      <c r="F900" s="857"/>
      <c r="G900" s="911"/>
      <c r="H900" s="910"/>
      <c r="I900" s="910"/>
      <c r="J900" s="860"/>
      <c r="K900" s="910"/>
    </row>
    <row r="901">
      <c r="A901" s="910"/>
      <c r="B901" s="911"/>
      <c r="C901" s="910"/>
      <c r="D901" s="910"/>
      <c r="E901" s="912"/>
      <c r="F901" s="857"/>
      <c r="G901" s="911"/>
      <c r="H901" s="910"/>
      <c r="I901" s="910"/>
      <c r="J901" s="860"/>
      <c r="K901" s="910"/>
    </row>
    <row r="902">
      <c r="A902" s="910"/>
      <c r="B902" s="911"/>
      <c r="C902" s="910"/>
      <c r="D902" s="910"/>
      <c r="E902" s="912"/>
      <c r="F902" s="857"/>
      <c r="G902" s="911"/>
      <c r="H902" s="910"/>
      <c r="I902" s="910"/>
      <c r="J902" s="860"/>
      <c r="K902" s="910"/>
    </row>
    <row r="903">
      <c r="A903" s="910"/>
      <c r="B903" s="911"/>
      <c r="C903" s="910"/>
      <c r="D903" s="910"/>
      <c r="E903" s="912"/>
      <c r="F903" s="857"/>
      <c r="G903" s="911"/>
      <c r="H903" s="910"/>
      <c r="I903" s="910"/>
      <c r="J903" s="860"/>
      <c r="K903" s="910"/>
    </row>
    <row r="904">
      <c r="A904" s="910"/>
      <c r="B904" s="911"/>
      <c r="C904" s="910"/>
      <c r="D904" s="910"/>
      <c r="E904" s="912"/>
      <c r="F904" s="857"/>
      <c r="G904" s="911"/>
      <c r="H904" s="910"/>
      <c r="I904" s="910"/>
      <c r="J904" s="860"/>
      <c r="K904" s="910"/>
    </row>
    <row r="905">
      <c r="A905" s="910"/>
      <c r="B905" s="911"/>
      <c r="C905" s="910"/>
      <c r="D905" s="910"/>
      <c r="E905" s="912"/>
      <c r="F905" s="857"/>
      <c r="G905" s="911"/>
      <c r="H905" s="910"/>
      <c r="I905" s="910"/>
      <c r="J905" s="860"/>
      <c r="K905" s="910"/>
    </row>
    <row r="906">
      <c r="A906" s="910"/>
      <c r="B906" s="911"/>
      <c r="C906" s="910"/>
      <c r="D906" s="910"/>
      <c r="E906" s="912"/>
      <c r="F906" s="857"/>
      <c r="G906" s="911"/>
      <c r="H906" s="910"/>
      <c r="I906" s="910"/>
      <c r="J906" s="860"/>
      <c r="K906" s="910"/>
    </row>
    <row r="907">
      <c r="A907" s="910"/>
      <c r="B907" s="911"/>
      <c r="C907" s="910"/>
      <c r="D907" s="910"/>
      <c r="E907" s="912"/>
      <c r="F907" s="857"/>
      <c r="G907" s="911"/>
      <c r="H907" s="910"/>
      <c r="I907" s="910"/>
      <c r="J907" s="860"/>
      <c r="K907" s="910"/>
    </row>
    <row r="908">
      <c r="A908" s="910"/>
      <c r="B908" s="911"/>
      <c r="C908" s="910"/>
      <c r="D908" s="910"/>
      <c r="E908" s="912"/>
      <c r="F908" s="857"/>
      <c r="G908" s="911"/>
      <c r="H908" s="910"/>
      <c r="I908" s="910"/>
      <c r="J908" s="860"/>
      <c r="K908" s="910"/>
    </row>
    <row r="909">
      <c r="A909" s="910"/>
      <c r="B909" s="911"/>
      <c r="C909" s="910"/>
      <c r="D909" s="910"/>
      <c r="E909" s="912"/>
      <c r="F909" s="857"/>
      <c r="G909" s="911"/>
      <c r="H909" s="910"/>
      <c r="I909" s="910"/>
      <c r="J909" s="860"/>
      <c r="K909" s="910"/>
    </row>
    <row r="910">
      <c r="A910" s="910"/>
      <c r="B910" s="911"/>
      <c r="C910" s="910"/>
      <c r="D910" s="910"/>
      <c r="E910" s="912"/>
      <c r="F910" s="857"/>
      <c r="G910" s="911"/>
      <c r="H910" s="910"/>
      <c r="I910" s="910"/>
      <c r="J910" s="860"/>
      <c r="K910" s="910"/>
    </row>
    <row r="911">
      <c r="A911" s="910"/>
      <c r="B911" s="911"/>
      <c r="C911" s="910"/>
      <c r="D911" s="910"/>
      <c r="E911" s="912"/>
      <c r="F911" s="857"/>
      <c r="G911" s="911"/>
      <c r="H911" s="910"/>
      <c r="I911" s="910"/>
      <c r="J911" s="860"/>
      <c r="K911" s="910"/>
    </row>
    <row r="912">
      <c r="A912" s="910"/>
      <c r="B912" s="911"/>
      <c r="C912" s="910"/>
      <c r="D912" s="910"/>
      <c r="E912" s="912"/>
      <c r="F912" s="857"/>
      <c r="G912" s="911"/>
      <c r="H912" s="910"/>
      <c r="I912" s="910"/>
      <c r="J912" s="860"/>
      <c r="K912" s="910"/>
    </row>
    <row r="913">
      <c r="A913" s="910"/>
      <c r="B913" s="911"/>
      <c r="C913" s="910"/>
      <c r="D913" s="910"/>
      <c r="E913" s="912"/>
      <c r="F913" s="857"/>
      <c r="G913" s="911"/>
      <c r="H913" s="910"/>
      <c r="I913" s="910"/>
      <c r="J913" s="860"/>
      <c r="K913" s="910"/>
    </row>
    <row r="914">
      <c r="A914" s="910"/>
      <c r="B914" s="911"/>
      <c r="C914" s="910"/>
      <c r="D914" s="910"/>
      <c r="E914" s="912"/>
      <c r="F914" s="857"/>
      <c r="G914" s="911"/>
      <c r="H914" s="910"/>
      <c r="I914" s="910"/>
      <c r="J914" s="860"/>
      <c r="K914" s="910"/>
    </row>
    <row r="915">
      <c r="A915" s="910"/>
      <c r="B915" s="911"/>
      <c r="C915" s="910"/>
      <c r="D915" s="910"/>
      <c r="E915" s="912"/>
      <c r="F915" s="857"/>
      <c r="G915" s="911"/>
      <c r="H915" s="910"/>
      <c r="I915" s="910"/>
      <c r="J915" s="860"/>
      <c r="K915" s="910"/>
    </row>
    <row r="916">
      <c r="A916" s="910"/>
      <c r="B916" s="911"/>
      <c r="C916" s="910"/>
      <c r="D916" s="910"/>
      <c r="E916" s="912"/>
      <c r="F916" s="857"/>
      <c r="G916" s="911"/>
      <c r="H916" s="910"/>
      <c r="I916" s="910"/>
      <c r="J916" s="860"/>
      <c r="K916" s="910"/>
    </row>
    <row r="917">
      <c r="A917" s="910"/>
      <c r="B917" s="911"/>
      <c r="C917" s="910"/>
      <c r="D917" s="910"/>
      <c r="E917" s="912"/>
      <c r="F917" s="857"/>
      <c r="G917" s="911"/>
      <c r="H917" s="910"/>
      <c r="I917" s="910"/>
      <c r="J917" s="860"/>
      <c r="K917" s="910"/>
    </row>
    <row r="918">
      <c r="A918" s="910"/>
      <c r="B918" s="911"/>
      <c r="C918" s="910"/>
      <c r="D918" s="910"/>
      <c r="E918" s="912"/>
      <c r="F918" s="857"/>
      <c r="G918" s="911"/>
      <c r="H918" s="910"/>
      <c r="I918" s="910"/>
      <c r="J918" s="860"/>
      <c r="K918" s="910"/>
    </row>
    <row r="919">
      <c r="A919" s="910"/>
      <c r="B919" s="911"/>
      <c r="C919" s="910"/>
      <c r="D919" s="910"/>
      <c r="E919" s="912"/>
      <c r="F919" s="857"/>
      <c r="G919" s="911"/>
      <c r="H919" s="910"/>
      <c r="I919" s="910"/>
      <c r="J919" s="860"/>
      <c r="K919" s="910"/>
    </row>
    <row r="920">
      <c r="A920" s="910"/>
      <c r="B920" s="911"/>
      <c r="C920" s="910"/>
      <c r="D920" s="910"/>
      <c r="E920" s="912"/>
      <c r="F920" s="857"/>
      <c r="G920" s="911"/>
      <c r="H920" s="910"/>
      <c r="I920" s="910"/>
      <c r="J920" s="860"/>
      <c r="K920" s="910"/>
    </row>
    <row r="921">
      <c r="A921" s="910"/>
      <c r="B921" s="911"/>
      <c r="C921" s="910"/>
      <c r="D921" s="910"/>
      <c r="E921" s="912"/>
      <c r="F921" s="857"/>
      <c r="G921" s="911"/>
      <c r="H921" s="910"/>
      <c r="I921" s="910"/>
      <c r="J921" s="860"/>
      <c r="K921" s="910"/>
    </row>
    <row r="922">
      <c r="A922" s="910"/>
      <c r="B922" s="911"/>
      <c r="C922" s="910"/>
      <c r="D922" s="910"/>
      <c r="E922" s="912"/>
      <c r="F922" s="857"/>
      <c r="G922" s="911"/>
      <c r="H922" s="910"/>
      <c r="I922" s="910"/>
      <c r="J922" s="860"/>
      <c r="K922" s="910"/>
    </row>
    <row r="923">
      <c r="A923" s="910"/>
      <c r="B923" s="911"/>
      <c r="C923" s="910"/>
      <c r="D923" s="910"/>
      <c r="E923" s="912"/>
      <c r="F923" s="857"/>
      <c r="G923" s="911"/>
      <c r="H923" s="910"/>
      <c r="I923" s="910"/>
      <c r="J923" s="860"/>
      <c r="K923" s="910"/>
    </row>
    <row r="924">
      <c r="A924" s="910"/>
      <c r="B924" s="911"/>
      <c r="C924" s="910"/>
      <c r="D924" s="910"/>
      <c r="E924" s="912"/>
      <c r="F924" s="857"/>
      <c r="G924" s="911"/>
      <c r="H924" s="910"/>
      <c r="I924" s="910"/>
      <c r="J924" s="860"/>
      <c r="K924" s="910"/>
    </row>
    <row r="925">
      <c r="A925" s="910"/>
      <c r="B925" s="911"/>
      <c r="C925" s="910"/>
      <c r="D925" s="910"/>
      <c r="E925" s="912"/>
      <c r="F925" s="857"/>
      <c r="G925" s="911"/>
      <c r="H925" s="910"/>
      <c r="I925" s="910"/>
      <c r="J925" s="860"/>
      <c r="K925" s="910"/>
    </row>
    <row r="926">
      <c r="A926" s="910"/>
      <c r="B926" s="911"/>
      <c r="C926" s="910"/>
      <c r="D926" s="910"/>
      <c r="E926" s="912"/>
      <c r="F926" s="857"/>
      <c r="G926" s="911"/>
      <c r="H926" s="910"/>
      <c r="I926" s="910"/>
      <c r="J926" s="860"/>
      <c r="K926" s="910"/>
    </row>
    <row r="927">
      <c r="A927" s="910"/>
      <c r="B927" s="911"/>
      <c r="C927" s="910"/>
      <c r="D927" s="910"/>
      <c r="E927" s="912"/>
      <c r="F927" s="857"/>
      <c r="G927" s="911"/>
      <c r="H927" s="910"/>
      <c r="I927" s="910"/>
      <c r="J927" s="860"/>
      <c r="K927" s="910"/>
    </row>
    <row r="928">
      <c r="A928" s="910"/>
      <c r="B928" s="911"/>
      <c r="C928" s="910"/>
      <c r="D928" s="910"/>
      <c r="E928" s="912"/>
      <c r="F928" s="857"/>
      <c r="G928" s="911"/>
      <c r="H928" s="910"/>
      <c r="I928" s="910"/>
      <c r="J928" s="860"/>
      <c r="K928" s="910"/>
    </row>
    <row r="929">
      <c r="A929" s="910"/>
      <c r="B929" s="911"/>
      <c r="C929" s="910"/>
      <c r="D929" s="910"/>
      <c r="E929" s="912"/>
      <c r="F929" s="857"/>
      <c r="G929" s="911"/>
      <c r="H929" s="910"/>
      <c r="I929" s="910"/>
      <c r="J929" s="860"/>
      <c r="K929" s="910"/>
    </row>
    <row r="930">
      <c r="A930" s="910"/>
      <c r="B930" s="911"/>
      <c r="C930" s="910"/>
      <c r="D930" s="910"/>
      <c r="E930" s="912"/>
      <c r="F930" s="857"/>
      <c r="G930" s="911"/>
      <c r="H930" s="910"/>
      <c r="I930" s="910"/>
      <c r="J930" s="860"/>
      <c r="K930" s="910"/>
    </row>
    <row r="931">
      <c r="A931" s="910"/>
      <c r="B931" s="911"/>
      <c r="C931" s="910"/>
      <c r="D931" s="910"/>
      <c r="E931" s="912"/>
      <c r="F931" s="857"/>
      <c r="G931" s="911"/>
      <c r="H931" s="910"/>
      <c r="I931" s="910"/>
      <c r="J931" s="860"/>
      <c r="K931" s="910"/>
    </row>
    <row r="932">
      <c r="A932" s="910"/>
      <c r="B932" s="911"/>
      <c r="C932" s="910"/>
      <c r="D932" s="910"/>
      <c r="E932" s="912"/>
      <c r="F932" s="857"/>
      <c r="G932" s="911"/>
      <c r="H932" s="910"/>
      <c r="I932" s="910"/>
      <c r="J932" s="860"/>
      <c r="K932" s="910"/>
    </row>
    <row r="933">
      <c r="A933" s="910"/>
      <c r="B933" s="911"/>
      <c r="C933" s="910"/>
      <c r="D933" s="910"/>
      <c r="E933" s="912"/>
      <c r="F933" s="857"/>
      <c r="G933" s="911"/>
      <c r="H933" s="910"/>
      <c r="I933" s="910"/>
      <c r="J933" s="860"/>
      <c r="K933" s="910"/>
    </row>
    <row r="934">
      <c r="A934" s="910"/>
      <c r="B934" s="911"/>
      <c r="C934" s="910"/>
      <c r="D934" s="910"/>
      <c r="E934" s="912"/>
      <c r="F934" s="857"/>
      <c r="G934" s="911"/>
      <c r="H934" s="910"/>
      <c r="I934" s="910"/>
      <c r="J934" s="860"/>
      <c r="K934" s="910"/>
    </row>
    <row r="935">
      <c r="A935" s="910"/>
      <c r="B935" s="911"/>
      <c r="C935" s="910"/>
      <c r="D935" s="910"/>
      <c r="E935" s="912"/>
      <c r="F935" s="857"/>
      <c r="G935" s="911"/>
      <c r="H935" s="910"/>
      <c r="I935" s="910"/>
      <c r="J935" s="860"/>
      <c r="K935" s="910"/>
    </row>
    <row r="936">
      <c r="A936" s="910"/>
      <c r="B936" s="911"/>
      <c r="C936" s="910"/>
      <c r="D936" s="910"/>
      <c r="E936" s="912"/>
      <c r="F936" s="857"/>
      <c r="G936" s="911"/>
      <c r="H936" s="910"/>
      <c r="I936" s="910"/>
      <c r="J936" s="860"/>
      <c r="K936" s="910"/>
    </row>
    <row r="937">
      <c r="A937" s="910"/>
      <c r="B937" s="911"/>
      <c r="C937" s="910"/>
      <c r="D937" s="910"/>
      <c r="E937" s="912"/>
      <c r="F937" s="857"/>
      <c r="G937" s="911"/>
      <c r="H937" s="910"/>
      <c r="I937" s="910"/>
      <c r="J937" s="860"/>
      <c r="K937" s="910"/>
    </row>
    <row r="938">
      <c r="A938" s="910"/>
      <c r="B938" s="911"/>
      <c r="C938" s="910"/>
      <c r="D938" s="910"/>
      <c r="E938" s="912"/>
      <c r="F938" s="857"/>
      <c r="G938" s="911"/>
      <c r="H938" s="910"/>
      <c r="I938" s="910"/>
      <c r="J938" s="860"/>
      <c r="K938" s="910"/>
    </row>
    <row r="939">
      <c r="A939" s="910"/>
      <c r="B939" s="911"/>
      <c r="C939" s="910"/>
      <c r="D939" s="910"/>
      <c r="E939" s="912"/>
      <c r="F939" s="857"/>
      <c r="G939" s="911"/>
      <c r="H939" s="910"/>
      <c r="I939" s="910"/>
      <c r="J939" s="860"/>
      <c r="K939" s="910"/>
    </row>
    <row r="940">
      <c r="A940" s="910"/>
      <c r="B940" s="911"/>
      <c r="C940" s="910"/>
      <c r="D940" s="910"/>
      <c r="E940" s="912"/>
      <c r="F940" s="857"/>
      <c r="G940" s="911"/>
      <c r="H940" s="910"/>
      <c r="I940" s="910"/>
      <c r="J940" s="860"/>
      <c r="K940" s="910"/>
    </row>
    <row r="941">
      <c r="A941" s="910"/>
      <c r="B941" s="911"/>
      <c r="C941" s="910"/>
      <c r="D941" s="910"/>
      <c r="E941" s="912"/>
      <c r="F941" s="857"/>
      <c r="G941" s="911"/>
      <c r="H941" s="910"/>
      <c r="I941" s="910"/>
      <c r="J941" s="860"/>
      <c r="K941" s="910"/>
    </row>
    <row r="942">
      <c r="A942" s="910"/>
      <c r="B942" s="911"/>
      <c r="C942" s="910"/>
      <c r="D942" s="910"/>
      <c r="E942" s="912"/>
      <c r="F942" s="857"/>
      <c r="G942" s="911"/>
      <c r="H942" s="910"/>
      <c r="I942" s="910"/>
      <c r="J942" s="860"/>
      <c r="K942" s="910"/>
    </row>
    <row r="943">
      <c r="A943" s="910"/>
      <c r="B943" s="911"/>
      <c r="C943" s="910"/>
      <c r="D943" s="910"/>
      <c r="E943" s="912"/>
      <c r="F943" s="857"/>
      <c r="G943" s="911"/>
      <c r="H943" s="910"/>
      <c r="I943" s="910"/>
      <c r="J943" s="860"/>
      <c r="K943" s="910"/>
    </row>
    <row r="944">
      <c r="A944" s="910"/>
      <c r="B944" s="911"/>
      <c r="C944" s="910"/>
      <c r="D944" s="910"/>
      <c r="E944" s="912"/>
      <c r="F944" s="857"/>
      <c r="G944" s="911"/>
      <c r="H944" s="910"/>
      <c r="I944" s="910"/>
      <c r="J944" s="860"/>
      <c r="K944" s="910"/>
    </row>
    <row r="945">
      <c r="A945" s="910"/>
      <c r="B945" s="911"/>
      <c r="C945" s="910"/>
      <c r="D945" s="910"/>
      <c r="E945" s="912"/>
      <c r="F945" s="857"/>
      <c r="G945" s="911"/>
      <c r="H945" s="910"/>
      <c r="I945" s="910"/>
      <c r="J945" s="860"/>
      <c r="K945" s="910"/>
    </row>
    <row r="946">
      <c r="A946" s="910"/>
      <c r="B946" s="911"/>
      <c r="C946" s="910"/>
      <c r="D946" s="910"/>
      <c r="E946" s="912"/>
      <c r="F946" s="857"/>
      <c r="G946" s="911"/>
      <c r="H946" s="910"/>
      <c r="I946" s="910"/>
      <c r="J946" s="860"/>
      <c r="K946" s="910"/>
    </row>
    <row r="947">
      <c r="A947" s="910"/>
      <c r="B947" s="911"/>
      <c r="C947" s="910"/>
      <c r="D947" s="910"/>
      <c r="E947" s="912"/>
      <c r="F947" s="857"/>
      <c r="G947" s="911"/>
      <c r="H947" s="910"/>
      <c r="I947" s="910"/>
      <c r="J947" s="860"/>
      <c r="K947" s="910"/>
    </row>
    <row r="948">
      <c r="A948" s="910"/>
      <c r="B948" s="911"/>
      <c r="C948" s="910"/>
      <c r="D948" s="910"/>
      <c r="E948" s="912"/>
      <c r="F948" s="857"/>
      <c r="G948" s="911"/>
      <c r="H948" s="910"/>
      <c r="I948" s="910"/>
      <c r="J948" s="860"/>
      <c r="K948" s="910"/>
    </row>
    <row r="949">
      <c r="A949" s="910"/>
      <c r="B949" s="911"/>
      <c r="C949" s="910"/>
      <c r="D949" s="910"/>
      <c r="E949" s="912"/>
      <c r="F949" s="857"/>
      <c r="G949" s="911"/>
      <c r="H949" s="910"/>
      <c r="I949" s="910"/>
      <c r="J949" s="860"/>
      <c r="K949" s="910"/>
    </row>
    <row r="950">
      <c r="A950" s="910"/>
      <c r="B950" s="911"/>
      <c r="C950" s="910"/>
      <c r="D950" s="910"/>
      <c r="E950" s="912"/>
      <c r="F950" s="857"/>
      <c r="G950" s="911"/>
      <c r="H950" s="910"/>
      <c r="I950" s="910"/>
      <c r="J950" s="860"/>
      <c r="K950" s="910"/>
    </row>
    <row r="951">
      <c r="A951" s="910"/>
      <c r="B951" s="911"/>
      <c r="C951" s="910"/>
      <c r="D951" s="910"/>
      <c r="E951" s="912"/>
      <c r="F951" s="857"/>
      <c r="G951" s="911"/>
      <c r="H951" s="910"/>
      <c r="I951" s="910"/>
      <c r="J951" s="860"/>
      <c r="K951" s="910"/>
    </row>
    <row r="952">
      <c r="A952" s="910"/>
      <c r="B952" s="911"/>
      <c r="C952" s="910"/>
      <c r="D952" s="910"/>
      <c r="E952" s="912"/>
      <c r="F952" s="857"/>
      <c r="G952" s="911"/>
      <c r="H952" s="910"/>
      <c r="I952" s="910"/>
      <c r="J952" s="860"/>
      <c r="K952" s="910"/>
    </row>
    <row r="953">
      <c r="A953" s="910"/>
      <c r="B953" s="911"/>
      <c r="C953" s="910"/>
      <c r="D953" s="910"/>
      <c r="E953" s="912"/>
      <c r="F953" s="857"/>
      <c r="G953" s="911"/>
      <c r="H953" s="910"/>
      <c r="I953" s="910"/>
      <c r="J953" s="860"/>
      <c r="K953" s="910"/>
    </row>
    <row r="954">
      <c r="A954" s="910"/>
      <c r="B954" s="911"/>
      <c r="C954" s="910"/>
      <c r="D954" s="910"/>
      <c r="E954" s="912"/>
      <c r="F954" s="857"/>
      <c r="G954" s="911"/>
      <c r="H954" s="910"/>
      <c r="I954" s="910"/>
      <c r="J954" s="860"/>
      <c r="K954" s="910"/>
    </row>
    <row r="955">
      <c r="A955" s="910"/>
      <c r="B955" s="911"/>
      <c r="C955" s="910"/>
      <c r="D955" s="910"/>
      <c r="E955" s="912"/>
      <c r="F955" s="857"/>
      <c r="G955" s="911"/>
      <c r="H955" s="910"/>
      <c r="I955" s="910"/>
      <c r="J955" s="860"/>
      <c r="K955" s="910"/>
    </row>
    <row r="956">
      <c r="A956" s="910"/>
      <c r="B956" s="911"/>
      <c r="C956" s="910"/>
      <c r="D956" s="910"/>
      <c r="E956" s="912"/>
      <c r="F956" s="857"/>
      <c r="G956" s="911"/>
      <c r="H956" s="910"/>
      <c r="I956" s="910"/>
      <c r="J956" s="860"/>
      <c r="K956" s="910"/>
    </row>
    <row r="957">
      <c r="A957" s="910"/>
      <c r="B957" s="911"/>
      <c r="C957" s="910"/>
      <c r="D957" s="910"/>
      <c r="E957" s="912"/>
      <c r="F957" s="857"/>
      <c r="G957" s="911"/>
      <c r="H957" s="910"/>
      <c r="I957" s="910"/>
      <c r="J957" s="860"/>
      <c r="K957" s="910"/>
    </row>
    <row r="958">
      <c r="A958" s="910"/>
      <c r="B958" s="911"/>
      <c r="C958" s="910"/>
      <c r="D958" s="910"/>
      <c r="E958" s="912"/>
      <c r="F958" s="857"/>
      <c r="G958" s="911"/>
      <c r="H958" s="910"/>
      <c r="I958" s="910"/>
      <c r="J958" s="860"/>
      <c r="K958" s="910"/>
    </row>
    <row r="959">
      <c r="A959" s="910"/>
      <c r="B959" s="911"/>
      <c r="C959" s="910"/>
      <c r="D959" s="910"/>
      <c r="E959" s="912"/>
      <c r="F959" s="857"/>
      <c r="G959" s="911"/>
      <c r="H959" s="910"/>
      <c r="I959" s="910"/>
      <c r="J959" s="860"/>
      <c r="K959" s="910"/>
    </row>
    <row r="960">
      <c r="A960" s="910"/>
      <c r="B960" s="911"/>
      <c r="C960" s="910"/>
      <c r="D960" s="910"/>
      <c r="E960" s="912"/>
      <c r="F960" s="857"/>
      <c r="G960" s="911"/>
      <c r="H960" s="910"/>
      <c r="I960" s="910"/>
      <c r="J960" s="860"/>
      <c r="K960" s="910"/>
    </row>
    <row r="961">
      <c r="A961" s="910"/>
      <c r="B961" s="911"/>
      <c r="C961" s="910"/>
      <c r="D961" s="910"/>
      <c r="E961" s="912"/>
      <c r="F961" s="857"/>
      <c r="G961" s="911"/>
      <c r="H961" s="910"/>
      <c r="I961" s="910"/>
      <c r="J961" s="860"/>
      <c r="K961" s="910"/>
    </row>
    <row r="962">
      <c r="A962" s="910"/>
      <c r="B962" s="911"/>
      <c r="C962" s="910"/>
      <c r="D962" s="910"/>
      <c r="E962" s="912"/>
      <c r="F962" s="857"/>
      <c r="G962" s="911"/>
      <c r="H962" s="910"/>
      <c r="I962" s="910"/>
      <c r="J962" s="860"/>
      <c r="K962" s="910"/>
    </row>
    <row r="963">
      <c r="A963" s="910"/>
      <c r="B963" s="911"/>
      <c r="C963" s="910"/>
      <c r="D963" s="910"/>
      <c r="E963" s="912"/>
      <c r="F963" s="857"/>
      <c r="G963" s="911"/>
      <c r="H963" s="910"/>
      <c r="I963" s="910"/>
      <c r="J963" s="860"/>
      <c r="K963" s="910"/>
    </row>
    <row r="964">
      <c r="A964" s="910"/>
      <c r="B964" s="911"/>
      <c r="C964" s="910"/>
      <c r="D964" s="910"/>
      <c r="E964" s="912"/>
      <c r="F964" s="857"/>
      <c r="G964" s="911"/>
      <c r="H964" s="910"/>
      <c r="I964" s="910"/>
      <c r="J964" s="860"/>
      <c r="K964" s="910"/>
    </row>
    <row r="965">
      <c r="A965" s="910"/>
      <c r="B965" s="911"/>
      <c r="C965" s="910"/>
      <c r="D965" s="910"/>
      <c r="E965" s="912"/>
      <c r="F965" s="857"/>
      <c r="G965" s="911"/>
      <c r="H965" s="910"/>
      <c r="I965" s="910"/>
      <c r="J965" s="860"/>
      <c r="K965" s="910"/>
    </row>
    <row r="966">
      <c r="A966" s="910"/>
      <c r="B966" s="911"/>
      <c r="C966" s="910"/>
      <c r="D966" s="910"/>
      <c r="E966" s="912"/>
      <c r="F966" s="857"/>
      <c r="G966" s="911"/>
      <c r="H966" s="910"/>
      <c r="I966" s="910"/>
      <c r="J966" s="860"/>
      <c r="K966" s="910"/>
    </row>
    <row r="967">
      <c r="A967" s="910"/>
      <c r="B967" s="911"/>
      <c r="C967" s="910"/>
      <c r="D967" s="910"/>
      <c r="E967" s="912"/>
      <c r="F967" s="857"/>
      <c r="G967" s="911"/>
      <c r="H967" s="910"/>
      <c r="I967" s="910"/>
      <c r="J967" s="860"/>
      <c r="K967" s="910"/>
    </row>
    <row r="968">
      <c r="A968" s="910"/>
      <c r="B968" s="911"/>
      <c r="C968" s="910"/>
      <c r="D968" s="910"/>
      <c r="E968" s="912"/>
      <c r="F968" s="857"/>
      <c r="G968" s="911"/>
      <c r="H968" s="910"/>
      <c r="I968" s="910"/>
      <c r="J968" s="860"/>
      <c r="K968" s="910"/>
    </row>
    <row r="969">
      <c r="A969" s="910"/>
      <c r="B969" s="911"/>
      <c r="C969" s="910"/>
      <c r="D969" s="910"/>
      <c r="E969" s="912"/>
      <c r="F969" s="857"/>
      <c r="G969" s="911"/>
      <c r="H969" s="910"/>
      <c r="I969" s="910"/>
      <c r="J969" s="860"/>
      <c r="K969" s="910"/>
    </row>
    <row r="970">
      <c r="A970" s="910"/>
      <c r="B970" s="911"/>
      <c r="C970" s="910"/>
      <c r="D970" s="910"/>
      <c r="E970" s="912"/>
      <c r="F970" s="857"/>
      <c r="G970" s="911"/>
      <c r="H970" s="910"/>
      <c r="I970" s="910"/>
      <c r="J970" s="860"/>
      <c r="K970" s="910"/>
    </row>
    <row r="971">
      <c r="A971" s="910"/>
      <c r="B971" s="911"/>
      <c r="C971" s="910"/>
      <c r="D971" s="910"/>
      <c r="E971" s="912"/>
      <c r="F971" s="857"/>
      <c r="G971" s="911"/>
      <c r="H971" s="910"/>
      <c r="I971" s="910"/>
      <c r="J971" s="860"/>
      <c r="K971" s="910"/>
    </row>
    <row r="972">
      <c r="A972" s="910"/>
      <c r="B972" s="911"/>
      <c r="C972" s="910"/>
      <c r="D972" s="910"/>
      <c r="E972" s="912"/>
      <c r="F972" s="857"/>
      <c r="G972" s="911"/>
      <c r="H972" s="910"/>
      <c r="I972" s="910"/>
      <c r="J972" s="860"/>
      <c r="K972" s="910"/>
    </row>
    <row r="973">
      <c r="A973" s="910"/>
      <c r="B973" s="911"/>
      <c r="C973" s="910"/>
      <c r="D973" s="910"/>
      <c r="E973" s="912"/>
      <c r="F973" s="857"/>
      <c r="G973" s="911"/>
      <c r="H973" s="910"/>
      <c r="I973" s="910"/>
      <c r="J973" s="860"/>
      <c r="K973" s="910"/>
    </row>
    <row r="974">
      <c r="A974" s="910"/>
      <c r="B974" s="911"/>
      <c r="C974" s="910"/>
      <c r="D974" s="910"/>
      <c r="E974" s="912"/>
      <c r="F974" s="857"/>
      <c r="G974" s="911"/>
      <c r="H974" s="910"/>
      <c r="I974" s="910"/>
      <c r="J974" s="860"/>
      <c r="K974" s="910"/>
    </row>
    <row r="975">
      <c r="A975" s="910"/>
      <c r="B975" s="911"/>
      <c r="C975" s="910"/>
      <c r="D975" s="910"/>
      <c r="E975" s="912"/>
      <c r="F975" s="857"/>
      <c r="G975" s="911"/>
      <c r="H975" s="910"/>
      <c r="I975" s="910"/>
      <c r="J975" s="860"/>
      <c r="K975" s="910"/>
    </row>
    <row r="976">
      <c r="A976" s="910"/>
      <c r="B976" s="911"/>
      <c r="C976" s="910"/>
      <c r="D976" s="910"/>
      <c r="E976" s="912"/>
      <c r="F976" s="857"/>
      <c r="G976" s="911"/>
      <c r="H976" s="910"/>
      <c r="I976" s="910"/>
      <c r="J976" s="860"/>
      <c r="K976" s="910"/>
    </row>
    <row r="977">
      <c r="A977" s="910"/>
      <c r="B977" s="911"/>
      <c r="C977" s="910"/>
      <c r="D977" s="910"/>
      <c r="E977" s="912"/>
      <c r="F977" s="857"/>
      <c r="G977" s="911"/>
      <c r="H977" s="910"/>
      <c r="I977" s="910"/>
      <c r="J977" s="860"/>
      <c r="K977" s="910"/>
    </row>
    <row r="978">
      <c r="A978" s="910"/>
      <c r="B978" s="911"/>
      <c r="C978" s="910"/>
      <c r="D978" s="910"/>
      <c r="E978" s="912"/>
      <c r="F978" s="857"/>
      <c r="G978" s="911"/>
      <c r="H978" s="910"/>
      <c r="I978" s="910"/>
      <c r="J978" s="860"/>
      <c r="K978" s="910"/>
    </row>
    <row r="979">
      <c r="A979" s="910"/>
      <c r="B979" s="911"/>
      <c r="C979" s="910"/>
      <c r="D979" s="910"/>
      <c r="E979" s="912"/>
      <c r="F979" s="857"/>
      <c r="G979" s="911"/>
      <c r="H979" s="910"/>
      <c r="I979" s="910"/>
      <c r="J979" s="860"/>
      <c r="K979" s="910"/>
    </row>
    <row r="980">
      <c r="A980" s="910"/>
      <c r="B980" s="911"/>
      <c r="C980" s="910"/>
      <c r="D980" s="910"/>
      <c r="E980" s="912"/>
      <c r="F980" s="857"/>
      <c r="G980" s="911"/>
      <c r="H980" s="910"/>
      <c r="I980" s="910"/>
      <c r="J980" s="860"/>
      <c r="K980" s="910"/>
    </row>
    <row r="981">
      <c r="A981" s="910"/>
      <c r="B981" s="911"/>
      <c r="C981" s="910"/>
      <c r="D981" s="910"/>
      <c r="E981" s="912"/>
      <c r="F981" s="857"/>
      <c r="G981" s="911"/>
      <c r="H981" s="910"/>
      <c r="I981" s="910"/>
      <c r="J981" s="860"/>
      <c r="K981" s="910"/>
    </row>
    <row r="982">
      <c r="A982" s="910"/>
      <c r="B982" s="911"/>
      <c r="C982" s="910"/>
      <c r="D982" s="910"/>
      <c r="E982" s="912"/>
      <c r="F982" s="857"/>
      <c r="G982" s="911"/>
      <c r="H982" s="910"/>
      <c r="I982" s="910"/>
      <c r="J982" s="860"/>
      <c r="K982" s="910"/>
    </row>
    <row r="983">
      <c r="A983" s="910"/>
      <c r="B983" s="911"/>
      <c r="C983" s="910"/>
      <c r="D983" s="910"/>
      <c r="E983" s="912"/>
      <c r="F983" s="857"/>
      <c r="G983" s="911"/>
      <c r="H983" s="910"/>
      <c r="I983" s="910"/>
      <c r="J983" s="860"/>
      <c r="K983" s="910"/>
    </row>
    <row r="984">
      <c r="A984" s="910"/>
      <c r="B984" s="911"/>
      <c r="C984" s="910"/>
      <c r="D984" s="910"/>
      <c r="E984" s="912"/>
      <c r="F984" s="857"/>
      <c r="G984" s="911"/>
      <c r="H984" s="910"/>
      <c r="I984" s="910"/>
      <c r="J984" s="860"/>
      <c r="K984" s="910"/>
    </row>
    <row r="985">
      <c r="A985" s="910"/>
      <c r="B985" s="911"/>
      <c r="C985" s="910"/>
      <c r="D985" s="910"/>
      <c r="E985" s="912"/>
      <c r="F985" s="857"/>
      <c r="G985" s="911"/>
      <c r="H985" s="910"/>
      <c r="I985" s="910"/>
      <c r="J985" s="860"/>
      <c r="K985" s="910"/>
    </row>
    <row r="986">
      <c r="A986" s="910"/>
      <c r="B986" s="911"/>
      <c r="C986" s="910"/>
      <c r="D986" s="910"/>
      <c r="E986" s="912"/>
      <c r="F986" s="857"/>
      <c r="G986" s="911"/>
      <c r="H986" s="910"/>
      <c r="I986" s="910"/>
      <c r="J986" s="860"/>
      <c r="K986" s="910"/>
    </row>
    <row r="987">
      <c r="A987" s="910"/>
      <c r="B987" s="911"/>
      <c r="C987" s="910"/>
      <c r="D987" s="910"/>
      <c r="E987" s="912"/>
      <c r="F987" s="857"/>
      <c r="G987" s="911"/>
      <c r="H987" s="910"/>
      <c r="I987" s="910"/>
      <c r="J987" s="860"/>
      <c r="K987" s="910"/>
    </row>
    <row r="988">
      <c r="A988" s="910"/>
      <c r="B988" s="911"/>
      <c r="C988" s="910"/>
      <c r="D988" s="910"/>
      <c r="E988" s="912"/>
      <c r="F988" s="857"/>
      <c r="G988" s="911"/>
      <c r="H988" s="910"/>
      <c r="I988" s="910"/>
      <c r="J988" s="860"/>
      <c r="K988" s="910"/>
    </row>
    <row r="989">
      <c r="A989" s="910"/>
      <c r="B989" s="911"/>
      <c r="C989" s="910"/>
      <c r="D989" s="910"/>
      <c r="E989" s="912"/>
      <c r="F989" s="857"/>
      <c r="G989" s="911"/>
      <c r="H989" s="910"/>
      <c r="I989" s="910"/>
      <c r="J989" s="860"/>
      <c r="K989" s="910"/>
    </row>
    <row r="990">
      <c r="A990" s="910"/>
      <c r="B990" s="911"/>
      <c r="C990" s="910"/>
      <c r="D990" s="910"/>
      <c r="E990" s="912"/>
      <c r="F990" s="857"/>
      <c r="G990" s="911"/>
      <c r="H990" s="910"/>
      <c r="I990" s="910"/>
      <c r="J990" s="860"/>
      <c r="K990" s="910"/>
    </row>
    <row r="991">
      <c r="A991" s="910"/>
      <c r="B991" s="911"/>
      <c r="C991" s="910"/>
      <c r="D991" s="910"/>
      <c r="E991" s="912"/>
      <c r="F991" s="857"/>
      <c r="G991" s="911"/>
      <c r="H991" s="910"/>
      <c r="I991" s="910"/>
      <c r="J991" s="860"/>
      <c r="K991" s="910"/>
    </row>
    <row r="992">
      <c r="A992" s="910"/>
      <c r="B992" s="911"/>
      <c r="C992" s="910"/>
      <c r="D992" s="910"/>
      <c r="E992" s="912"/>
      <c r="F992" s="857"/>
      <c r="G992" s="911"/>
      <c r="H992" s="910"/>
      <c r="I992" s="910"/>
      <c r="J992" s="860"/>
      <c r="K992" s="910"/>
    </row>
    <row r="993">
      <c r="A993" s="910"/>
      <c r="B993" s="911"/>
      <c r="C993" s="910"/>
      <c r="D993" s="910"/>
      <c r="E993" s="912"/>
      <c r="F993" s="857"/>
      <c r="G993" s="911"/>
      <c r="H993" s="910"/>
      <c r="I993" s="910"/>
      <c r="J993" s="860"/>
      <c r="K993" s="910"/>
    </row>
    <row r="994">
      <c r="A994" s="910"/>
      <c r="B994" s="911"/>
      <c r="C994" s="910"/>
      <c r="D994" s="910"/>
      <c r="E994" s="912"/>
      <c r="F994" s="857"/>
      <c r="G994" s="911"/>
      <c r="H994" s="910"/>
      <c r="I994" s="910"/>
      <c r="J994" s="860"/>
      <c r="K994" s="910"/>
    </row>
    <row r="995">
      <c r="A995" s="910"/>
      <c r="B995" s="911"/>
      <c r="C995" s="910"/>
      <c r="D995" s="910"/>
      <c r="E995" s="912"/>
      <c r="F995" s="857"/>
      <c r="G995" s="911"/>
      <c r="H995" s="910"/>
      <c r="I995" s="910"/>
      <c r="J995" s="860"/>
      <c r="K995" s="910"/>
    </row>
    <row r="996">
      <c r="A996" s="910"/>
      <c r="B996" s="911"/>
      <c r="C996" s="910"/>
      <c r="D996" s="910"/>
      <c r="E996" s="912"/>
      <c r="F996" s="857"/>
      <c r="G996" s="911"/>
      <c r="H996" s="910"/>
      <c r="I996" s="910"/>
      <c r="J996" s="860"/>
      <c r="K996" s="910"/>
    </row>
    <row r="997">
      <c r="A997" s="910"/>
      <c r="B997" s="911"/>
      <c r="C997" s="910"/>
      <c r="D997" s="910"/>
      <c r="E997" s="912"/>
      <c r="F997" s="857"/>
      <c r="G997" s="911"/>
      <c r="H997" s="910"/>
      <c r="I997" s="910"/>
      <c r="J997" s="860"/>
      <c r="K997" s="910"/>
    </row>
    <row r="998">
      <c r="A998" s="910"/>
      <c r="B998" s="911"/>
      <c r="C998" s="910"/>
      <c r="D998" s="910"/>
      <c r="E998" s="912"/>
      <c r="F998" s="857"/>
      <c r="G998" s="911"/>
      <c r="H998" s="910"/>
      <c r="I998" s="910"/>
      <c r="J998" s="860"/>
      <c r="K998" s="910"/>
    </row>
    <row r="999">
      <c r="A999" s="910"/>
      <c r="B999" s="911"/>
      <c r="C999" s="910"/>
      <c r="D999" s="910"/>
      <c r="E999" s="912"/>
      <c r="F999" s="857"/>
      <c r="G999" s="911"/>
      <c r="H999" s="910"/>
      <c r="I999" s="910"/>
      <c r="J999" s="860"/>
      <c r="K999" s="910"/>
    </row>
    <row r="1000">
      <c r="A1000" s="910"/>
      <c r="B1000" s="911"/>
      <c r="C1000" s="910"/>
      <c r="D1000" s="910"/>
      <c r="E1000" s="912"/>
      <c r="F1000" s="857"/>
      <c r="G1000" s="911"/>
      <c r="H1000" s="910"/>
      <c r="I1000" s="910"/>
      <c r="J1000" s="860"/>
      <c r="K1000" s="910"/>
    </row>
    <row r="1001">
      <c r="A1001" s="910"/>
      <c r="B1001" s="911"/>
      <c r="C1001" s="910"/>
      <c r="D1001" s="910"/>
      <c r="E1001" s="912"/>
      <c r="F1001" s="857"/>
      <c r="G1001" s="911"/>
      <c r="H1001" s="910"/>
      <c r="I1001" s="910"/>
      <c r="J1001" s="860"/>
      <c r="K1001" s="910"/>
    </row>
    <row r="1002">
      <c r="A1002" s="910"/>
      <c r="B1002" s="911"/>
      <c r="C1002" s="910"/>
      <c r="D1002" s="910"/>
      <c r="E1002" s="912"/>
      <c r="F1002" s="857"/>
      <c r="G1002" s="911"/>
      <c r="H1002" s="910"/>
      <c r="I1002" s="910"/>
      <c r="J1002" s="860"/>
      <c r="K1002" s="910"/>
    </row>
    <row r="1003">
      <c r="A1003" s="910"/>
      <c r="B1003" s="911"/>
      <c r="C1003" s="910"/>
      <c r="D1003" s="910"/>
      <c r="E1003" s="912"/>
      <c r="F1003" s="857"/>
      <c r="G1003" s="911"/>
      <c r="H1003" s="910"/>
      <c r="I1003" s="910"/>
      <c r="J1003" s="860"/>
      <c r="K1003" s="910"/>
    </row>
    <row r="1004">
      <c r="A1004" s="910"/>
      <c r="B1004" s="911"/>
      <c r="C1004" s="910"/>
      <c r="D1004" s="910"/>
      <c r="E1004" s="912"/>
      <c r="F1004" s="857"/>
      <c r="G1004" s="911"/>
      <c r="H1004" s="910"/>
      <c r="I1004" s="910"/>
      <c r="J1004" s="860"/>
      <c r="K1004" s="910"/>
    </row>
    <row r="1005">
      <c r="A1005" s="910"/>
      <c r="B1005" s="911"/>
      <c r="C1005" s="309"/>
      <c r="D1005" s="309"/>
      <c r="E1005" s="913"/>
      <c r="F1005" s="910"/>
      <c r="G1005" s="911"/>
      <c r="H1005" s="910"/>
      <c r="I1005" s="910"/>
      <c r="J1005" s="914"/>
      <c r="K1005" s="910"/>
    </row>
  </sheetData>
  <mergeCells count="11">
    <mergeCell ref="A48:A80"/>
    <mergeCell ref="A82:A102"/>
    <mergeCell ref="A104:A117"/>
    <mergeCell ref="A119:A133"/>
    <mergeCell ref="A1:E1"/>
    <mergeCell ref="G1:I1"/>
    <mergeCell ref="K1:K2"/>
    <mergeCell ref="A3:A12"/>
    <mergeCell ref="A14:A24"/>
    <mergeCell ref="A26:A35"/>
    <mergeCell ref="A37:A46"/>
  </mergeCells>
  <conditionalFormatting sqref="C87:D87 C93:D93 C101:D101 C104:D104 C127:D127 C132:D132">
    <cfRule type="containsText" dxfId="2" priority="1" operator="containsText" text="SO">
      <formula>NOT(ISERROR(SEARCH(("SO"),(C87))))</formula>
    </cfRule>
  </conditionalFormatting>
  <conditionalFormatting sqref="C87:D87 C93:D93 C101:D101 C104:D104 C127:D127 C132:D132">
    <cfRule type="containsText" dxfId="3" priority="2" operator="containsText" text="tegen">
      <formula>NOT(ISERROR(SEARCH(("tegen"),(C87))))</formula>
    </cfRule>
  </conditionalFormatting>
  <conditionalFormatting sqref="C87:D87 C93:D93 C101:D101 C104:D104 C127:D127 C132:D132">
    <cfRule type="containsText" dxfId="4" priority="3" operator="containsText" text="voor">
      <formula>NOT(ISERROR(SEARCH(("voor"),(C87))))</formula>
    </cfRule>
  </conditionalFormatting>
  <conditionalFormatting sqref="C87:D87 C93:D93 C101:D101 C104:D104 C127:D127 C132:D132">
    <cfRule type="cellIs" dxfId="5" priority="4" operator="equal">
      <formula>"NG"</formula>
    </cfRule>
  </conditionalFormatting>
  <conditionalFormatting sqref="C17:D17 C78:D78 C109:D109">
    <cfRule type="containsText" dxfId="0" priority="5" operator="containsText" text="voor">
      <formula>NOT(ISERROR(SEARCH(("voor"),(C17))))</formula>
    </cfRule>
  </conditionalFormatting>
  <conditionalFormatting sqref="C17:D17 C78:D78 C109:D109">
    <cfRule type="containsText" dxfId="1" priority="6" operator="containsText" text="tegen">
      <formula>NOT(ISERROR(SEARCH(("tegen"),(C17))))</formula>
    </cfRule>
  </conditionalFormatting>
  <conditionalFormatting sqref="H1:I1005">
    <cfRule type="containsText" dxfId="36" priority="7" operator="containsText" text="Ja">
      <formula>NOT(ISERROR(SEARCH(("Ja"),(H1))))</formula>
    </cfRule>
  </conditionalFormatting>
  <conditionalFormatting sqref="H1:I1005">
    <cfRule type="containsText" dxfId="37" priority="8" operator="containsText" text="Nee">
      <formula>NOT(ISERROR(SEARCH(("Nee"),(H1))))</formula>
    </cfRule>
  </conditionalFormatting>
  <conditionalFormatting sqref="H1:I1005 C87:D87 C93:D93 C101:D101 C104:D104 C127:D127 C132:D132">
    <cfRule type="containsText" dxfId="6" priority="9" operator="containsText" text="NVT">
      <formula>NOT(ISERROR(SEARCH(("NVT"),(H1))))</formula>
    </cfRule>
  </conditionalFormatting>
  <hyperlinks>
    <hyperlink r:id="rId1" ref="E121"/>
    <hyperlink r:id="rId2" ref="E122"/>
    <hyperlink r:id="rId3" ref="E123"/>
    <hyperlink r:id="rId4" ref="E124"/>
    <hyperlink r:id="rId5" ref="E126"/>
    <hyperlink r:id="rId6" ref="E127"/>
    <hyperlink r:id="rId7" ref="E128"/>
    <hyperlink r:id="rId8" ref="E129"/>
    <hyperlink r:id="rId9" ref="E130"/>
    <hyperlink r:id="rId10" ref="E131"/>
  </hyperlinks>
  <drawing r:id="rId1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2" max="2" width="22.71"/>
    <col customWidth="1" min="3" max="5" width="14.43"/>
    <col customWidth="1" min="6" max="7" width="7.29"/>
    <col customWidth="1" min="8" max="9" width="14.43"/>
    <col customWidth="1" min="10" max="10" width="0.86"/>
    <col customWidth="1" min="11" max="12" width="7.29"/>
    <col customWidth="1" min="13" max="15" width="14.43"/>
    <col customWidth="1" min="16" max="16" width="0.86"/>
    <col customWidth="1" min="17" max="24" width="7.29"/>
    <col customWidth="1" min="25" max="26" width="14.43"/>
    <col customWidth="1" min="27" max="27" width="0.86"/>
    <col customWidth="1" min="28" max="28" width="14.43"/>
    <col customWidth="1" min="29" max="30" width="7.29"/>
    <col customWidth="1" min="31" max="33" width="14.43"/>
    <col customWidth="1" min="34" max="34" width="7.29"/>
    <col customWidth="1" min="35" max="35" width="0.86"/>
    <col customWidth="1" min="36" max="44" width="7.29"/>
    <col customWidth="1" min="45" max="46" width="14.43"/>
    <col customWidth="1" min="47" max="47" width="0.86"/>
    <col customWidth="1" min="48" max="51" width="14.43"/>
    <col customWidth="1" min="52" max="53" width="7.29"/>
    <col customWidth="1" min="54" max="55" width="14.43"/>
    <col customWidth="1" min="56" max="56" width="0.86"/>
    <col customWidth="1" min="57" max="59" width="14.43"/>
    <col customWidth="1" min="60" max="65" width="7.29"/>
    <col customWidth="1" min="66" max="66" width="0.86"/>
    <col customWidth="1" min="67" max="70" width="7.29"/>
    <col customWidth="1" min="71" max="74" width="3.71"/>
    <col customWidth="1" min="75" max="78" width="7.29"/>
    <col customWidth="1" min="79" max="79" width="0.86"/>
    <col customWidth="1" min="80" max="80" width="7.29"/>
    <col customWidth="1" min="81" max="82" width="3.71"/>
    <col customWidth="1" min="83" max="85" width="7.29"/>
    <col customWidth="1" min="86" max="87" width="3.71"/>
    <col customWidth="1" min="88" max="93" width="7.29"/>
    <col customWidth="1" min="94" max="94" width="0.86"/>
    <col customWidth="1" min="95" max="96" width="7.29"/>
    <col customWidth="1" min="97" max="100" width="3.71"/>
    <col customWidth="1" min="101" max="107" width="7.29"/>
    <col customWidth="1" min="108" max="109" width="3.71"/>
    <col customWidth="1" min="110" max="110" width="0.86"/>
    <col customWidth="1" min="111" max="112" width="7.29"/>
    <col customWidth="1" min="113" max="120" width="3.71"/>
  </cols>
  <sheetData>
    <row r="1" ht="21.0" customHeight="1">
      <c r="A1" s="915" t="s">
        <v>479</v>
      </c>
      <c r="B1" s="20"/>
      <c r="C1" s="916" t="s">
        <v>480</v>
      </c>
      <c r="D1" s="141"/>
      <c r="I1" s="917" t="s">
        <v>1006</v>
      </c>
      <c r="M1" s="141"/>
      <c r="O1" s="917" t="s">
        <v>1007</v>
      </c>
      <c r="S1" s="141"/>
      <c r="Z1" s="917" t="s">
        <v>1008</v>
      </c>
      <c r="AC1" s="911"/>
      <c r="AG1" s="917" t="s">
        <v>1009</v>
      </c>
      <c r="AM1" s="911"/>
      <c r="AT1" s="917" t="s">
        <v>1010</v>
      </c>
      <c r="AW1" s="911"/>
      <c r="BC1" s="917" t="s">
        <v>1011</v>
      </c>
      <c r="BF1" s="911"/>
      <c r="BL1" s="917" t="s">
        <v>1012</v>
      </c>
      <c r="BQ1" s="911"/>
      <c r="BY1" s="917" t="s">
        <v>1013</v>
      </c>
      <c r="CE1" s="911"/>
      <c r="CN1" s="917" t="s">
        <v>1014</v>
      </c>
      <c r="CS1" s="911"/>
      <c r="DC1" s="917" t="s">
        <v>70</v>
      </c>
      <c r="DI1" s="911"/>
    </row>
    <row r="2" ht="21.0" customHeight="1">
      <c r="A2" s="43"/>
      <c r="B2" s="44"/>
      <c r="C2" s="918">
        <v>2015.0</v>
      </c>
      <c r="L2" s="44"/>
      <c r="M2" s="918">
        <v>2016.0</v>
      </c>
      <c r="AF2" s="918">
        <v>2017.0</v>
      </c>
      <c r="AX2" s="44"/>
      <c r="AY2" s="918">
        <v>2018.0</v>
      </c>
      <c r="BR2" s="44"/>
      <c r="BS2" s="919">
        <v>2019.0</v>
      </c>
      <c r="CX2" s="44"/>
      <c r="CY2" s="919">
        <v>2020.0</v>
      </c>
    </row>
    <row r="3" ht="21.0" customHeight="1">
      <c r="A3" s="26"/>
      <c r="B3" s="27"/>
      <c r="C3" s="141" t="s">
        <v>1015</v>
      </c>
      <c r="D3" s="141" t="s">
        <v>1016</v>
      </c>
      <c r="E3" s="141" t="s">
        <v>1017</v>
      </c>
      <c r="F3" s="141" t="s">
        <v>1018</v>
      </c>
      <c r="H3" s="141" t="s">
        <v>1019</v>
      </c>
      <c r="I3" s="141" t="s">
        <v>1020</v>
      </c>
      <c r="J3" s="920"/>
      <c r="K3" s="141" t="s">
        <v>1021</v>
      </c>
      <c r="L3" s="44"/>
      <c r="M3" s="261" t="s">
        <v>1022</v>
      </c>
      <c r="N3" s="141" t="s">
        <v>1023</v>
      </c>
      <c r="O3" s="141" t="s">
        <v>1024</v>
      </c>
      <c r="P3" s="920"/>
      <c r="Q3" s="141" t="s">
        <v>1025</v>
      </c>
      <c r="S3" s="141" t="s">
        <v>487</v>
      </c>
      <c r="U3" s="141" t="s">
        <v>1015</v>
      </c>
      <c r="W3" s="141" t="s">
        <v>1016</v>
      </c>
      <c r="Y3" s="141" t="s">
        <v>1017</v>
      </c>
      <c r="Z3" s="141" t="s">
        <v>1018</v>
      </c>
      <c r="AA3" s="920"/>
      <c r="AB3" s="141" t="s">
        <v>1019</v>
      </c>
      <c r="AC3" s="141" t="s">
        <v>1020</v>
      </c>
      <c r="AE3" s="142" t="s">
        <v>1021</v>
      </c>
      <c r="AF3" s="261" t="s">
        <v>1022</v>
      </c>
      <c r="AG3" s="141" t="s">
        <v>1023</v>
      </c>
      <c r="AH3" s="141" t="s">
        <v>1024</v>
      </c>
      <c r="AK3" s="141" t="s">
        <v>1025</v>
      </c>
      <c r="AM3" s="141" t="s">
        <v>487</v>
      </c>
      <c r="AO3" s="141" t="s">
        <v>1015</v>
      </c>
      <c r="AQ3" s="141" t="s">
        <v>1016</v>
      </c>
      <c r="AS3" s="141" t="s">
        <v>1017</v>
      </c>
      <c r="AT3" s="141" t="s">
        <v>1018</v>
      </c>
      <c r="AU3" s="920"/>
      <c r="AV3" s="141" t="s">
        <v>1019</v>
      </c>
      <c r="AW3" s="141" t="s">
        <v>1020</v>
      </c>
      <c r="AX3" s="142" t="s">
        <v>1021</v>
      </c>
      <c r="AY3" s="261" t="s">
        <v>1022</v>
      </c>
      <c r="AZ3" s="141" t="s">
        <v>1023</v>
      </c>
      <c r="BB3" s="141" t="s">
        <v>1024</v>
      </c>
      <c r="BC3" s="141" t="s">
        <v>1025</v>
      </c>
      <c r="BD3" s="920"/>
      <c r="BE3" s="141" t="s">
        <v>487</v>
      </c>
      <c r="BF3" s="141" t="s">
        <v>1015</v>
      </c>
      <c r="BG3" s="141" t="s">
        <v>1016</v>
      </c>
      <c r="BH3" s="141" t="s">
        <v>1017</v>
      </c>
      <c r="BJ3" s="141" t="s">
        <v>1018</v>
      </c>
      <c r="BL3" s="141" t="s">
        <v>1019</v>
      </c>
      <c r="BN3" s="920"/>
      <c r="BO3" s="141" t="s">
        <v>1020</v>
      </c>
      <c r="BQ3" s="188" t="s">
        <v>1021</v>
      </c>
      <c r="BR3" s="27"/>
      <c r="BS3" s="921" t="s">
        <v>1022</v>
      </c>
      <c r="BT3" s="504"/>
      <c r="BU3" s="504"/>
      <c r="BV3" s="504"/>
      <c r="BW3" s="921" t="s">
        <v>1023</v>
      </c>
      <c r="BX3" s="504"/>
      <c r="BY3" s="921" t="s">
        <v>1024</v>
      </c>
      <c r="BZ3" s="504"/>
      <c r="CA3" s="920"/>
      <c r="CB3" s="921" t="s">
        <v>1025</v>
      </c>
      <c r="CC3" s="504"/>
      <c r="CD3" s="504"/>
      <c r="CE3" s="922" t="s">
        <v>487</v>
      </c>
      <c r="CF3" s="504"/>
      <c r="CG3" s="921" t="s">
        <v>1015</v>
      </c>
      <c r="CH3" s="504"/>
      <c r="CI3" s="504"/>
      <c r="CJ3" s="921" t="s">
        <v>1016</v>
      </c>
      <c r="CK3" s="504"/>
      <c r="CL3" s="921" t="s">
        <v>1017</v>
      </c>
      <c r="CM3" s="504"/>
      <c r="CN3" s="921" t="s">
        <v>1018</v>
      </c>
      <c r="CO3" s="504"/>
      <c r="CP3" s="920"/>
      <c r="CQ3" s="921" t="s">
        <v>1019</v>
      </c>
      <c r="CR3" s="504"/>
      <c r="CS3" s="921" t="s">
        <v>1020</v>
      </c>
      <c r="CT3" s="504"/>
      <c r="CU3" s="504"/>
      <c r="CV3" s="504"/>
      <c r="CW3" s="188" t="s">
        <v>1021</v>
      </c>
      <c r="CX3" s="27"/>
      <c r="CY3" s="921" t="s">
        <v>1022</v>
      </c>
      <c r="CZ3" s="504"/>
      <c r="DA3" s="921" t="s">
        <v>1023</v>
      </c>
      <c r="DB3" s="504"/>
      <c r="DC3" s="921" t="s">
        <v>1024</v>
      </c>
      <c r="DD3" s="504"/>
      <c r="DE3" s="504"/>
      <c r="DF3" s="920"/>
      <c r="DG3" s="921" t="s">
        <v>1025</v>
      </c>
      <c r="DH3" s="504"/>
      <c r="DI3" s="921" t="s">
        <v>487</v>
      </c>
      <c r="DJ3" s="504"/>
      <c r="DK3" s="504"/>
      <c r="DL3" s="504"/>
      <c r="DM3" s="921" t="s">
        <v>1026</v>
      </c>
      <c r="DN3" s="504"/>
      <c r="DO3" s="504"/>
      <c r="DP3" s="504"/>
    </row>
    <row r="4" ht="3.75" customHeight="1">
      <c r="A4" s="923"/>
      <c r="B4" s="924"/>
      <c r="C4" s="923"/>
      <c r="D4" s="923"/>
      <c r="E4" s="923"/>
      <c r="F4" s="923"/>
      <c r="G4" s="923"/>
      <c r="H4" s="923"/>
      <c r="I4" s="923"/>
      <c r="J4" s="923"/>
      <c r="K4" s="923"/>
      <c r="L4" s="923"/>
      <c r="M4" s="923"/>
      <c r="N4" s="923"/>
      <c r="O4" s="923"/>
      <c r="P4" s="923"/>
      <c r="Q4" s="923"/>
      <c r="R4" s="923"/>
      <c r="S4" s="923"/>
      <c r="T4" s="923"/>
      <c r="U4" s="923"/>
      <c r="V4" s="923"/>
      <c r="W4" s="923"/>
      <c r="X4" s="923"/>
      <c r="Y4" s="923"/>
      <c r="Z4" s="923"/>
      <c r="AA4" s="923"/>
      <c r="AB4" s="923"/>
      <c r="AC4" s="923"/>
      <c r="AD4" s="923"/>
      <c r="AE4" s="923"/>
      <c r="AF4" s="923"/>
      <c r="AG4" s="923"/>
      <c r="AH4" s="923"/>
      <c r="AI4" s="923"/>
      <c r="AJ4" s="923"/>
      <c r="AK4" s="923"/>
      <c r="AL4" s="923"/>
      <c r="AM4" s="923"/>
      <c r="AN4" s="923"/>
      <c r="AO4" s="923"/>
      <c r="AP4" s="923"/>
      <c r="AQ4" s="923"/>
      <c r="AR4" s="923"/>
      <c r="AS4" s="923"/>
      <c r="AT4" s="923"/>
      <c r="AU4" s="923"/>
      <c r="AV4" s="923"/>
      <c r="AW4" s="923"/>
      <c r="AX4" s="923"/>
      <c r="AY4" s="923"/>
      <c r="AZ4" s="923"/>
      <c r="BA4" s="923"/>
      <c r="BB4" s="923"/>
      <c r="BC4" s="923"/>
      <c r="BD4" s="923"/>
      <c r="BE4" s="923"/>
      <c r="BF4" s="923"/>
      <c r="BG4" s="923"/>
      <c r="BH4" s="923"/>
      <c r="BI4" s="923"/>
      <c r="BJ4" s="923"/>
      <c r="BK4" s="923"/>
      <c r="BL4" s="923"/>
      <c r="BM4" s="923"/>
      <c r="BN4" s="923"/>
      <c r="BO4" s="923"/>
      <c r="BP4" s="923"/>
      <c r="BQ4" s="925"/>
      <c r="BR4" s="925"/>
      <c r="BS4" s="926"/>
      <c r="BT4" s="926"/>
      <c r="BU4" s="926"/>
      <c r="BV4" s="926"/>
      <c r="BW4" s="926"/>
      <c r="BX4" s="926"/>
      <c r="BY4" s="926"/>
      <c r="BZ4" s="926"/>
      <c r="CA4" s="923"/>
      <c r="CB4" s="926"/>
      <c r="CC4" s="926"/>
      <c r="CD4" s="926"/>
      <c r="CE4" s="926"/>
      <c r="CF4" s="926"/>
      <c r="CG4" s="926"/>
      <c r="CH4" s="926"/>
      <c r="CI4" s="926"/>
      <c r="CJ4" s="926"/>
      <c r="CK4" s="926"/>
      <c r="CL4" s="926"/>
      <c r="CM4" s="926"/>
      <c r="CN4" s="926"/>
      <c r="CO4" s="926"/>
      <c r="CP4" s="926"/>
      <c r="CQ4" s="926"/>
      <c r="CR4" s="926"/>
      <c r="CS4" s="926"/>
      <c r="CT4" s="926"/>
      <c r="CU4" s="926"/>
      <c r="CV4" s="926"/>
      <c r="CW4" s="926"/>
      <c r="CX4" s="926"/>
      <c r="CY4" s="926"/>
      <c r="CZ4" s="926"/>
      <c r="DA4" s="926"/>
      <c r="DB4" s="926"/>
      <c r="DC4" s="926"/>
      <c r="DD4" s="926"/>
      <c r="DE4" s="926"/>
      <c r="DF4" s="926"/>
      <c r="DG4" s="926"/>
      <c r="DH4" s="926"/>
      <c r="DI4" s="926"/>
      <c r="DJ4" s="926"/>
      <c r="DK4" s="926"/>
      <c r="DL4" s="926"/>
      <c r="DM4" s="926"/>
      <c r="DN4" s="926"/>
      <c r="DO4" s="926"/>
      <c r="DP4" s="926"/>
    </row>
    <row r="5" ht="16.5" customHeight="1">
      <c r="A5" s="863" t="s">
        <v>492</v>
      </c>
      <c r="C5" s="927" t="s">
        <v>493</v>
      </c>
      <c r="D5" s="112"/>
      <c r="E5" s="112"/>
      <c r="F5" s="112"/>
      <c r="G5" s="112"/>
      <c r="H5" s="928" t="s">
        <v>1027</v>
      </c>
      <c r="I5" s="112"/>
      <c r="J5" s="112"/>
      <c r="K5" s="112"/>
      <c r="L5" s="112"/>
      <c r="M5" s="112"/>
      <c r="N5" s="112"/>
      <c r="O5" s="929" t="s">
        <v>1028</v>
      </c>
      <c r="P5" s="20"/>
      <c r="Q5" s="930" t="s">
        <v>1029</v>
      </c>
      <c r="R5" s="112"/>
      <c r="S5" s="112"/>
      <c r="T5" s="112"/>
      <c r="U5" s="112"/>
      <c r="V5" s="112"/>
      <c r="W5" s="112"/>
      <c r="X5" s="112"/>
      <c r="Y5" s="112"/>
      <c r="Z5" s="112"/>
      <c r="AA5" s="112"/>
      <c r="AB5" s="112"/>
      <c r="AC5" s="112"/>
      <c r="AD5" s="931" t="s">
        <v>1030</v>
      </c>
      <c r="AE5" s="932" t="s">
        <v>1031</v>
      </c>
      <c r="AF5" s="112"/>
      <c r="AG5" s="112"/>
      <c r="AH5" s="112"/>
      <c r="AI5" s="933"/>
      <c r="AJ5" s="934" t="s">
        <v>1032</v>
      </c>
      <c r="AK5" s="112"/>
      <c r="AL5" s="112"/>
      <c r="AM5" s="112"/>
      <c r="AN5" s="112"/>
      <c r="AO5" s="935" t="s">
        <v>1033</v>
      </c>
      <c r="AP5" s="112"/>
      <c r="AQ5" s="112"/>
      <c r="AR5" s="112"/>
      <c r="AS5" s="930" t="s">
        <v>1034</v>
      </c>
      <c r="AT5" s="112"/>
      <c r="AU5" s="112"/>
      <c r="AV5" s="112"/>
      <c r="AW5" s="112"/>
      <c r="AX5" s="112"/>
      <c r="AY5" s="112"/>
      <c r="AZ5" s="936" t="s">
        <v>1035</v>
      </c>
      <c r="BA5" s="112"/>
      <c r="BB5" s="112"/>
      <c r="BC5" s="112"/>
      <c r="BD5" s="112"/>
      <c r="BE5" s="112"/>
      <c r="BF5" s="112"/>
      <c r="BG5" s="112"/>
      <c r="BH5" s="929" t="s">
        <v>1028</v>
      </c>
      <c r="BI5" s="20"/>
      <c r="BJ5" s="936" t="s">
        <v>1036</v>
      </c>
      <c r="BK5" s="112"/>
      <c r="BL5" s="937" t="s">
        <v>1037</v>
      </c>
      <c r="BM5" s="112"/>
      <c r="BN5" s="920"/>
      <c r="BO5" s="938" t="s">
        <v>1038</v>
      </c>
      <c r="BP5" s="112"/>
      <c r="BQ5" s="112"/>
      <c r="BR5" s="112"/>
      <c r="BS5" s="112"/>
      <c r="BT5" s="112"/>
      <c r="BU5" s="112"/>
      <c r="BV5" s="112"/>
      <c r="BW5" s="939" t="s">
        <v>1039</v>
      </c>
      <c r="BX5" s="112"/>
      <c r="BY5" s="112"/>
      <c r="BZ5" s="112"/>
      <c r="CA5" s="112"/>
      <c r="CB5" s="112"/>
      <c r="CC5" s="112"/>
      <c r="CD5" s="112"/>
      <c r="CE5" s="940" t="s">
        <v>1040</v>
      </c>
      <c r="CF5" s="112"/>
      <c r="CG5" s="112"/>
      <c r="CH5" s="112"/>
      <c r="CI5" s="112"/>
      <c r="CJ5" s="941" t="s">
        <v>1041</v>
      </c>
      <c r="CK5" s="112"/>
      <c r="CL5" s="112"/>
      <c r="CM5" s="112"/>
      <c r="CN5" s="112"/>
      <c r="CO5" s="112"/>
      <c r="CP5" s="933"/>
      <c r="CQ5" s="942" t="s">
        <v>1042</v>
      </c>
      <c r="CR5" s="112"/>
      <c r="CS5" s="112"/>
      <c r="CT5" s="112"/>
      <c r="CU5" s="112"/>
      <c r="CV5" s="112"/>
      <c r="CW5" s="943" t="s">
        <v>1043</v>
      </c>
      <c r="CX5" s="112"/>
      <c r="CY5" s="112"/>
      <c r="CZ5" s="112"/>
      <c r="DA5" s="112"/>
      <c r="DB5" s="112"/>
      <c r="DC5" s="112"/>
      <c r="DD5" s="112"/>
      <c r="DE5" s="112"/>
      <c r="DF5" s="920"/>
      <c r="DG5" s="944" t="s">
        <v>1044</v>
      </c>
      <c r="DH5" s="112"/>
      <c r="DI5" s="112"/>
      <c r="DJ5" s="112"/>
      <c r="DK5" s="112"/>
      <c r="DL5" s="112"/>
      <c r="DM5" s="112"/>
      <c r="DN5" s="945"/>
      <c r="DO5" s="945"/>
      <c r="DP5" s="945"/>
    </row>
    <row r="6" ht="16.5" customHeight="1">
      <c r="A6" s="863" t="s">
        <v>494</v>
      </c>
      <c r="C6" s="946" t="s">
        <v>495</v>
      </c>
      <c r="H6" s="947" t="s">
        <v>1045</v>
      </c>
      <c r="J6" s="933"/>
      <c r="K6" s="947" t="s">
        <v>1046</v>
      </c>
      <c r="O6" s="43"/>
      <c r="P6" s="44"/>
      <c r="Q6" s="948" t="s">
        <v>1047</v>
      </c>
      <c r="R6" s="949" t="s">
        <v>1048</v>
      </c>
      <c r="U6" s="950"/>
      <c r="V6" s="949" t="s">
        <v>1049</v>
      </c>
      <c r="AA6" s="933"/>
      <c r="AB6" s="951" t="s">
        <v>1050</v>
      </c>
      <c r="AE6" s="952" t="s">
        <v>1051</v>
      </c>
      <c r="AI6" s="54"/>
      <c r="AJ6" s="953" t="s">
        <v>1052</v>
      </c>
      <c r="AO6" s="954" t="s">
        <v>1053</v>
      </c>
      <c r="AS6" s="951" t="s">
        <v>1054</v>
      </c>
      <c r="AU6" s="933"/>
      <c r="AV6" s="951" t="s">
        <v>1055</v>
      </c>
      <c r="AW6" s="950"/>
      <c r="AX6" s="949" t="s">
        <v>1056</v>
      </c>
      <c r="AZ6" s="952" t="s">
        <v>1057</v>
      </c>
      <c r="BD6" s="933"/>
      <c r="BE6" s="952" t="s">
        <v>1058</v>
      </c>
      <c r="BF6" s="955" t="s">
        <v>1059</v>
      </c>
      <c r="BH6" s="43"/>
      <c r="BI6" s="44"/>
      <c r="BJ6" s="952" t="s">
        <v>1060</v>
      </c>
      <c r="BN6" s="54"/>
      <c r="BO6" s="956" t="s">
        <v>1061</v>
      </c>
      <c r="BP6" s="504"/>
      <c r="BQ6" s="504"/>
      <c r="BR6" s="504"/>
      <c r="BS6" s="504"/>
      <c r="BT6" s="504"/>
      <c r="BU6" s="504"/>
      <c r="BV6" s="504"/>
      <c r="BW6" s="957" t="s">
        <v>1062</v>
      </c>
      <c r="CA6" s="933"/>
      <c r="CB6" s="957" t="s">
        <v>1063</v>
      </c>
      <c r="CE6" s="958" t="s">
        <v>1064</v>
      </c>
      <c r="CJ6" s="959" t="s">
        <v>1065</v>
      </c>
      <c r="CP6" s="960"/>
      <c r="CQ6" s="961" t="s">
        <v>1066</v>
      </c>
      <c r="CW6" s="962" t="s">
        <v>1067</v>
      </c>
      <c r="DF6" s="963"/>
      <c r="DG6" s="964" t="s">
        <v>1068</v>
      </c>
      <c r="DN6" s="965"/>
      <c r="DO6" s="965"/>
      <c r="DP6" s="965"/>
    </row>
    <row r="7" ht="12.75" customHeight="1">
      <c r="A7" s="923"/>
      <c r="B7" s="924"/>
      <c r="C7" s="923"/>
      <c r="D7" s="923"/>
      <c r="E7" s="923"/>
      <c r="F7" s="923"/>
      <c r="G7" s="923"/>
      <c r="H7" s="923"/>
      <c r="I7" s="923"/>
      <c r="J7" s="54"/>
      <c r="K7" s="923"/>
      <c r="L7" s="923"/>
      <c r="M7" s="923"/>
      <c r="N7" s="923"/>
      <c r="O7" s="43"/>
      <c r="P7" s="44"/>
      <c r="Q7" s="923"/>
      <c r="R7" s="923"/>
      <c r="S7" s="923"/>
      <c r="T7" s="923"/>
      <c r="U7" s="923"/>
      <c r="V7" s="923"/>
      <c r="W7" s="923"/>
      <c r="X7" s="923"/>
      <c r="Y7" s="923"/>
      <c r="Z7" s="923"/>
      <c r="AA7" s="54"/>
      <c r="AB7" s="923"/>
      <c r="AC7" s="923"/>
      <c r="AD7" s="923"/>
      <c r="AE7" s="923"/>
      <c r="AF7" s="923"/>
      <c r="AG7" s="923"/>
      <c r="AH7" s="923"/>
      <c r="AI7" s="54"/>
      <c r="AJ7" s="923"/>
      <c r="AK7" s="923"/>
      <c r="AL7" s="923"/>
      <c r="AM7" s="923"/>
      <c r="AN7" s="923"/>
      <c r="AO7" s="923"/>
      <c r="AP7" s="923"/>
      <c r="AQ7" s="923"/>
      <c r="AR7" s="923"/>
      <c r="AS7" s="923"/>
      <c r="AT7" s="923"/>
      <c r="AU7" s="54"/>
      <c r="AV7" s="923"/>
      <c r="AW7" s="923"/>
      <c r="AX7" s="923"/>
      <c r="AY7" s="923"/>
      <c r="AZ7" s="923"/>
      <c r="BA7" s="923"/>
      <c r="BB7" s="923"/>
      <c r="BC7" s="923"/>
      <c r="BD7" s="54"/>
      <c r="BE7" s="923"/>
      <c r="BF7" s="923"/>
      <c r="BG7" s="966"/>
      <c r="BH7" s="43"/>
      <c r="BI7" s="44"/>
      <c r="BJ7" s="967"/>
      <c r="BK7" s="923"/>
      <c r="BL7" s="923"/>
      <c r="BM7" s="923"/>
      <c r="BN7" s="54"/>
      <c r="BO7" s="923"/>
      <c r="BP7" s="923"/>
      <c r="BQ7" s="923"/>
      <c r="BR7" s="923"/>
      <c r="BS7" s="923"/>
      <c r="BT7" s="923"/>
      <c r="BU7" s="923"/>
      <c r="BV7" s="923"/>
      <c r="BW7" s="923"/>
      <c r="BX7" s="923"/>
      <c r="BY7" s="923"/>
      <c r="BZ7" s="966"/>
      <c r="CA7" s="54"/>
      <c r="CB7" s="967"/>
      <c r="CC7" s="967"/>
      <c r="CD7" s="923"/>
      <c r="CE7" s="923"/>
      <c r="CF7" s="923"/>
      <c r="CG7" s="923"/>
      <c r="CH7" s="923"/>
      <c r="CI7" s="923"/>
      <c r="CJ7" s="923"/>
      <c r="CK7" s="923"/>
      <c r="CL7" s="923"/>
      <c r="CM7" s="923"/>
      <c r="CN7" s="923"/>
      <c r="CO7" s="966"/>
      <c r="CP7" s="960"/>
      <c r="CQ7" s="967"/>
      <c r="CR7" s="923"/>
      <c r="CS7" s="923"/>
      <c r="CT7" s="923"/>
      <c r="CU7" s="923"/>
      <c r="CV7" s="923"/>
      <c r="CW7" s="923"/>
      <c r="CX7" s="923"/>
      <c r="CY7" s="923"/>
      <c r="CZ7" s="923"/>
      <c r="DA7" s="923"/>
      <c r="DB7" s="923"/>
      <c r="DC7" s="923"/>
      <c r="DD7" s="923"/>
      <c r="DE7" s="968"/>
      <c r="DF7" s="963"/>
      <c r="DG7" s="968"/>
      <c r="DH7" s="16"/>
      <c r="DI7" s="624"/>
      <c r="DJ7" s="923"/>
      <c r="DK7" s="923"/>
      <c r="DL7" s="923"/>
      <c r="DM7" s="923"/>
      <c r="DN7" s="923"/>
      <c r="DO7" s="923"/>
      <c r="DP7" s="923"/>
    </row>
    <row r="8" ht="21.0" customHeight="1">
      <c r="A8" s="969" t="s">
        <v>497</v>
      </c>
      <c r="B8" s="970" t="s">
        <v>497</v>
      </c>
      <c r="C8" s="971" t="s">
        <v>1069</v>
      </c>
      <c r="H8" s="972" t="s">
        <v>1070</v>
      </c>
      <c r="J8" s="54"/>
      <c r="K8" s="972" t="s">
        <v>745</v>
      </c>
      <c r="O8" s="43"/>
      <c r="P8" s="44"/>
      <c r="Q8" s="973" t="s">
        <v>1071</v>
      </c>
      <c r="R8" s="974" t="s">
        <v>1072</v>
      </c>
      <c r="U8" s="950"/>
      <c r="V8" s="975" t="s">
        <v>1073</v>
      </c>
      <c r="AA8" s="54"/>
      <c r="AB8" s="974" t="s">
        <v>1074</v>
      </c>
      <c r="AE8" s="976" t="s">
        <v>1075</v>
      </c>
      <c r="AI8" s="54"/>
      <c r="AJ8" s="977" t="s">
        <v>1076</v>
      </c>
      <c r="AN8" s="978"/>
      <c r="AO8" s="979" t="s">
        <v>1077</v>
      </c>
      <c r="AS8" s="974" t="s">
        <v>1078</v>
      </c>
      <c r="AU8" s="54"/>
      <c r="AV8" s="974" t="s">
        <v>1079</v>
      </c>
      <c r="AX8" s="975" t="s">
        <v>1080</v>
      </c>
      <c r="AZ8" s="976" t="s">
        <v>1081</v>
      </c>
      <c r="BD8" s="54"/>
      <c r="BE8" s="976" t="s">
        <v>1082</v>
      </c>
      <c r="BF8" s="980" t="s">
        <v>1083</v>
      </c>
      <c r="BH8" s="43"/>
      <c r="BI8" s="44"/>
      <c r="BJ8" s="976" t="s">
        <v>529</v>
      </c>
      <c r="BL8" s="937" t="s">
        <v>1037</v>
      </c>
      <c r="BM8" s="112"/>
      <c r="BN8" s="54"/>
      <c r="BO8" s="981" t="s">
        <v>498</v>
      </c>
      <c r="BP8" s="112"/>
      <c r="BQ8" s="112"/>
      <c r="BR8" s="112"/>
      <c r="BS8" s="112"/>
      <c r="BT8" s="112"/>
      <c r="BU8" s="112"/>
      <c r="BV8" s="112"/>
      <c r="BW8" s="982" t="s">
        <v>586</v>
      </c>
      <c r="CA8" s="54"/>
      <c r="CB8" s="982" t="s">
        <v>1084</v>
      </c>
      <c r="CE8" s="983" t="s">
        <v>632</v>
      </c>
      <c r="CJ8" s="984" t="s">
        <v>441</v>
      </c>
      <c r="CP8" s="960"/>
      <c r="CQ8" s="985" t="s">
        <v>838</v>
      </c>
      <c r="CW8" s="986" t="s">
        <v>745</v>
      </c>
      <c r="DF8" s="963"/>
      <c r="DG8" s="987" t="s">
        <v>1085</v>
      </c>
      <c r="DN8" s="965"/>
      <c r="DO8" s="965"/>
      <c r="DP8" s="965"/>
    </row>
    <row r="9" ht="21.0" customHeight="1">
      <c r="B9" s="970" t="s">
        <v>82</v>
      </c>
      <c r="C9" s="971" t="s">
        <v>1086</v>
      </c>
      <c r="H9" s="972" t="s">
        <v>1087</v>
      </c>
      <c r="J9" s="21"/>
      <c r="K9" s="972" t="s">
        <v>1088</v>
      </c>
      <c r="O9" s="43"/>
      <c r="P9" s="44"/>
      <c r="Q9" s="973" t="s">
        <v>523</v>
      </c>
      <c r="R9" s="974" t="s">
        <v>1089</v>
      </c>
      <c r="U9" s="950"/>
      <c r="V9" s="975" t="s">
        <v>1090</v>
      </c>
      <c r="AA9" s="21"/>
      <c r="AB9" s="974" t="s">
        <v>1091</v>
      </c>
      <c r="AE9" s="976" t="s">
        <v>1092</v>
      </c>
      <c r="AI9" s="54"/>
      <c r="AJ9" s="977" t="s">
        <v>1093</v>
      </c>
      <c r="AN9" s="978"/>
      <c r="AO9" s="979" t="s">
        <v>1094</v>
      </c>
      <c r="AS9" s="974" t="s">
        <v>1095</v>
      </c>
      <c r="AU9" s="21"/>
      <c r="AV9" s="974" t="s">
        <v>1096</v>
      </c>
      <c r="AX9" s="975" t="s">
        <v>1097</v>
      </c>
      <c r="AZ9" s="976" t="s">
        <v>1098</v>
      </c>
      <c r="BD9" s="21"/>
      <c r="BE9" s="976" t="s">
        <v>523</v>
      </c>
      <c r="BF9" s="980" t="s">
        <v>1099</v>
      </c>
      <c r="BH9" s="43"/>
      <c r="BI9" s="44"/>
      <c r="BJ9" s="976" t="s">
        <v>523</v>
      </c>
      <c r="BN9" s="54"/>
      <c r="BO9" s="988" t="s">
        <v>499</v>
      </c>
      <c r="BW9" s="982" t="s">
        <v>1100</v>
      </c>
      <c r="CA9" s="21"/>
      <c r="CB9" s="982" t="s">
        <v>470</v>
      </c>
      <c r="CE9" s="983" t="s">
        <v>1101</v>
      </c>
      <c r="CJ9" s="984" t="s">
        <v>1102</v>
      </c>
      <c r="CP9" s="960"/>
      <c r="CQ9" s="985" t="s">
        <v>1103</v>
      </c>
      <c r="CW9" s="986" t="s">
        <v>1104</v>
      </c>
      <c r="DF9" s="963"/>
      <c r="DG9" s="987" t="s">
        <v>1105</v>
      </c>
      <c r="DN9" s="965"/>
      <c r="DO9" s="965"/>
      <c r="DP9" s="965"/>
    </row>
    <row r="10" ht="22.5" customHeight="1">
      <c r="B10" s="970" t="s">
        <v>500</v>
      </c>
      <c r="C10" s="971" t="s">
        <v>1106</v>
      </c>
      <c r="H10" s="972" t="s">
        <v>123</v>
      </c>
      <c r="O10" s="43"/>
      <c r="P10" s="44"/>
      <c r="Q10" s="974" t="s">
        <v>120</v>
      </c>
      <c r="AD10" s="989" t="s">
        <v>523</v>
      </c>
      <c r="AE10" s="980" t="s">
        <v>605</v>
      </c>
      <c r="AI10" s="54"/>
      <c r="AJ10" s="977" t="s">
        <v>1107</v>
      </c>
      <c r="AN10" s="978"/>
      <c r="AO10" s="979" t="s">
        <v>299</v>
      </c>
      <c r="AS10" s="974" t="s">
        <v>1108</v>
      </c>
      <c r="AZ10" s="976" t="s">
        <v>605</v>
      </c>
      <c r="BH10" s="43"/>
      <c r="BI10" s="44"/>
      <c r="BJ10" s="976" t="s">
        <v>529</v>
      </c>
      <c r="BN10" s="54"/>
      <c r="BO10" s="988" t="s">
        <v>501</v>
      </c>
      <c r="BW10" s="982" t="s">
        <v>157</v>
      </c>
      <c r="CE10" s="983" t="s">
        <v>122</v>
      </c>
      <c r="CJ10" s="984" t="s">
        <v>32</v>
      </c>
      <c r="CP10" s="960"/>
      <c r="CQ10" s="985" t="s">
        <v>16</v>
      </c>
      <c r="CW10" s="986" t="s">
        <v>123</v>
      </c>
      <c r="DF10" s="963"/>
      <c r="DG10" s="987" t="s">
        <v>16</v>
      </c>
      <c r="DN10" s="965"/>
      <c r="DO10" s="965"/>
      <c r="DP10" s="965"/>
    </row>
    <row r="11" ht="21.0" customHeight="1">
      <c r="B11" s="970" t="s">
        <v>502</v>
      </c>
      <c r="C11" s="972" t="s">
        <v>123</v>
      </c>
      <c r="H11" s="990" t="s">
        <v>1109</v>
      </c>
      <c r="K11" s="991" t="s">
        <v>1110</v>
      </c>
      <c r="O11" s="43"/>
      <c r="P11" s="44"/>
      <c r="Q11" s="972" t="s">
        <v>1107</v>
      </c>
      <c r="T11" s="972" t="s">
        <v>1111</v>
      </c>
      <c r="V11" s="976" t="s">
        <v>1112</v>
      </c>
      <c r="AB11" s="989" t="s">
        <v>1113</v>
      </c>
      <c r="AD11" s="992" t="s">
        <v>523</v>
      </c>
      <c r="AE11" s="993" t="s">
        <v>1114</v>
      </c>
      <c r="AI11" s="54"/>
      <c r="AJ11" s="974" t="s">
        <v>523</v>
      </c>
      <c r="AK11" s="974" t="s">
        <v>120</v>
      </c>
      <c r="AO11" s="994" t="s">
        <v>1114</v>
      </c>
      <c r="AS11" s="989" t="s">
        <v>529</v>
      </c>
      <c r="AV11" s="995" t="s">
        <v>1115</v>
      </c>
      <c r="AX11" s="977" t="s">
        <v>299</v>
      </c>
      <c r="AZ11" s="974" t="s">
        <v>662</v>
      </c>
      <c r="BD11" s="950"/>
      <c r="BE11" s="975" t="s">
        <v>1116</v>
      </c>
      <c r="BH11" s="43"/>
      <c r="BI11" s="44"/>
      <c r="BJ11" s="974" t="s">
        <v>1116</v>
      </c>
      <c r="BN11" s="54"/>
      <c r="BO11" s="996" t="s">
        <v>503</v>
      </c>
      <c r="BW11" s="988" t="s">
        <v>501</v>
      </c>
      <c r="CA11" s="984" t="s">
        <v>16</v>
      </c>
      <c r="CE11" s="997" t="s">
        <v>617</v>
      </c>
      <c r="CJ11" s="982" t="s">
        <v>157</v>
      </c>
      <c r="CP11" s="960"/>
      <c r="CQ11" s="998" t="s">
        <v>523</v>
      </c>
      <c r="CR11" s="999" t="s">
        <v>673</v>
      </c>
      <c r="CW11" s="1000" t="s">
        <v>157</v>
      </c>
      <c r="CZ11" s="1001" t="s">
        <v>37</v>
      </c>
      <c r="DF11" s="1002"/>
      <c r="DG11" s="1003" t="s">
        <v>123</v>
      </c>
      <c r="DN11" s="965"/>
      <c r="DO11" s="965"/>
      <c r="DP11" s="965"/>
    </row>
    <row r="12" ht="21.0" customHeight="1">
      <c r="B12" s="970" t="s">
        <v>504</v>
      </c>
      <c r="C12" s="991" t="s">
        <v>1117</v>
      </c>
      <c r="H12" s="965"/>
      <c r="I12" s="965"/>
      <c r="J12" s="965"/>
      <c r="K12" s="992" t="s">
        <v>527</v>
      </c>
      <c r="O12" s="43"/>
      <c r="P12" s="44"/>
      <c r="Q12" s="991" t="s">
        <v>523</v>
      </c>
      <c r="R12" s="991" t="s">
        <v>1118</v>
      </c>
      <c r="V12" s="992" t="s">
        <v>527</v>
      </c>
      <c r="W12" s="950"/>
      <c r="X12" s="1004" t="s">
        <v>1115</v>
      </c>
      <c r="AD12" s="965"/>
      <c r="AE12" s="992" t="s">
        <v>1119</v>
      </c>
      <c r="AI12" s="21"/>
      <c r="AJ12" s="976" t="s">
        <v>529</v>
      </c>
      <c r="AO12" s="1005" t="s">
        <v>1120</v>
      </c>
      <c r="AV12" s="989" t="s">
        <v>529</v>
      </c>
      <c r="AX12" s="994" t="s">
        <v>1114</v>
      </c>
      <c r="AZ12" s="977" t="s">
        <v>299</v>
      </c>
      <c r="BE12" s="1006" t="s">
        <v>1121</v>
      </c>
      <c r="BH12" s="43"/>
      <c r="BI12" s="44"/>
      <c r="BJ12" s="1006" t="s">
        <v>1121</v>
      </c>
      <c r="BN12" s="54"/>
      <c r="BO12" s="1007" t="s">
        <v>505</v>
      </c>
      <c r="BR12" s="1008"/>
      <c r="BS12" s="1009" t="s">
        <v>650</v>
      </c>
      <c r="BW12" s="1010" t="s">
        <v>523</v>
      </c>
      <c r="BX12" s="1011" t="s">
        <v>617</v>
      </c>
      <c r="CA12" s="965"/>
      <c r="CB12" s="965"/>
      <c r="CC12" s="965"/>
      <c r="CD12" s="965"/>
      <c r="CE12" s="965"/>
      <c r="CF12" s="965"/>
      <c r="CG12" s="965"/>
      <c r="CH12" s="965"/>
      <c r="CI12" s="965"/>
      <c r="CJ12" s="1012" t="s">
        <v>299</v>
      </c>
      <c r="CP12" s="1013"/>
      <c r="CQ12" s="983" t="s">
        <v>116</v>
      </c>
      <c r="CW12" s="985" t="s">
        <v>122</v>
      </c>
      <c r="DF12" s="965"/>
      <c r="DG12" s="965"/>
      <c r="DH12" s="965"/>
      <c r="DI12" s="965"/>
      <c r="DJ12" s="965"/>
      <c r="DK12" s="965"/>
      <c r="DL12" s="965"/>
      <c r="DM12" s="965"/>
      <c r="DN12" s="965"/>
      <c r="DO12" s="965"/>
      <c r="DP12" s="965"/>
    </row>
    <row r="13" ht="21.0" customHeight="1">
      <c r="B13" s="970" t="s">
        <v>506</v>
      </c>
      <c r="C13" s="965"/>
      <c r="D13" s="965"/>
      <c r="E13" s="965"/>
      <c r="F13" s="965"/>
      <c r="G13" s="965"/>
      <c r="H13" s="965"/>
      <c r="I13" s="965"/>
      <c r="J13" s="965"/>
      <c r="K13" s="965"/>
      <c r="L13" s="965"/>
      <c r="M13" s="965"/>
      <c r="N13" s="965"/>
      <c r="O13" s="26"/>
      <c r="P13" s="27"/>
      <c r="Q13" s="965"/>
      <c r="R13" s="965"/>
      <c r="S13" s="965"/>
      <c r="T13" s="965"/>
      <c r="U13" s="965"/>
      <c r="V13" s="965"/>
      <c r="W13" s="965"/>
      <c r="X13" s="965"/>
      <c r="Y13" s="965"/>
      <c r="Z13" s="965"/>
      <c r="AA13" s="965"/>
      <c r="AB13" s="965"/>
      <c r="AC13" s="965"/>
      <c r="AD13" s="965"/>
      <c r="AE13" s="965"/>
      <c r="AF13" s="965"/>
      <c r="AG13" s="965"/>
      <c r="AH13" s="965"/>
      <c r="AI13" s="965"/>
      <c r="AJ13" s="965"/>
      <c r="AK13" s="965"/>
      <c r="AL13" s="965"/>
      <c r="AM13" s="965"/>
      <c r="AN13" s="965"/>
      <c r="AO13" s="965"/>
      <c r="AP13" s="965"/>
      <c r="AQ13" s="965"/>
      <c r="AR13" s="965"/>
      <c r="AS13" s="965"/>
      <c r="AT13" s="965"/>
      <c r="AU13" s="965"/>
      <c r="AV13" s="965"/>
      <c r="AW13" s="965"/>
      <c r="AX13" s="965"/>
      <c r="AY13" s="965"/>
      <c r="AZ13" s="1006" t="s">
        <v>1121</v>
      </c>
      <c r="BE13" s="965"/>
      <c r="BF13" s="965"/>
      <c r="BG13" s="965"/>
      <c r="BH13" s="26"/>
      <c r="BI13" s="27"/>
      <c r="BJ13" s="965"/>
      <c r="BK13" s="965"/>
      <c r="BN13" s="54"/>
      <c r="BO13" s="1014" t="s">
        <v>507</v>
      </c>
      <c r="BP13" s="614"/>
      <c r="BQ13" s="1015" t="s">
        <v>118</v>
      </c>
      <c r="BR13" s="504"/>
      <c r="BS13" s="504"/>
      <c r="BT13" s="504"/>
      <c r="BU13" s="504"/>
      <c r="BV13" s="965"/>
      <c r="BW13" s="1016" t="s">
        <v>378</v>
      </c>
      <c r="CA13" s="965"/>
      <c r="CB13" s="965"/>
      <c r="CC13" s="965"/>
      <c r="CD13" s="965"/>
      <c r="CE13" s="965"/>
      <c r="CF13" s="965"/>
      <c r="CG13" s="965"/>
      <c r="CH13" s="965"/>
      <c r="CI13" s="965"/>
      <c r="CJ13" s="993" t="s">
        <v>118</v>
      </c>
      <c r="CK13" s="965"/>
      <c r="CL13" s="965"/>
      <c r="CM13" s="965"/>
      <c r="CN13" s="965"/>
      <c r="CO13" s="965"/>
      <c r="CP13" s="965"/>
      <c r="CQ13" s="965"/>
      <c r="CR13" s="965"/>
      <c r="CS13" s="965"/>
      <c r="CT13" s="965"/>
      <c r="CU13" s="965"/>
      <c r="CV13" s="965"/>
      <c r="CW13" s="965"/>
      <c r="CX13" s="965"/>
      <c r="CY13" s="965"/>
      <c r="CZ13" s="965"/>
      <c r="DA13" s="965"/>
      <c r="DB13" s="965"/>
      <c r="DC13" s="965"/>
      <c r="DD13" s="965"/>
      <c r="DE13" s="965"/>
      <c r="DF13" s="965"/>
      <c r="DG13" s="965"/>
      <c r="DH13" s="965"/>
      <c r="DI13" s="965"/>
      <c r="DJ13" s="965"/>
      <c r="DK13" s="965"/>
      <c r="DL13" s="965"/>
      <c r="DM13" s="965"/>
      <c r="DN13" s="965"/>
      <c r="DO13" s="965"/>
      <c r="DP13" s="965"/>
    </row>
    <row r="14" ht="12.75" customHeight="1">
      <c r="A14" s="923"/>
      <c r="B14" s="924"/>
      <c r="C14" s="923"/>
      <c r="D14" s="923"/>
      <c r="E14" s="923"/>
      <c r="F14" s="923"/>
      <c r="G14" s="923"/>
      <c r="H14" s="923"/>
      <c r="I14" s="923"/>
      <c r="J14" s="923"/>
      <c r="K14" s="923"/>
      <c r="L14" s="923"/>
      <c r="M14" s="923"/>
      <c r="N14" s="923"/>
      <c r="O14" s="923"/>
      <c r="P14" s="923"/>
      <c r="Q14" s="923"/>
      <c r="R14" s="923"/>
      <c r="S14" s="923"/>
      <c r="T14" s="923"/>
      <c r="U14" s="923"/>
      <c r="V14" s="923"/>
      <c r="W14" s="923"/>
      <c r="X14" s="923"/>
      <c r="Y14" s="923"/>
      <c r="Z14" s="923"/>
      <c r="AA14" s="923"/>
      <c r="AB14" s="923"/>
      <c r="AC14" s="923"/>
      <c r="AD14" s="923"/>
      <c r="AE14" s="923"/>
      <c r="AF14" s="923"/>
      <c r="AG14" s="923"/>
      <c r="AH14" s="923"/>
      <c r="AI14" s="923"/>
      <c r="AJ14" s="923"/>
      <c r="AK14" s="923"/>
      <c r="AL14" s="923"/>
      <c r="AM14" s="923"/>
      <c r="AN14" s="923"/>
      <c r="AO14" s="923"/>
      <c r="AP14" s="923"/>
      <c r="AQ14" s="923"/>
      <c r="AR14" s="923"/>
      <c r="AS14" s="923"/>
      <c r="AT14" s="923"/>
      <c r="AU14" s="923"/>
      <c r="AV14" s="923"/>
      <c r="AW14" s="923"/>
      <c r="AX14" s="923"/>
      <c r="AY14" s="923"/>
      <c r="AZ14" s="923"/>
      <c r="BA14" s="923"/>
      <c r="BB14" s="923"/>
      <c r="BC14" s="923"/>
      <c r="BD14" s="923"/>
      <c r="BE14" s="923"/>
      <c r="BF14" s="923"/>
      <c r="BG14" s="923"/>
      <c r="BH14" s="923"/>
      <c r="BI14" s="923"/>
      <c r="BJ14" s="923"/>
      <c r="BK14" s="923"/>
      <c r="BL14" s="923"/>
      <c r="BM14" s="923"/>
      <c r="BN14" s="923"/>
      <c r="BO14" s="1017"/>
      <c r="BP14" s="1017"/>
      <c r="BQ14" s="1017"/>
      <c r="BR14" s="1017"/>
      <c r="BS14" s="1017"/>
      <c r="BT14" s="923"/>
      <c r="BU14" s="923"/>
      <c r="BV14" s="923"/>
      <c r="BW14" s="923"/>
      <c r="BX14" s="923"/>
      <c r="BY14" s="923"/>
      <c r="BZ14" s="923"/>
      <c r="CA14" s="923"/>
      <c r="CB14" s="923"/>
      <c r="CC14" s="923"/>
      <c r="CD14" s="923"/>
      <c r="CE14" s="923"/>
      <c r="CF14" s="923"/>
      <c r="CG14" s="923"/>
      <c r="CH14" s="923"/>
      <c r="CI14" s="923"/>
      <c r="CJ14" s="923"/>
      <c r="CK14" s="923"/>
      <c r="CL14" s="923"/>
      <c r="CM14" s="923"/>
      <c r="CN14" s="923"/>
      <c r="CO14" s="923"/>
      <c r="CP14" s="923"/>
      <c r="CQ14" s="923"/>
      <c r="CR14" s="923"/>
      <c r="CS14" s="923"/>
      <c r="CT14" s="923"/>
      <c r="CU14" s="923"/>
      <c r="CV14" s="923"/>
      <c r="CW14" s="923"/>
      <c r="CX14" s="923"/>
      <c r="CY14" s="923"/>
      <c r="CZ14" s="923"/>
      <c r="DA14" s="923"/>
      <c r="DB14" s="923"/>
      <c r="DC14" s="923"/>
      <c r="DD14" s="923"/>
      <c r="DE14" s="923"/>
      <c r="DF14" s="923"/>
      <c r="DG14" s="923"/>
      <c r="DH14" s="923"/>
      <c r="DI14" s="923"/>
      <c r="DJ14" s="923"/>
      <c r="DK14" s="923"/>
      <c r="DL14" s="923"/>
      <c r="DM14" s="923"/>
      <c r="DN14" s="923"/>
      <c r="DO14" s="923"/>
      <c r="DP14" s="923"/>
    </row>
    <row r="15" ht="21.0" customHeight="1">
      <c r="A15" s="969" t="s">
        <v>508</v>
      </c>
      <c r="B15" s="970" t="s">
        <v>509</v>
      </c>
      <c r="C15" s="854" t="s">
        <v>1122</v>
      </c>
      <c r="F15" s="1018" t="s">
        <v>523</v>
      </c>
      <c r="G15" s="972" t="s">
        <v>123</v>
      </c>
      <c r="K15" s="973" t="s">
        <v>523</v>
      </c>
      <c r="L15" s="1019" t="s">
        <v>1114</v>
      </c>
      <c r="U15" s="950"/>
      <c r="V15" s="1020" t="s">
        <v>523</v>
      </c>
      <c r="W15" s="1019" t="s">
        <v>1123</v>
      </c>
      <c r="AA15" s="950"/>
      <c r="AB15" s="1019" t="s">
        <v>123</v>
      </c>
      <c r="AI15" s="950"/>
      <c r="AJ15" s="1019" t="s">
        <v>121</v>
      </c>
      <c r="AU15" s="950"/>
      <c r="AV15" s="1019" t="s">
        <v>1120</v>
      </c>
      <c r="BK15" s="950"/>
      <c r="BL15" s="1021" t="s">
        <v>123</v>
      </c>
      <c r="BM15" s="112"/>
      <c r="BN15" s="112"/>
      <c r="BO15" s="112"/>
      <c r="BP15" s="112"/>
      <c r="BQ15" s="112"/>
      <c r="BR15" s="112"/>
      <c r="BS15" s="112"/>
      <c r="BT15" s="112"/>
      <c r="BU15" s="112"/>
      <c r="BV15" s="112"/>
      <c r="BW15" s="112"/>
      <c r="BX15" s="112"/>
      <c r="BY15" s="112"/>
      <c r="BZ15" s="112"/>
      <c r="CA15" s="112"/>
      <c r="CB15" s="112"/>
      <c r="CC15" s="112"/>
      <c r="CD15" s="112"/>
      <c r="CE15" s="112"/>
      <c r="CF15" s="112"/>
      <c r="CG15" s="112"/>
      <c r="CH15" s="112"/>
      <c r="CI15" s="112"/>
      <c r="CJ15" s="112"/>
      <c r="CK15" s="112"/>
      <c r="CL15" s="112"/>
      <c r="CM15" s="112"/>
      <c r="CN15" s="112"/>
      <c r="CO15" s="112"/>
      <c r="CP15" s="112"/>
      <c r="CQ15" s="112"/>
      <c r="CR15" s="112"/>
      <c r="CS15" s="112"/>
      <c r="CT15" s="1022" t="s">
        <v>617</v>
      </c>
      <c r="CU15" s="112"/>
      <c r="CV15" s="112"/>
      <c r="CW15" s="112"/>
      <c r="CX15" s="112"/>
      <c r="CY15" s="112"/>
      <c r="CZ15" s="112"/>
      <c r="DA15" s="112"/>
      <c r="DB15" s="112"/>
      <c r="DC15" s="112"/>
      <c r="DD15" s="112"/>
      <c r="DE15" s="112"/>
      <c r="DF15" s="112"/>
      <c r="DG15" s="112"/>
      <c r="DH15" s="112"/>
      <c r="DI15" s="112"/>
      <c r="DJ15" s="112"/>
      <c r="DK15" s="1023"/>
      <c r="DL15" s="1024" t="s">
        <v>523</v>
      </c>
      <c r="DN15" s="965"/>
      <c r="DO15" s="965"/>
      <c r="DP15" s="965"/>
    </row>
    <row r="16" ht="21.0" customHeight="1">
      <c r="B16" s="970" t="s">
        <v>511</v>
      </c>
      <c r="F16" s="992" t="s">
        <v>605</v>
      </c>
      <c r="K16" s="976" t="s">
        <v>605</v>
      </c>
      <c r="N16" s="993" t="s">
        <v>155</v>
      </c>
      <c r="Q16" s="972" t="s">
        <v>123</v>
      </c>
      <c r="T16" s="1025" t="s">
        <v>123</v>
      </c>
      <c r="X16" s="976" t="s">
        <v>1124</v>
      </c>
      <c r="AB16" s="992" t="s">
        <v>1125</v>
      </c>
      <c r="AD16" s="1026" t="s">
        <v>1126</v>
      </c>
      <c r="AE16" s="972" t="s">
        <v>299</v>
      </c>
      <c r="AJ16" s="1026" t="s">
        <v>523</v>
      </c>
      <c r="AK16" s="1025" t="s">
        <v>523</v>
      </c>
      <c r="AL16" s="1026" t="s">
        <v>523</v>
      </c>
      <c r="AM16" s="977" t="s">
        <v>152</v>
      </c>
      <c r="AQ16" s="995" t="s">
        <v>523</v>
      </c>
      <c r="AR16" s="976" t="s">
        <v>1127</v>
      </c>
      <c r="BE16" s="1027" t="s">
        <v>521</v>
      </c>
      <c r="BL16" s="937" t="s">
        <v>1037</v>
      </c>
      <c r="BM16" s="20"/>
      <c r="BN16" s="1028"/>
      <c r="BO16" s="1029" t="s">
        <v>378</v>
      </c>
      <c r="BS16" s="1026" t="s">
        <v>1126</v>
      </c>
      <c r="BU16" s="1030"/>
      <c r="BV16" s="1031" t="s">
        <v>515</v>
      </c>
      <c r="BZ16" s="1032" t="s">
        <v>523</v>
      </c>
      <c r="CB16" s="997" t="s">
        <v>515</v>
      </c>
      <c r="CI16" s="1026" t="s">
        <v>523</v>
      </c>
      <c r="CJ16" s="997" t="s">
        <v>122</v>
      </c>
      <c r="CP16" s="985" t="s">
        <v>122</v>
      </c>
      <c r="CV16" s="1026" t="s">
        <v>523</v>
      </c>
      <c r="CW16" s="1033" t="s">
        <v>1128</v>
      </c>
      <c r="DI16" s="1026" t="s">
        <v>523</v>
      </c>
      <c r="DJ16" s="1034" t="s">
        <v>154</v>
      </c>
      <c r="DN16" s="965"/>
      <c r="DO16" s="965"/>
      <c r="DP16" s="965"/>
    </row>
    <row r="17" ht="21.0" customHeight="1">
      <c r="B17" s="970" t="s">
        <v>512</v>
      </c>
      <c r="C17" s="990" t="s">
        <v>1114</v>
      </c>
      <c r="F17" s="971" t="s">
        <v>120</v>
      </c>
      <c r="J17" s="950"/>
      <c r="K17" s="1035" t="s">
        <v>1129</v>
      </c>
      <c r="M17" s="950"/>
      <c r="N17" s="1035" t="s">
        <v>1130</v>
      </c>
      <c r="Q17" s="976" t="s">
        <v>1124</v>
      </c>
      <c r="X17" s="992" t="s">
        <v>1125</v>
      </c>
      <c r="AB17" s="976" t="s">
        <v>1127</v>
      </c>
      <c r="AJ17" s="965"/>
      <c r="AK17" s="977" t="s">
        <v>152</v>
      </c>
      <c r="AM17" s="1036" t="s">
        <v>523</v>
      </c>
      <c r="AN17" s="995" t="s">
        <v>1120</v>
      </c>
      <c r="AO17" s="950"/>
      <c r="AP17" s="1037" t="s">
        <v>1119</v>
      </c>
      <c r="AR17" s="974" t="s">
        <v>523</v>
      </c>
      <c r="AS17" s="1038" t="s">
        <v>521</v>
      </c>
      <c r="AZ17" s="1027" t="s">
        <v>521</v>
      </c>
      <c r="BE17" s="1006" t="s">
        <v>1125</v>
      </c>
      <c r="BM17" s="44"/>
      <c r="BN17" s="1039"/>
      <c r="BO17" s="1040" t="s">
        <v>513</v>
      </c>
      <c r="BV17" s="1032" t="s">
        <v>617</v>
      </c>
      <c r="CB17" s="997" t="s">
        <v>617</v>
      </c>
      <c r="CJ17" s="1012" t="s">
        <v>154</v>
      </c>
      <c r="CR17" s="1000" t="s">
        <v>157</v>
      </c>
      <c r="CW17" s="984" t="s">
        <v>148</v>
      </c>
      <c r="DJ17" s="1000" t="s">
        <v>155</v>
      </c>
      <c r="DN17" s="965"/>
      <c r="DO17" s="965"/>
      <c r="DP17" s="965"/>
    </row>
    <row r="18" ht="21.0" customHeight="1">
      <c r="B18" s="970" t="s">
        <v>514</v>
      </c>
      <c r="C18" s="992" t="s">
        <v>605</v>
      </c>
      <c r="F18" s="971" t="s">
        <v>1129</v>
      </c>
      <c r="K18" s="965"/>
      <c r="L18" s="965"/>
      <c r="M18" s="990" t="s">
        <v>155</v>
      </c>
      <c r="N18" s="965"/>
      <c r="O18" s="965"/>
      <c r="P18" s="965"/>
      <c r="Q18" s="993" t="s">
        <v>155</v>
      </c>
      <c r="T18" s="992" t="s">
        <v>1125</v>
      </c>
      <c r="X18" s="972" t="s">
        <v>1131</v>
      </c>
      <c r="AA18" s="1041"/>
      <c r="AB18" s="1042" t="s">
        <v>299</v>
      </c>
      <c r="AE18" s="974" t="s">
        <v>120</v>
      </c>
      <c r="AJ18" s="965"/>
      <c r="AK18" s="974" t="s">
        <v>523</v>
      </c>
      <c r="AM18" s="1043" t="s">
        <v>523</v>
      </c>
      <c r="AN18" s="1037" t="s">
        <v>1119</v>
      </c>
      <c r="AP18" s="976" t="s">
        <v>1127</v>
      </c>
      <c r="AR18" s="1044" t="s">
        <v>1132</v>
      </c>
      <c r="BA18" s="965"/>
      <c r="BB18" s="965"/>
      <c r="BC18" s="965"/>
      <c r="BD18" s="965"/>
      <c r="BE18" s="974" t="s">
        <v>662</v>
      </c>
      <c r="BM18" s="44"/>
      <c r="BN18" s="1039"/>
      <c r="BO18" s="1045" t="s">
        <v>515</v>
      </c>
      <c r="BV18" s="965"/>
      <c r="BW18" s="965"/>
      <c r="BX18" s="965"/>
      <c r="BY18" s="965"/>
      <c r="BZ18" s="965"/>
      <c r="CA18" s="965"/>
      <c r="CB18" s="965"/>
      <c r="CC18" s="965"/>
      <c r="CD18" s="982" t="s">
        <v>691</v>
      </c>
      <c r="CI18" s="1046" t="s">
        <v>691</v>
      </c>
      <c r="CK18" s="997" t="s">
        <v>691</v>
      </c>
      <c r="CN18" s="965"/>
      <c r="CO18" s="965"/>
      <c r="CP18" s="965"/>
      <c r="CQ18" s="965"/>
      <c r="CR18" s="985" t="s">
        <v>523</v>
      </c>
      <c r="CS18" s="1003" t="s">
        <v>25</v>
      </c>
      <c r="DG18" s="1047" t="s">
        <v>200</v>
      </c>
      <c r="DN18" s="965"/>
      <c r="DO18" s="965"/>
      <c r="DP18" s="965"/>
    </row>
    <row r="19" ht="21.0" customHeight="1">
      <c r="B19" s="1048" t="s">
        <v>516</v>
      </c>
      <c r="C19" s="1049"/>
      <c r="D19" s="1049"/>
      <c r="E19" s="1049"/>
      <c r="F19" s="1049"/>
      <c r="G19" s="1049"/>
      <c r="H19" s="1049"/>
      <c r="I19" s="1049"/>
      <c r="J19" s="1049"/>
      <c r="K19" s="1049"/>
      <c r="L19" s="1049"/>
      <c r="M19" s="1049"/>
      <c r="N19" s="1049"/>
      <c r="O19" s="1049"/>
      <c r="P19" s="1049"/>
      <c r="Q19" s="1049"/>
      <c r="R19" s="1049"/>
      <c r="S19" s="1049"/>
      <c r="T19" s="1049"/>
      <c r="U19" s="1049"/>
      <c r="V19" s="1049"/>
      <c r="W19" s="1049"/>
      <c r="X19" s="1049"/>
      <c r="Y19" s="1049"/>
      <c r="Z19" s="1049"/>
      <c r="AA19" s="1049"/>
      <c r="AB19" s="1049"/>
      <c r="AC19" s="1049"/>
      <c r="AD19" s="1049"/>
      <c r="AE19" s="1049"/>
      <c r="AF19" s="1049"/>
      <c r="AG19" s="1049"/>
      <c r="AH19" s="1049"/>
      <c r="AI19" s="1049"/>
      <c r="AJ19" s="1049"/>
      <c r="AK19" s="1050" t="s">
        <v>1129</v>
      </c>
      <c r="AL19" s="504"/>
      <c r="AM19" s="1049"/>
      <c r="AN19" s="1049"/>
      <c r="AO19" s="1049"/>
      <c r="AP19" s="1049"/>
      <c r="AQ19" s="1049"/>
      <c r="AR19" s="1049"/>
      <c r="AS19" s="1049"/>
      <c r="AT19" s="1049"/>
      <c r="AU19" s="1049"/>
      <c r="AV19" s="1049"/>
      <c r="AW19" s="1049"/>
      <c r="AX19" s="1049"/>
      <c r="AY19" s="1049"/>
      <c r="AZ19" s="1049"/>
      <c r="BA19" s="1049"/>
      <c r="BB19" s="1049"/>
      <c r="BC19" s="1049"/>
      <c r="BD19" s="1049"/>
      <c r="BE19" s="1049"/>
      <c r="BF19" s="1049"/>
      <c r="BG19" s="1049"/>
      <c r="BH19" s="1049"/>
      <c r="BI19" s="1049"/>
      <c r="BJ19" s="1049"/>
      <c r="BK19" s="1049"/>
      <c r="BL19" s="504"/>
      <c r="BM19" s="27"/>
      <c r="BN19" s="44"/>
      <c r="BO19" s="1051" t="s">
        <v>203</v>
      </c>
      <c r="BP19" s="504"/>
      <c r="BQ19" s="504"/>
      <c r="BR19" s="504"/>
      <c r="BS19" s="504"/>
      <c r="BT19" s="504"/>
      <c r="BU19" s="965"/>
      <c r="BV19" s="965"/>
      <c r="BW19" s="965"/>
      <c r="BX19" s="965"/>
      <c r="BY19" s="965"/>
      <c r="BZ19" s="965"/>
      <c r="CA19" s="965"/>
      <c r="CB19" s="965"/>
      <c r="CC19" s="965"/>
      <c r="CD19" s="965"/>
      <c r="CE19" s="965"/>
      <c r="CF19" s="965"/>
      <c r="CG19" s="965"/>
      <c r="CH19" s="965"/>
      <c r="CI19" s="965"/>
      <c r="CJ19" s="965"/>
      <c r="CK19" s="965"/>
      <c r="CL19" s="965"/>
      <c r="CM19" s="965"/>
      <c r="CN19" s="965"/>
      <c r="CO19" s="965"/>
      <c r="CP19" s="965"/>
      <c r="CQ19" s="965"/>
      <c r="CR19" s="965"/>
      <c r="CS19" s="965"/>
      <c r="CT19" s="965"/>
      <c r="CU19" s="965"/>
      <c r="CV19" s="965"/>
      <c r="CW19" s="985" t="s">
        <v>122</v>
      </c>
      <c r="DG19" s="965"/>
      <c r="DH19" s="965"/>
      <c r="DI19" s="965"/>
      <c r="DJ19" s="965"/>
      <c r="DK19" s="965"/>
      <c r="DL19" s="965"/>
      <c r="DM19" s="965"/>
      <c r="DN19" s="965"/>
      <c r="DO19" s="965"/>
      <c r="DP19" s="965"/>
    </row>
    <row r="20" ht="12.75" customHeight="1">
      <c r="A20" s="923"/>
      <c r="B20" s="924"/>
      <c r="C20" s="1052"/>
      <c r="D20" s="1052"/>
      <c r="E20" s="1052"/>
      <c r="F20" s="1052"/>
      <c r="G20" s="1052"/>
      <c r="H20" s="1052"/>
      <c r="I20" s="1052"/>
      <c r="J20" s="1052"/>
      <c r="K20" s="1052"/>
      <c r="L20" s="1052"/>
      <c r="M20" s="1052"/>
      <c r="N20" s="1052"/>
      <c r="O20" s="1052"/>
      <c r="P20" s="1052"/>
      <c r="Q20" s="1052"/>
      <c r="R20" s="1052"/>
      <c r="S20" s="1052"/>
      <c r="T20" s="1052"/>
      <c r="U20" s="1052"/>
      <c r="V20" s="1052"/>
      <c r="W20" s="1052"/>
      <c r="X20" s="1052"/>
      <c r="Y20" s="1052"/>
      <c r="Z20" s="1052"/>
      <c r="AA20" s="1052"/>
      <c r="AB20" s="1052"/>
      <c r="AC20" s="1052"/>
      <c r="AD20" s="1052"/>
      <c r="AE20" s="1052"/>
      <c r="AF20" s="1052"/>
      <c r="AG20" s="1052"/>
      <c r="AH20" s="1052"/>
      <c r="AI20" s="1052"/>
      <c r="AJ20" s="1052"/>
      <c r="AK20" s="1053"/>
      <c r="AL20" s="1053"/>
      <c r="AM20" s="1052"/>
      <c r="AN20" s="1052"/>
      <c r="AO20" s="1052"/>
      <c r="AP20" s="1052"/>
      <c r="AQ20" s="1052"/>
      <c r="AR20" s="1052"/>
      <c r="AS20" s="1052"/>
      <c r="AT20" s="1052"/>
      <c r="AU20" s="1052"/>
      <c r="AV20" s="1052"/>
      <c r="AW20" s="1052"/>
      <c r="AX20" s="1052"/>
      <c r="AY20" s="1052"/>
      <c r="AZ20" s="1052"/>
      <c r="BA20" s="1052"/>
      <c r="BB20" s="1052"/>
      <c r="BC20" s="1052"/>
      <c r="BD20" s="1052"/>
      <c r="BE20" s="1052"/>
      <c r="BF20" s="1052"/>
      <c r="BG20" s="1052"/>
      <c r="BH20" s="1052"/>
      <c r="BI20" s="1052"/>
      <c r="BJ20" s="923"/>
      <c r="BK20" s="923"/>
      <c r="BL20" s="925"/>
      <c r="BM20" s="925"/>
      <c r="BN20" s="923"/>
      <c r="BO20" s="923"/>
      <c r="BP20" s="923"/>
      <c r="BQ20" s="923"/>
      <c r="BR20" s="923"/>
      <c r="BS20" s="923"/>
      <c r="BT20" s="923"/>
      <c r="BU20" s="923"/>
      <c r="BV20" s="923"/>
      <c r="BW20" s="923"/>
      <c r="BX20" s="923"/>
      <c r="BY20" s="923"/>
      <c r="BZ20" s="923"/>
      <c r="CA20" s="923"/>
      <c r="CB20" s="923"/>
      <c r="CC20" s="923"/>
      <c r="CD20" s="923"/>
      <c r="CE20" s="923"/>
      <c r="CF20" s="923"/>
      <c r="CG20" s="923"/>
      <c r="CH20" s="923"/>
      <c r="CI20" s="923"/>
      <c r="CJ20" s="923"/>
      <c r="CK20" s="923"/>
      <c r="CL20" s="923"/>
      <c r="CM20" s="923"/>
      <c r="CN20" s="923"/>
      <c r="CO20" s="923"/>
      <c r="CP20" s="923"/>
      <c r="CQ20" s="923"/>
      <c r="CR20" s="923"/>
      <c r="CS20" s="923"/>
      <c r="CT20" s="923"/>
      <c r="CU20" s="923"/>
      <c r="CV20" s="923"/>
      <c r="CW20" s="923"/>
      <c r="CX20" s="923"/>
      <c r="CY20" s="923"/>
      <c r="CZ20" s="923"/>
      <c r="DA20" s="923"/>
      <c r="DB20" s="923"/>
      <c r="DC20" s="923"/>
      <c r="DD20" s="923"/>
      <c r="DE20" s="923"/>
      <c r="DF20" s="923"/>
      <c r="DG20" s="923"/>
      <c r="DH20" s="923"/>
      <c r="DI20" s="923"/>
      <c r="DJ20" s="923"/>
      <c r="DK20" s="923"/>
      <c r="DL20" s="923"/>
      <c r="DM20" s="923"/>
      <c r="DN20" s="923"/>
      <c r="DO20" s="923"/>
      <c r="DP20" s="923"/>
    </row>
    <row r="21" ht="21.0" customHeight="1">
      <c r="A21" s="1054" t="s">
        <v>1133</v>
      </c>
      <c r="B21" s="1055" t="s">
        <v>31</v>
      </c>
      <c r="C21" s="1056" t="s">
        <v>1134</v>
      </c>
      <c r="D21" s="112"/>
      <c r="E21" s="112"/>
      <c r="F21" s="112"/>
      <c r="G21" s="112"/>
      <c r="H21" s="112"/>
      <c r="I21" s="112"/>
      <c r="J21" s="112"/>
      <c r="K21" s="112"/>
      <c r="L21" s="112"/>
      <c r="M21" s="112"/>
      <c r="N21" s="112"/>
      <c r="O21" s="112"/>
      <c r="P21" s="112"/>
      <c r="Q21" s="112"/>
      <c r="R21" s="112"/>
      <c r="S21" s="112"/>
      <c r="T21" s="112"/>
      <c r="U21" s="112"/>
      <c r="V21" s="112"/>
      <c r="W21" s="112"/>
      <c r="X21" s="112"/>
      <c r="Y21" s="112"/>
      <c r="Z21" s="112"/>
      <c r="AA21" s="112"/>
      <c r="AB21" s="112"/>
      <c r="AC21" s="112"/>
      <c r="AD21" s="112"/>
      <c r="AE21" s="112"/>
      <c r="AF21" s="112"/>
      <c r="AG21" s="112"/>
      <c r="AH21" s="112"/>
      <c r="AI21" s="112"/>
      <c r="AJ21" s="112"/>
      <c r="AK21" s="112"/>
      <c r="AL21" s="112"/>
      <c r="AM21" s="112"/>
      <c r="AN21" s="112"/>
      <c r="AO21" s="112"/>
      <c r="AP21" s="112"/>
      <c r="AQ21" s="112"/>
      <c r="AR21" s="112"/>
      <c r="AS21" s="112"/>
      <c r="AT21" s="112"/>
      <c r="AU21" s="112"/>
      <c r="AV21" s="112"/>
      <c r="AW21" s="112"/>
      <c r="AX21" s="112"/>
      <c r="AY21" s="112"/>
      <c r="AZ21" s="112"/>
      <c r="BA21" s="112"/>
      <c r="BB21" s="112"/>
      <c r="BC21" s="112"/>
      <c r="BD21" s="112"/>
      <c r="BE21" s="112"/>
      <c r="BF21" s="112"/>
      <c r="BG21" s="112"/>
      <c r="BH21" s="112"/>
      <c r="BI21" s="112"/>
      <c r="BJ21" s="112"/>
      <c r="BK21" s="112"/>
      <c r="BL21" s="937" t="s">
        <v>1037</v>
      </c>
      <c r="BM21" s="112"/>
      <c r="BN21" s="963"/>
      <c r="BO21" s="1007" t="s">
        <v>203</v>
      </c>
      <c r="DN21" s="965"/>
      <c r="DO21" s="965"/>
      <c r="DP21" s="965"/>
    </row>
    <row r="22" ht="21.0" customHeight="1">
      <c r="A22" s="644"/>
      <c r="B22" s="1057" t="s">
        <v>24</v>
      </c>
      <c r="BN22" s="54"/>
      <c r="BO22" s="965"/>
      <c r="BP22" s="965"/>
      <c r="BQ22" s="965"/>
      <c r="BR22" s="965"/>
      <c r="BS22" s="965"/>
      <c r="BT22" s="965"/>
      <c r="BU22" s="1058"/>
      <c r="BV22" s="965"/>
      <c r="BW22" s="965"/>
      <c r="BX22" s="965"/>
      <c r="BY22" s="965"/>
      <c r="BZ22" s="965"/>
      <c r="CA22" s="965"/>
      <c r="CB22" s="965"/>
      <c r="CC22" s="965"/>
      <c r="CD22" s="965"/>
      <c r="CE22" s="965"/>
      <c r="CF22" s="965"/>
      <c r="CG22" s="965"/>
      <c r="CH22" s="965"/>
      <c r="CI22" s="965"/>
      <c r="CJ22" s="965"/>
      <c r="CK22" s="965"/>
      <c r="CL22" s="1003" t="s">
        <v>25</v>
      </c>
      <c r="DN22" s="965"/>
      <c r="DO22" s="965"/>
      <c r="DP22" s="965"/>
    </row>
    <row r="23" ht="21.0" customHeight="1">
      <c r="A23" s="644"/>
      <c r="B23" s="1059" t="s">
        <v>36</v>
      </c>
      <c r="BN23" s="54"/>
      <c r="BO23" s="965"/>
      <c r="BP23" s="965"/>
      <c r="BQ23" s="965"/>
      <c r="BR23" s="965"/>
      <c r="BS23" s="965"/>
      <c r="BT23" s="965"/>
      <c r="BU23" s="1058"/>
      <c r="BV23" s="965"/>
      <c r="BW23" s="965"/>
      <c r="BX23" s="965"/>
      <c r="BY23" s="965"/>
      <c r="BZ23" s="965"/>
      <c r="CA23" s="965"/>
      <c r="CB23" s="965"/>
      <c r="CC23" s="965"/>
      <c r="CD23" s="965"/>
      <c r="CE23" s="965"/>
      <c r="CF23" s="965"/>
      <c r="CG23" s="965"/>
      <c r="CH23" s="965"/>
      <c r="CI23" s="965"/>
      <c r="CJ23" s="965"/>
      <c r="CK23" s="965"/>
      <c r="CL23" s="965"/>
      <c r="CM23" s="965"/>
      <c r="CN23" s="965"/>
      <c r="CO23" s="1000" t="s">
        <v>157</v>
      </c>
      <c r="CZ23" s="1001" t="s">
        <v>37</v>
      </c>
      <c r="DN23" s="965"/>
      <c r="DO23" s="965"/>
      <c r="DP23" s="965"/>
    </row>
    <row r="24" ht="21.0" customHeight="1">
      <c r="A24" s="644"/>
      <c r="B24" s="1060" t="s">
        <v>49</v>
      </c>
      <c r="BN24" s="54"/>
      <c r="BO24" s="965"/>
      <c r="BP24" s="965"/>
      <c r="BQ24" s="965"/>
      <c r="BR24" s="965"/>
      <c r="BS24" s="965"/>
      <c r="BT24" s="965"/>
      <c r="BU24" s="1058"/>
      <c r="BV24" s="965"/>
      <c r="BW24" s="965"/>
      <c r="BX24" s="965"/>
      <c r="BY24" s="965"/>
      <c r="BZ24" s="965"/>
      <c r="CA24" s="965"/>
      <c r="CB24" s="965"/>
      <c r="CC24" s="965"/>
      <c r="CD24" s="965"/>
      <c r="CE24" s="965"/>
      <c r="CF24" s="965"/>
      <c r="CG24" s="965"/>
      <c r="CH24" s="965"/>
      <c r="CI24" s="965"/>
      <c r="CJ24" s="965"/>
      <c r="CK24" s="965"/>
      <c r="CL24" s="965"/>
      <c r="CM24" s="965"/>
      <c r="CN24" s="965"/>
      <c r="CO24" s="1047" t="s">
        <v>200</v>
      </c>
      <c r="DN24" s="965"/>
      <c r="DO24" s="965"/>
      <c r="DP24" s="965"/>
    </row>
    <row r="25" ht="21.0" customHeight="1">
      <c r="A25" s="644"/>
      <c r="B25" s="1061" t="s">
        <v>15</v>
      </c>
      <c r="BN25" s="54"/>
      <c r="BO25" s="965"/>
      <c r="BP25" s="965"/>
      <c r="BQ25" s="965"/>
      <c r="BR25" s="965"/>
      <c r="BS25" s="965"/>
      <c r="BT25" s="965"/>
      <c r="BU25" s="1058"/>
      <c r="BV25" s="965"/>
      <c r="BW25" s="965"/>
      <c r="BX25" s="965"/>
      <c r="BY25" s="965"/>
      <c r="BZ25" s="965"/>
      <c r="CA25" s="965"/>
      <c r="CB25" s="965"/>
      <c r="CC25" s="965"/>
      <c r="CD25" s="965"/>
      <c r="CE25" s="965"/>
      <c r="CF25" s="965"/>
      <c r="CG25" s="965"/>
      <c r="CH25" s="965"/>
      <c r="CI25" s="965"/>
      <c r="CJ25" s="965"/>
      <c r="CK25" s="965"/>
      <c r="CL25" s="965"/>
      <c r="CM25" s="965"/>
      <c r="CN25" s="965"/>
      <c r="CO25" s="965"/>
      <c r="CP25" s="965"/>
      <c r="CQ25" s="965"/>
      <c r="CR25" s="965"/>
      <c r="CS25" s="965"/>
      <c r="CT25" s="965"/>
      <c r="CU25" s="965"/>
      <c r="CV25" s="965"/>
      <c r="CW25" s="965"/>
      <c r="CX25" s="965"/>
      <c r="CY25" s="965"/>
      <c r="CZ25" s="965"/>
      <c r="DA25" s="965"/>
      <c r="DB25" s="965"/>
      <c r="DC25" s="965"/>
      <c r="DD25" s="965"/>
      <c r="DE25" s="987" t="s">
        <v>16</v>
      </c>
      <c r="DN25" s="965"/>
      <c r="DO25" s="965"/>
      <c r="DP25" s="965"/>
    </row>
    <row r="26" ht="21.0" customHeight="1">
      <c r="A26" s="1062"/>
      <c r="B26" s="1063" t="s">
        <v>43</v>
      </c>
      <c r="BN26" s="54"/>
      <c r="BO26" s="965"/>
      <c r="BP26" s="965"/>
      <c r="BQ26" s="965"/>
      <c r="BR26" s="965"/>
      <c r="BS26" s="965"/>
      <c r="BT26" s="965"/>
      <c r="BU26" s="1058"/>
      <c r="BV26" s="965"/>
      <c r="BW26" s="965"/>
      <c r="BX26" s="965"/>
      <c r="BY26" s="965"/>
      <c r="BZ26" s="965"/>
      <c r="CA26" s="965"/>
      <c r="CB26" s="965"/>
      <c r="CC26" s="965"/>
      <c r="CD26" s="965"/>
      <c r="CE26" s="965"/>
      <c r="CF26" s="965"/>
      <c r="CG26" s="965"/>
      <c r="CH26" s="965"/>
      <c r="CI26" s="965"/>
      <c r="CJ26" s="965"/>
      <c r="CK26" s="965"/>
      <c r="CL26" s="965"/>
      <c r="CM26" s="965"/>
      <c r="CN26" s="965"/>
      <c r="CO26" s="965"/>
      <c r="CP26" s="965"/>
      <c r="CQ26" s="965"/>
      <c r="CR26" s="965"/>
      <c r="CS26" s="965"/>
      <c r="CT26" s="965"/>
      <c r="CU26" s="965"/>
      <c r="CV26" s="965"/>
      <c r="CW26" s="965"/>
      <c r="CX26" s="965"/>
      <c r="CY26" s="965"/>
      <c r="CZ26" s="965"/>
      <c r="DA26" s="965"/>
      <c r="DB26" s="965"/>
      <c r="DC26" s="965"/>
      <c r="DD26" s="965"/>
      <c r="DE26" s="965"/>
      <c r="DF26" s="965"/>
      <c r="DG26" s="965"/>
      <c r="DH26" s="965"/>
      <c r="DI26" s="965"/>
      <c r="DJ26" s="1064"/>
      <c r="DK26" s="1034" t="s">
        <v>523</v>
      </c>
      <c r="DN26" s="965"/>
      <c r="DO26" s="965"/>
      <c r="DP26" s="965"/>
    </row>
    <row r="27" ht="11.25" customHeight="1">
      <c r="A27" s="925"/>
      <c r="B27" s="924"/>
      <c r="C27" s="923"/>
      <c r="D27" s="923"/>
      <c r="E27" s="923"/>
      <c r="F27" s="923"/>
      <c r="G27" s="923"/>
      <c r="H27" s="923"/>
      <c r="I27" s="923"/>
      <c r="J27" s="923"/>
      <c r="K27" s="923"/>
      <c r="L27" s="923"/>
      <c r="M27" s="923"/>
      <c r="N27" s="923"/>
      <c r="O27" s="923"/>
      <c r="P27" s="923"/>
      <c r="Q27" s="923"/>
      <c r="R27" s="923"/>
      <c r="S27" s="923"/>
      <c r="T27" s="923"/>
      <c r="U27" s="923"/>
      <c r="V27" s="923"/>
      <c r="W27" s="923"/>
      <c r="X27" s="923"/>
      <c r="Y27" s="923"/>
      <c r="Z27" s="923"/>
      <c r="AA27" s="923"/>
      <c r="AB27" s="923"/>
      <c r="AC27" s="923"/>
      <c r="AD27" s="923"/>
      <c r="AE27" s="923"/>
      <c r="AF27" s="923"/>
      <c r="AG27" s="923"/>
      <c r="AH27" s="923"/>
      <c r="AI27" s="923"/>
      <c r="AJ27" s="923"/>
      <c r="AK27" s="923"/>
      <c r="AL27" s="923"/>
      <c r="AM27" s="923"/>
      <c r="AN27" s="923"/>
      <c r="AO27" s="923"/>
      <c r="AP27" s="923"/>
      <c r="AQ27" s="923"/>
      <c r="AR27" s="923"/>
      <c r="AS27" s="923"/>
      <c r="AT27" s="923"/>
      <c r="AU27" s="923"/>
      <c r="AV27" s="923"/>
      <c r="AW27" s="923"/>
      <c r="AX27" s="923"/>
      <c r="AY27" s="923"/>
      <c r="AZ27" s="923"/>
      <c r="BA27" s="923"/>
      <c r="BB27" s="923"/>
      <c r="BC27" s="923"/>
      <c r="BD27" s="923"/>
      <c r="BE27" s="923"/>
      <c r="BF27" s="923"/>
      <c r="BG27" s="923"/>
      <c r="BH27" s="923"/>
      <c r="BI27" s="923"/>
      <c r="BJ27" s="923"/>
      <c r="BK27" s="923"/>
      <c r="BL27" s="923"/>
      <c r="BM27" s="923"/>
      <c r="BN27" s="923"/>
      <c r="BO27" s="923"/>
      <c r="BP27" s="923"/>
      <c r="BQ27" s="923"/>
      <c r="BR27" s="923"/>
      <c r="BS27" s="923"/>
      <c r="BT27" s="923"/>
      <c r="BU27" s="923"/>
      <c r="BV27" s="923"/>
      <c r="BW27" s="923"/>
      <c r="BX27" s="923"/>
      <c r="BY27" s="923"/>
      <c r="BZ27" s="923"/>
      <c r="CA27" s="923"/>
      <c r="CB27" s="923"/>
      <c r="CC27" s="923"/>
      <c r="CD27" s="923"/>
      <c r="CE27" s="923"/>
      <c r="CF27" s="923"/>
      <c r="CG27" s="923"/>
      <c r="CH27" s="923"/>
      <c r="CI27" s="923"/>
      <c r="CJ27" s="923"/>
      <c r="CK27" s="923"/>
      <c r="CL27" s="923"/>
      <c r="CM27" s="923"/>
      <c r="CN27" s="923"/>
      <c r="CO27" s="923"/>
      <c r="CP27" s="923"/>
      <c r="CQ27" s="923"/>
      <c r="CR27" s="923"/>
      <c r="CS27" s="923"/>
      <c r="CT27" s="923"/>
      <c r="CU27" s="923"/>
      <c r="CV27" s="923"/>
      <c r="CW27" s="923"/>
      <c r="CX27" s="923"/>
      <c r="CY27" s="923"/>
      <c r="CZ27" s="923"/>
      <c r="DA27" s="923"/>
      <c r="DB27" s="923"/>
      <c r="DC27" s="923"/>
      <c r="DD27" s="923"/>
      <c r="DE27" s="923"/>
      <c r="DF27" s="923"/>
      <c r="DG27" s="923"/>
      <c r="DH27" s="923"/>
      <c r="DI27" s="923"/>
      <c r="DJ27" s="923"/>
      <c r="DK27" s="923"/>
      <c r="DL27" s="923"/>
      <c r="DM27" s="923"/>
      <c r="DN27" s="923"/>
      <c r="DO27" s="923"/>
      <c r="DP27" s="923"/>
    </row>
    <row r="28" ht="21.0" customHeight="1">
      <c r="A28" s="1065" t="s">
        <v>1135</v>
      </c>
      <c r="B28" s="1066" t="s">
        <v>55</v>
      </c>
      <c r="C28" s="1067" t="s">
        <v>1136</v>
      </c>
      <c r="D28" s="112"/>
      <c r="E28" s="112"/>
      <c r="F28" s="112"/>
      <c r="G28" s="112"/>
      <c r="H28" s="112"/>
      <c r="I28" s="112"/>
      <c r="J28" s="112"/>
      <c r="K28" s="112"/>
      <c r="L28" s="112"/>
      <c r="M28" s="112"/>
      <c r="N28" s="112"/>
      <c r="O28" s="112"/>
      <c r="P28" s="112"/>
      <c r="Q28" s="112"/>
      <c r="R28" s="112"/>
      <c r="S28" s="112"/>
      <c r="T28" s="112"/>
      <c r="U28" s="112"/>
      <c r="V28" s="112"/>
      <c r="W28" s="112"/>
      <c r="X28" s="112"/>
      <c r="Y28" s="112"/>
      <c r="Z28" s="112"/>
      <c r="AA28" s="112"/>
      <c r="AB28" s="112"/>
      <c r="AC28" s="112"/>
      <c r="AD28" s="112"/>
      <c r="AE28" s="112"/>
      <c r="AF28" s="112"/>
      <c r="AG28" s="112"/>
      <c r="AH28" s="112"/>
      <c r="AI28" s="112"/>
      <c r="AJ28" s="112"/>
      <c r="AK28" s="112"/>
      <c r="AL28" s="112"/>
      <c r="AM28" s="112"/>
      <c r="AN28" s="112"/>
      <c r="AO28" s="112"/>
      <c r="AP28" s="112"/>
      <c r="AQ28" s="112"/>
      <c r="AR28" s="112"/>
      <c r="AS28" s="112"/>
      <c r="AT28" s="112"/>
      <c r="AU28" s="112"/>
      <c r="AV28" s="112"/>
      <c r="AW28" s="112"/>
      <c r="AX28" s="112"/>
      <c r="AY28" s="112"/>
      <c r="AZ28" s="112"/>
      <c r="BA28" s="112"/>
      <c r="BB28" s="112"/>
      <c r="BC28" s="112"/>
      <c r="BD28" s="112"/>
      <c r="BE28" s="112"/>
      <c r="BF28" s="112"/>
      <c r="BG28" s="112"/>
      <c r="BH28" s="112"/>
      <c r="BI28" s="112"/>
      <c r="BJ28" s="112"/>
      <c r="BK28" s="112"/>
      <c r="BL28" s="937" t="s">
        <v>1037</v>
      </c>
      <c r="BM28" s="112"/>
      <c r="BN28" s="920"/>
      <c r="BO28" s="965"/>
      <c r="BP28" s="965"/>
      <c r="BQ28" s="965"/>
      <c r="BR28" s="965"/>
      <c r="BS28" s="965"/>
      <c r="BT28" s="965"/>
      <c r="BU28" s="965"/>
      <c r="BV28" s="965"/>
      <c r="BW28" s="965"/>
      <c r="BX28" s="965"/>
      <c r="BY28" s="965"/>
      <c r="BZ28" s="965"/>
      <c r="CA28" s="965"/>
      <c r="CB28" s="965"/>
      <c r="CC28" s="965"/>
      <c r="CD28" s="965"/>
      <c r="CE28" s="965"/>
      <c r="CF28" s="965"/>
      <c r="CG28" s="965"/>
      <c r="CH28" s="965"/>
      <c r="CI28" s="965"/>
      <c r="CJ28" s="965"/>
      <c r="CK28" s="965"/>
      <c r="CL28" s="965"/>
      <c r="CM28" s="965"/>
      <c r="CN28" s="965"/>
      <c r="CO28" s="965"/>
      <c r="CP28" s="965"/>
      <c r="CQ28" s="965"/>
      <c r="CR28" s="965"/>
      <c r="CS28" s="965"/>
      <c r="CT28" s="965"/>
      <c r="CU28" s="965"/>
      <c r="CV28" s="965"/>
      <c r="CW28" s="965"/>
      <c r="CX28" s="965"/>
      <c r="CY28" s="965"/>
      <c r="CZ28" s="965"/>
      <c r="DA28" s="965"/>
      <c r="DB28" s="965"/>
      <c r="DC28" s="965"/>
      <c r="DD28" s="965"/>
      <c r="DE28" s="965"/>
      <c r="DF28" s="965"/>
      <c r="DG28" s="965"/>
      <c r="DH28" s="965"/>
      <c r="DI28" s="965"/>
      <c r="DJ28" s="1068"/>
      <c r="DK28" s="1069"/>
      <c r="DL28" s="1070" t="s">
        <v>523</v>
      </c>
      <c r="DN28" s="965"/>
      <c r="DO28" s="965"/>
      <c r="DP28" s="965"/>
    </row>
    <row r="29" ht="11.25" customHeight="1">
      <c r="A29" s="925"/>
      <c r="B29" s="924"/>
      <c r="C29" s="923"/>
      <c r="D29" s="923"/>
      <c r="E29" s="923"/>
      <c r="F29" s="923"/>
      <c r="G29" s="923"/>
      <c r="H29" s="923"/>
      <c r="I29" s="923"/>
      <c r="J29" s="923"/>
      <c r="K29" s="923"/>
      <c r="L29" s="923"/>
      <c r="M29" s="923"/>
      <c r="N29" s="923"/>
      <c r="O29" s="923"/>
      <c r="P29" s="923"/>
      <c r="Q29" s="923"/>
      <c r="R29" s="923"/>
      <c r="S29" s="923"/>
      <c r="T29" s="923"/>
      <c r="U29" s="923"/>
      <c r="V29" s="923"/>
      <c r="W29" s="923"/>
      <c r="X29" s="923"/>
      <c r="Y29" s="923"/>
      <c r="Z29" s="923"/>
      <c r="AA29" s="923"/>
      <c r="AB29" s="923"/>
      <c r="AC29" s="923"/>
      <c r="AD29" s="923"/>
      <c r="AE29" s="923"/>
      <c r="AF29" s="923"/>
      <c r="AG29" s="923"/>
      <c r="AH29" s="923"/>
      <c r="AI29" s="923"/>
      <c r="AJ29" s="923"/>
      <c r="AK29" s="923"/>
      <c r="AL29" s="923"/>
      <c r="AM29" s="923"/>
      <c r="AN29" s="923"/>
      <c r="AO29" s="923"/>
      <c r="AP29" s="923"/>
      <c r="AQ29" s="923"/>
      <c r="AR29" s="923"/>
      <c r="AS29" s="923"/>
      <c r="AT29" s="923"/>
      <c r="AU29" s="923"/>
      <c r="AV29" s="923"/>
      <c r="AW29" s="923"/>
      <c r="AX29" s="923"/>
      <c r="AY29" s="923"/>
      <c r="AZ29" s="923"/>
      <c r="BA29" s="923"/>
      <c r="BB29" s="923"/>
      <c r="BC29" s="923"/>
      <c r="BD29" s="923"/>
      <c r="BE29" s="923"/>
      <c r="BF29" s="923"/>
      <c r="BG29" s="923"/>
      <c r="BH29" s="923"/>
      <c r="BI29" s="923"/>
      <c r="BJ29" s="923"/>
      <c r="BK29" s="923"/>
      <c r="BL29" s="923"/>
      <c r="BM29" s="923"/>
      <c r="BN29" s="923"/>
      <c r="BO29" s="923"/>
      <c r="BP29" s="923"/>
      <c r="BQ29" s="923"/>
      <c r="BR29" s="923"/>
      <c r="BS29" s="923"/>
      <c r="BT29" s="923"/>
      <c r="BU29" s="923"/>
      <c r="BV29" s="923"/>
      <c r="BW29" s="923"/>
      <c r="BX29" s="923"/>
      <c r="BY29" s="923"/>
      <c r="BZ29" s="923"/>
      <c r="CA29" s="923"/>
      <c r="CB29" s="923"/>
      <c r="CC29" s="923"/>
      <c r="CD29" s="923"/>
      <c r="CE29" s="923"/>
      <c r="CF29" s="923"/>
      <c r="CG29" s="923"/>
      <c r="CH29" s="923"/>
      <c r="CI29" s="923"/>
      <c r="CJ29" s="923"/>
      <c r="CK29" s="923"/>
      <c r="CL29" s="923"/>
      <c r="CM29" s="923"/>
      <c r="CN29" s="923"/>
      <c r="CO29" s="923"/>
      <c r="CP29" s="923"/>
      <c r="CQ29" s="923"/>
      <c r="CR29" s="923"/>
      <c r="CS29" s="923"/>
      <c r="CT29" s="923"/>
      <c r="CU29" s="923"/>
      <c r="CV29" s="923"/>
      <c r="CW29" s="923"/>
      <c r="CX29" s="923"/>
      <c r="CY29" s="923"/>
      <c r="CZ29" s="923"/>
      <c r="DA29" s="923"/>
      <c r="DB29" s="923"/>
      <c r="DC29" s="923"/>
      <c r="DD29" s="923"/>
      <c r="DE29" s="923"/>
      <c r="DF29" s="923"/>
      <c r="DG29" s="923"/>
      <c r="DH29" s="923"/>
      <c r="DI29" s="923"/>
      <c r="DJ29" s="923"/>
      <c r="DK29" s="923"/>
      <c r="DL29" s="923"/>
      <c r="DM29" s="923"/>
      <c r="DN29" s="923"/>
      <c r="DO29" s="923"/>
      <c r="DP29" s="923"/>
    </row>
    <row r="30" ht="21.0" customHeight="1">
      <c r="A30" s="1054" t="s">
        <v>1137</v>
      </c>
      <c r="B30" s="1071" t="s">
        <v>1138</v>
      </c>
      <c r="C30" s="1072" t="s">
        <v>1139</v>
      </c>
      <c r="F30" s="1073" t="s">
        <v>1140</v>
      </c>
      <c r="G30" s="1073"/>
      <c r="H30" s="1073"/>
      <c r="I30" s="965"/>
      <c r="J30" s="965"/>
      <c r="K30" s="965"/>
      <c r="L30" s="965"/>
      <c r="M30" s="965"/>
      <c r="N30" s="965"/>
      <c r="O30" s="965"/>
      <c r="P30" s="965"/>
      <c r="Q30" s="965"/>
      <c r="R30" s="965"/>
      <c r="S30" s="965"/>
      <c r="T30" s="965"/>
      <c r="U30" s="965"/>
      <c r="V30" s="965"/>
      <c r="W30" s="965"/>
      <c r="X30" s="965"/>
      <c r="Y30" s="965"/>
      <c r="Z30" s="965"/>
      <c r="AA30" s="965"/>
      <c r="AB30" s="965"/>
      <c r="AC30" s="965"/>
      <c r="AD30" s="965"/>
      <c r="AE30" s="965"/>
      <c r="AF30" s="965"/>
      <c r="AG30" s="965"/>
      <c r="AH30" s="965"/>
      <c r="AI30" s="965"/>
      <c r="AJ30" s="965"/>
      <c r="AK30" s="965"/>
      <c r="AL30" s="965"/>
      <c r="AM30" s="965"/>
      <c r="AN30" s="965"/>
      <c r="AO30" s="965"/>
      <c r="AP30" s="965"/>
      <c r="AQ30" s="965"/>
      <c r="AR30" s="965"/>
      <c r="AS30" s="965"/>
      <c r="AT30" s="965"/>
      <c r="AU30" s="965"/>
      <c r="AV30" s="965"/>
      <c r="AW30" s="965"/>
      <c r="AX30" s="965"/>
      <c r="AY30" s="965"/>
      <c r="AZ30" s="965"/>
      <c r="BA30" s="965"/>
      <c r="BB30" s="965"/>
      <c r="BC30" s="965"/>
      <c r="BD30" s="965"/>
      <c r="BE30" s="965"/>
      <c r="BF30" s="965"/>
      <c r="BG30" s="965"/>
      <c r="BH30" s="965"/>
      <c r="BI30" s="965"/>
      <c r="BJ30" s="965"/>
      <c r="BK30" s="965"/>
      <c r="BL30" s="965"/>
      <c r="BM30" s="965"/>
      <c r="BN30" s="965"/>
      <c r="BO30" s="965"/>
      <c r="BP30" s="965"/>
      <c r="BQ30" s="965"/>
      <c r="BR30" s="965"/>
      <c r="BS30" s="965"/>
      <c r="BT30" s="965"/>
      <c r="BU30" s="965"/>
      <c r="BV30" s="965"/>
      <c r="BW30" s="965"/>
      <c r="BX30" s="965"/>
      <c r="BY30" s="965"/>
      <c r="BZ30" s="965"/>
      <c r="CA30" s="965"/>
      <c r="CB30" s="965"/>
      <c r="CC30" s="965"/>
      <c r="CD30" s="965"/>
      <c r="CE30" s="965"/>
      <c r="CF30" s="965"/>
      <c r="CG30" s="965"/>
      <c r="CH30" s="965"/>
      <c r="CI30" s="965"/>
      <c r="CJ30" s="965"/>
      <c r="CK30" s="965"/>
      <c r="CL30" s="965"/>
      <c r="CM30" s="965"/>
      <c r="CN30" s="965"/>
      <c r="CO30" s="965"/>
      <c r="CP30" s="965"/>
      <c r="CQ30" s="965"/>
      <c r="CR30" s="965"/>
      <c r="CS30" s="965"/>
      <c r="CT30" s="965"/>
      <c r="CU30" s="965"/>
      <c r="CV30" s="965"/>
      <c r="CW30" s="965"/>
      <c r="CX30" s="965"/>
      <c r="CY30" s="965"/>
      <c r="CZ30" s="965"/>
      <c r="DA30" s="965"/>
      <c r="DB30" s="965"/>
      <c r="DC30" s="965"/>
      <c r="DD30" s="965"/>
      <c r="DE30" s="965"/>
      <c r="DF30" s="965"/>
      <c r="DG30" s="965"/>
      <c r="DH30" s="965"/>
      <c r="DI30" s="965"/>
      <c r="DJ30" s="965"/>
      <c r="DK30" s="965"/>
      <c r="DL30" s="965"/>
      <c r="DM30" s="965"/>
      <c r="DN30" s="965"/>
      <c r="DO30" s="965"/>
      <c r="DP30" s="965"/>
    </row>
    <row r="31" ht="21.0" customHeight="1">
      <c r="A31" s="644"/>
      <c r="B31" s="1074" t="s">
        <v>31</v>
      </c>
      <c r="C31" s="990" t="s">
        <v>1114</v>
      </c>
      <c r="H31" s="1075" t="s">
        <v>1109</v>
      </c>
      <c r="I31" s="1073" t="s">
        <v>1141</v>
      </c>
      <c r="L31" s="965"/>
      <c r="M31" s="965"/>
      <c r="N31" s="965"/>
      <c r="O31" s="965"/>
      <c r="P31" s="965"/>
      <c r="Q31" s="965"/>
      <c r="R31" s="965"/>
      <c r="S31" s="965"/>
      <c r="T31" s="965"/>
      <c r="U31" s="965"/>
      <c r="V31" s="965"/>
      <c r="W31" s="965"/>
      <c r="X31" s="965"/>
      <c r="Y31" s="965"/>
      <c r="Z31" s="965"/>
      <c r="AA31" s="965"/>
      <c r="AB31" s="965"/>
      <c r="AC31" s="965"/>
      <c r="AD31" s="965"/>
      <c r="AE31" s="965"/>
      <c r="AF31" s="965"/>
      <c r="AG31" s="965"/>
      <c r="AH31" s="965"/>
      <c r="AI31" s="965"/>
      <c r="AJ31" s="965"/>
      <c r="AK31" s="965"/>
      <c r="AL31" s="965"/>
      <c r="AM31" s="965"/>
      <c r="AN31" s="965"/>
      <c r="AO31" s="965"/>
      <c r="AP31" s="965"/>
      <c r="AQ31" s="965"/>
      <c r="AR31" s="965"/>
      <c r="AS31" s="965"/>
      <c r="AT31" s="965"/>
      <c r="AU31" s="965"/>
      <c r="AV31" s="965"/>
      <c r="AW31" s="965"/>
      <c r="AX31" s="965"/>
      <c r="AY31" s="965"/>
      <c r="AZ31" s="965"/>
      <c r="BA31" s="965"/>
      <c r="BB31" s="965"/>
      <c r="BC31" s="965"/>
      <c r="BD31" s="965"/>
      <c r="BE31" s="965"/>
      <c r="BF31" s="965"/>
      <c r="BG31" s="965"/>
      <c r="BH31" s="965"/>
      <c r="BI31" s="965"/>
      <c r="BJ31" s="965"/>
      <c r="BK31" s="965"/>
      <c r="BL31" s="965"/>
      <c r="BM31" s="965"/>
      <c r="BN31" s="965"/>
      <c r="BO31" s="965"/>
      <c r="BP31" s="965"/>
      <c r="BQ31" s="965"/>
      <c r="BR31" s="965"/>
      <c r="BS31" s="965"/>
      <c r="BT31" s="965"/>
      <c r="BU31" s="965"/>
      <c r="BV31" s="965"/>
      <c r="BW31" s="965"/>
      <c r="BX31" s="965"/>
      <c r="BY31" s="965"/>
      <c r="BZ31" s="965"/>
      <c r="CA31" s="965"/>
      <c r="CB31" s="965"/>
      <c r="CC31" s="965"/>
      <c r="CD31" s="965"/>
      <c r="CE31" s="965"/>
      <c r="CF31" s="965"/>
      <c r="CG31" s="965"/>
      <c r="CH31" s="965"/>
      <c r="CI31" s="965"/>
      <c r="CJ31" s="965"/>
      <c r="CK31" s="965"/>
      <c r="CL31" s="965"/>
      <c r="CM31" s="965"/>
      <c r="CN31" s="965"/>
      <c r="CO31" s="965"/>
      <c r="CP31" s="965"/>
      <c r="CQ31" s="965"/>
      <c r="CR31" s="965"/>
      <c r="CS31" s="965"/>
      <c r="CT31" s="965"/>
      <c r="CU31" s="965"/>
      <c r="CV31" s="965"/>
      <c r="CW31" s="965"/>
      <c r="CX31" s="965"/>
      <c r="CY31" s="965"/>
      <c r="CZ31" s="965"/>
      <c r="DA31" s="965"/>
      <c r="DB31" s="965"/>
      <c r="DC31" s="965"/>
      <c r="DD31" s="965"/>
      <c r="DE31" s="965"/>
      <c r="DF31" s="965"/>
      <c r="DG31" s="965"/>
      <c r="DH31" s="965"/>
      <c r="DI31" s="965"/>
      <c r="DJ31" s="965"/>
      <c r="DK31" s="965"/>
      <c r="DL31" s="965"/>
      <c r="DM31" s="965"/>
      <c r="DN31" s="965"/>
      <c r="DO31" s="965"/>
      <c r="DP31" s="965"/>
    </row>
    <row r="32" ht="21.0" customHeight="1">
      <c r="A32" s="644"/>
      <c r="B32" s="1076" t="s">
        <v>1142</v>
      </c>
      <c r="C32" s="993" t="s">
        <v>1109</v>
      </c>
      <c r="H32" s="1077"/>
      <c r="L32" s="1078"/>
      <c r="M32" s="1058" t="s">
        <v>1143</v>
      </c>
      <c r="N32" s="993" t="s">
        <v>1109</v>
      </c>
      <c r="P32" s="1079"/>
      <c r="Q32" s="1080" t="s">
        <v>155</v>
      </c>
      <c r="S32" s="1079"/>
      <c r="T32" s="1080" t="s">
        <v>1144</v>
      </c>
      <c r="AA32" s="1079"/>
      <c r="AB32" s="1080" t="s">
        <v>1145</v>
      </c>
      <c r="AI32" s="1079"/>
      <c r="AJ32" s="1080" t="s">
        <v>1114</v>
      </c>
      <c r="AO32" s="1073" t="s">
        <v>1146</v>
      </c>
      <c r="AP32" s="1078"/>
      <c r="AQ32" s="1078"/>
      <c r="AR32" s="1078"/>
      <c r="AS32" s="965"/>
      <c r="AT32" s="965"/>
      <c r="AU32" s="965"/>
      <c r="AV32" s="965"/>
      <c r="AW32" s="965"/>
      <c r="AX32" s="965"/>
      <c r="AY32" s="965"/>
      <c r="AZ32" s="965"/>
      <c r="BA32" s="965"/>
      <c r="BB32" s="965"/>
      <c r="BC32" s="965"/>
      <c r="BD32" s="965"/>
      <c r="BE32" s="965"/>
      <c r="BF32" s="965"/>
      <c r="BG32" s="965"/>
      <c r="BH32" s="965"/>
      <c r="BI32" s="965"/>
      <c r="BJ32" s="965"/>
      <c r="BK32" s="965"/>
      <c r="BL32" s="965"/>
      <c r="BM32" s="965"/>
      <c r="BN32" s="965"/>
      <c r="BO32" s="965"/>
      <c r="BP32" s="965"/>
      <c r="BQ32" s="965"/>
      <c r="BR32" s="965"/>
      <c r="BS32" s="965"/>
      <c r="BT32" s="965"/>
      <c r="BU32" s="965"/>
      <c r="BV32" s="965"/>
      <c r="BW32" s="965"/>
      <c r="BX32" s="965"/>
      <c r="BY32" s="965"/>
      <c r="BZ32" s="965"/>
      <c r="CA32" s="965"/>
      <c r="CB32" s="965"/>
      <c r="CC32" s="965"/>
      <c r="CD32" s="965"/>
      <c r="CE32" s="965"/>
      <c r="CF32" s="965"/>
      <c r="CG32" s="965"/>
      <c r="CH32" s="965"/>
      <c r="CI32" s="965"/>
      <c r="CJ32" s="965"/>
      <c r="CK32" s="965"/>
      <c r="CL32" s="965"/>
      <c r="CM32" s="965"/>
      <c r="CN32" s="965"/>
      <c r="CO32" s="965"/>
      <c r="CP32" s="965"/>
      <c r="CQ32" s="965"/>
      <c r="CR32" s="965"/>
      <c r="CS32" s="965"/>
      <c r="CT32" s="965"/>
      <c r="CU32" s="965"/>
      <c r="CV32" s="965"/>
      <c r="CW32" s="965"/>
      <c r="CX32" s="965"/>
      <c r="CY32" s="965"/>
      <c r="CZ32" s="965"/>
      <c r="DA32" s="965"/>
      <c r="DB32" s="965"/>
      <c r="DC32" s="965"/>
      <c r="DD32" s="965"/>
      <c r="DE32" s="965"/>
      <c r="DF32" s="965"/>
      <c r="DG32" s="965"/>
      <c r="DH32" s="965"/>
      <c r="DI32" s="965"/>
      <c r="DJ32" s="965"/>
      <c r="DK32" s="965"/>
      <c r="DL32" s="965"/>
      <c r="DM32" s="965"/>
      <c r="DN32" s="965"/>
      <c r="DO32" s="965"/>
      <c r="DP32" s="965"/>
    </row>
    <row r="33" ht="21.0" customHeight="1">
      <c r="A33" s="644"/>
      <c r="B33" s="1074" t="s">
        <v>1147</v>
      </c>
      <c r="C33" s="1081"/>
      <c r="D33" s="1081"/>
      <c r="E33" s="1081"/>
      <c r="F33" s="1081"/>
      <c r="G33" s="1081"/>
      <c r="H33" s="1058" t="s">
        <v>1148</v>
      </c>
      <c r="I33" s="990" t="s">
        <v>1114</v>
      </c>
      <c r="N33" s="1073" t="s">
        <v>1149</v>
      </c>
      <c r="O33" s="1078"/>
      <c r="P33" s="965"/>
      <c r="Q33" s="965"/>
      <c r="R33" s="965"/>
      <c r="S33" s="965"/>
      <c r="T33" s="965"/>
      <c r="U33" s="965"/>
      <c r="V33" s="965"/>
      <c r="W33" s="965"/>
      <c r="X33" s="965"/>
      <c r="Y33" s="965"/>
      <c r="Z33" s="965"/>
      <c r="AA33" s="965"/>
      <c r="AB33" s="965"/>
      <c r="AC33" s="965"/>
      <c r="AD33" s="965"/>
      <c r="AE33" s="965"/>
      <c r="AF33" s="965"/>
      <c r="AG33" s="965"/>
      <c r="AH33" s="965"/>
      <c r="AI33" s="965"/>
      <c r="AJ33" s="965"/>
      <c r="AK33" s="965"/>
      <c r="AL33" s="965"/>
      <c r="AM33" s="965"/>
      <c r="AN33" s="965"/>
      <c r="AO33" s="965"/>
      <c r="AP33" s="965"/>
      <c r="AQ33" s="965"/>
      <c r="AR33" s="965"/>
      <c r="AS33" s="965"/>
      <c r="AT33" s="965"/>
      <c r="AU33" s="965"/>
      <c r="AV33" s="965"/>
      <c r="AW33" s="965"/>
      <c r="AX33" s="965"/>
      <c r="AY33" s="965"/>
      <c r="AZ33" s="965"/>
      <c r="BA33" s="965"/>
      <c r="BB33" s="965"/>
      <c r="BC33" s="965"/>
      <c r="BD33" s="965"/>
      <c r="BE33" s="965"/>
      <c r="BF33" s="965"/>
      <c r="BG33" s="965"/>
      <c r="BH33" s="965"/>
      <c r="BI33" s="965"/>
      <c r="BJ33" s="965"/>
      <c r="BK33" s="965"/>
      <c r="BL33" s="965"/>
      <c r="BM33" s="965"/>
      <c r="BN33" s="965"/>
      <c r="BO33" s="965"/>
      <c r="BP33" s="965"/>
      <c r="BQ33" s="965"/>
      <c r="BR33" s="965"/>
      <c r="BS33" s="965"/>
      <c r="BT33" s="965"/>
      <c r="BU33" s="965"/>
      <c r="BV33" s="965"/>
      <c r="BW33" s="965"/>
      <c r="BX33" s="965"/>
      <c r="BY33" s="965"/>
      <c r="BZ33" s="965"/>
      <c r="CA33" s="965"/>
      <c r="CB33" s="965"/>
      <c r="CC33" s="965"/>
      <c r="CD33" s="965"/>
      <c r="CE33" s="965"/>
      <c r="CF33" s="965"/>
      <c r="CG33" s="965"/>
      <c r="CH33" s="965"/>
      <c r="CI33" s="965"/>
      <c r="CJ33" s="965"/>
      <c r="CK33" s="965"/>
      <c r="CL33" s="965"/>
      <c r="CM33" s="965"/>
      <c r="CN33" s="965"/>
      <c r="CO33" s="965"/>
      <c r="CP33" s="965"/>
      <c r="CQ33" s="965"/>
      <c r="CR33" s="965"/>
      <c r="CS33" s="965"/>
      <c r="CT33" s="965"/>
      <c r="CU33" s="965"/>
      <c r="CV33" s="965"/>
      <c r="CW33" s="965"/>
      <c r="CX33" s="965"/>
      <c r="CY33" s="965"/>
      <c r="CZ33" s="965"/>
      <c r="DA33" s="965"/>
      <c r="DB33" s="965"/>
      <c r="DC33" s="965"/>
      <c r="DD33" s="965"/>
      <c r="DE33" s="965"/>
      <c r="DF33" s="965"/>
      <c r="DG33" s="965"/>
      <c r="DH33" s="965"/>
      <c r="DI33" s="965"/>
      <c r="DJ33" s="965"/>
      <c r="DK33" s="965"/>
      <c r="DL33" s="965"/>
      <c r="DM33" s="965"/>
      <c r="DN33" s="965"/>
      <c r="DO33" s="965"/>
      <c r="DP33" s="965"/>
    </row>
    <row r="34" ht="21.0" customHeight="1">
      <c r="A34" s="644"/>
      <c r="B34" s="1082" t="s">
        <v>1150</v>
      </c>
      <c r="C34" s="995" t="s">
        <v>1151</v>
      </c>
      <c r="J34" s="950"/>
      <c r="K34" s="1037" t="s">
        <v>1152</v>
      </c>
      <c r="N34" s="1073" t="s">
        <v>1153</v>
      </c>
      <c r="O34" s="1078"/>
      <c r="P34" s="965"/>
      <c r="Q34" s="965"/>
      <c r="R34" s="965"/>
      <c r="S34" s="965"/>
      <c r="T34" s="965"/>
      <c r="U34" s="965"/>
      <c r="V34" s="965"/>
      <c r="W34" s="965"/>
      <c r="X34" s="965"/>
      <c r="Y34" s="965"/>
      <c r="Z34" s="965"/>
      <c r="AA34" s="965"/>
      <c r="AB34" s="965"/>
      <c r="AC34" s="965"/>
      <c r="AD34" s="965"/>
      <c r="AE34" s="965"/>
      <c r="AF34" s="965"/>
      <c r="AG34" s="965"/>
      <c r="AH34" s="965"/>
      <c r="AI34" s="965"/>
      <c r="AJ34" s="965"/>
      <c r="AK34" s="965"/>
      <c r="AL34" s="965"/>
      <c r="AM34" s="965"/>
      <c r="AN34" s="965"/>
      <c r="AO34" s="965"/>
      <c r="AP34" s="965"/>
      <c r="AQ34" s="965"/>
      <c r="AR34" s="965"/>
      <c r="AS34" s="965"/>
      <c r="AT34" s="965"/>
      <c r="AU34" s="965"/>
      <c r="AV34" s="965"/>
      <c r="AW34" s="965"/>
      <c r="AX34" s="965"/>
      <c r="AY34" s="965"/>
      <c r="AZ34" s="965"/>
      <c r="BA34" s="965"/>
      <c r="BB34" s="965"/>
      <c r="BC34" s="965"/>
      <c r="BD34" s="965"/>
      <c r="BE34" s="965"/>
      <c r="BF34" s="965"/>
      <c r="BG34" s="965"/>
      <c r="BH34" s="965"/>
      <c r="BI34" s="965"/>
      <c r="BJ34" s="965"/>
      <c r="BK34" s="965"/>
      <c r="BL34" s="965"/>
      <c r="BM34" s="965"/>
      <c r="BN34" s="965"/>
      <c r="BO34" s="965"/>
      <c r="BP34" s="965"/>
      <c r="BQ34" s="965"/>
      <c r="BR34" s="965"/>
      <c r="BS34" s="965"/>
      <c r="BT34" s="965"/>
      <c r="BU34" s="965"/>
      <c r="BV34" s="965"/>
      <c r="BW34" s="965"/>
      <c r="BX34" s="965"/>
      <c r="BY34" s="965"/>
      <c r="BZ34" s="965"/>
      <c r="CA34" s="965"/>
      <c r="CB34" s="965"/>
      <c r="CC34" s="965"/>
      <c r="CD34" s="965"/>
      <c r="CE34" s="965"/>
      <c r="CF34" s="965"/>
      <c r="CG34" s="965"/>
      <c r="CH34" s="965"/>
      <c r="CI34" s="965"/>
      <c r="CJ34" s="965"/>
      <c r="CK34" s="965"/>
      <c r="CL34" s="965"/>
      <c r="CM34" s="965"/>
      <c r="CN34" s="965"/>
      <c r="CO34" s="965"/>
      <c r="CP34" s="965"/>
      <c r="CQ34" s="965"/>
      <c r="CR34" s="965"/>
      <c r="CS34" s="965"/>
      <c r="CT34" s="965"/>
      <c r="CU34" s="965"/>
      <c r="CV34" s="965"/>
      <c r="CW34" s="965"/>
      <c r="CX34" s="965"/>
      <c r="CY34" s="965"/>
      <c r="CZ34" s="965"/>
      <c r="DA34" s="965"/>
      <c r="DB34" s="965"/>
      <c r="DC34" s="965"/>
      <c r="DD34" s="965"/>
      <c r="DE34" s="965"/>
      <c r="DF34" s="965"/>
      <c r="DG34" s="965"/>
      <c r="DH34" s="965"/>
      <c r="DI34" s="965"/>
      <c r="DJ34" s="965"/>
      <c r="DK34" s="965"/>
      <c r="DL34" s="965"/>
      <c r="DM34" s="965"/>
      <c r="DN34" s="965"/>
      <c r="DO34" s="965"/>
      <c r="DP34" s="965"/>
    </row>
    <row r="35" ht="21.0" customHeight="1">
      <c r="A35" s="644"/>
      <c r="B35" s="1083" t="s">
        <v>1154</v>
      </c>
      <c r="C35" s="991" t="s">
        <v>1118</v>
      </c>
      <c r="K35" s="1073" t="s">
        <v>1155</v>
      </c>
      <c r="L35" s="1073"/>
      <c r="M35" s="1073"/>
      <c r="N35" s="1073"/>
      <c r="O35" s="1058" t="s">
        <v>1156</v>
      </c>
      <c r="P35" s="991" t="s">
        <v>1110</v>
      </c>
      <c r="AE35" s="1073" t="s">
        <v>1157</v>
      </c>
      <c r="AF35" s="1078"/>
      <c r="AG35" s="1078"/>
      <c r="AH35" s="965"/>
      <c r="AI35" s="965"/>
      <c r="AJ35" s="965"/>
      <c r="AK35" s="965"/>
      <c r="AL35" s="965"/>
      <c r="AM35" s="965"/>
      <c r="AN35" s="965"/>
      <c r="AO35" s="965"/>
      <c r="AP35" s="965"/>
      <c r="AQ35" s="965"/>
      <c r="AR35" s="965"/>
      <c r="AS35" s="965"/>
      <c r="AT35" s="965"/>
      <c r="AU35" s="965"/>
      <c r="AV35" s="965"/>
      <c r="AW35" s="965"/>
      <c r="AX35" s="965"/>
      <c r="AY35" s="965"/>
      <c r="AZ35" s="965"/>
      <c r="BA35" s="965"/>
      <c r="BB35" s="965"/>
      <c r="BC35" s="965"/>
      <c r="BD35" s="965"/>
      <c r="BE35" s="965"/>
      <c r="BF35" s="965"/>
      <c r="BG35" s="965"/>
      <c r="BH35" s="965"/>
      <c r="BI35" s="965"/>
      <c r="BJ35" s="965"/>
      <c r="BK35" s="965"/>
      <c r="BL35" s="965"/>
      <c r="BM35" s="965"/>
      <c r="BN35" s="965"/>
      <c r="BO35" s="965"/>
      <c r="BP35" s="965"/>
      <c r="BQ35" s="965"/>
      <c r="BR35" s="965"/>
      <c r="BS35" s="965"/>
      <c r="BT35" s="965"/>
      <c r="BU35" s="965"/>
      <c r="BV35" s="965"/>
      <c r="BW35" s="965"/>
      <c r="BX35" s="965"/>
      <c r="BY35" s="965"/>
      <c r="BZ35" s="965"/>
      <c r="CA35" s="965"/>
      <c r="CB35" s="965"/>
      <c r="CC35" s="965"/>
      <c r="CD35" s="965"/>
      <c r="CE35" s="965"/>
      <c r="CF35" s="965"/>
      <c r="CG35" s="965"/>
      <c r="CH35" s="965"/>
      <c r="CI35" s="965"/>
      <c r="CJ35" s="965"/>
      <c r="CK35" s="965"/>
      <c r="CL35" s="965"/>
      <c r="CM35" s="965"/>
      <c r="CN35" s="965"/>
      <c r="CO35" s="965"/>
      <c r="CP35" s="965"/>
      <c r="CQ35" s="965"/>
      <c r="CR35" s="965"/>
      <c r="CS35" s="965"/>
      <c r="CT35" s="965"/>
      <c r="CU35" s="965"/>
      <c r="CV35" s="965"/>
      <c r="CW35" s="965"/>
      <c r="CX35" s="965"/>
      <c r="CY35" s="965"/>
      <c r="CZ35" s="965"/>
      <c r="DA35" s="965"/>
      <c r="DB35" s="965"/>
      <c r="DC35" s="965"/>
      <c r="DD35" s="965"/>
      <c r="DE35" s="965"/>
      <c r="DF35" s="965"/>
      <c r="DG35" s="965"/>
      <c r="DH35" s="965"/>
      <c r="DI35" s="965"/>
      <c r="DJ35" s="965"/>
      <c r="DK35" s="965"/>
      <c r="DL35" s="965"/>
      <c r="DM35" s="965"/>
      <c r="DN35" s="965"/>
      <c r="DO35" s="965"/>
      <c r="DP35" s="965"/>
    </row>
    <row r="36" ht="21.0" customHeight="1">
      <c r="A36" s="644"/>
      <c r="B36" s="1084" t="s">
        <v>524</v>
      </c>
      <c r="C36" s="998" t="s">
        <v>1120</v>
      </c>
      <c r="N36" s="1073" t="s">
        <v>1158</v>
      </c>
      <c r="O36" s="1078"/>
      <c r="P36" s="965"/>
      <c r="Q36" s="965"/>
      <c r="R36" s="965"/>
      <c r="S36" s="965"/>
      <c r="T36" s="965"/>
      <c r="U36" s="965"/>
      <c r="V36" s="965"/>
      <c r="W36" s="965"/>
      <c r="X36" s="965"/>
      <c r="Y36" s="965"/>
      <c r="Z36" s="965"/>
      <c r="AA36" s="965"/>
      <c r="AB36" s="965"/>
      <c r="AC36" s="965"/>
      <c r="AD36" s="965"/>
      <c r="AE36" s="965"/>
      <c r="AF36" s="965"/>
      <c r="AG36" s="965"/>
      <c r="AH36" s="965"/>
      <c r="AI36" s="965"/>
      <c r="AJ36" s="965"/>
      <c r="AK36" s="965"/>
      <c r="AL36" s="965"/>
      <c r="AM36" s="965"/>
      <c r="AN36" s="965"/>
      <c r="AO36" s="965"/>
      <c r="AP36" s="965"/>
      <c r="AQ36" s="965"/>
      <c r="AR36" s="965"/>
      <c r="AS36" s="965"/>
      <c r="AT36" s="965"/>
      <c r="AU36" s="965"/>
      <c r="AV36" s="965"/>
      <c r="AW36" s="965"/>
      <c r="AX36" s="965"/>
      <c r="AY36" s="965"/>
      <c r="AZ36" s="965"/>
      <c r="BA36" s="965"/>
      <c r="BB36" s="965"/>
      <c r="BC36" s="965"/>
      <c r="BD36" s="965"/>
      <c r="BE36" s="965"/>
      <c r="BF36" s="965"/>
      <c r="BG36" s="965"/>
      <c r="BH36" s="965"/>
      <c r="BI36" s="965"/>
      <c r="BJ36" s="965"/>
      <c r="BK36" s="965"/>
      <c r="BL36" s="965"/>
      <c r="BM36" s="965"/>
      <c r="BN36" s="965"/>
      <c r="BO36" s="965"/>
      <c r="BP36" s="965"/>
      <c r="BQ36" s="965"/>
      <c r="BR36" s="965"/>
      <c r="BS36" s="965"/>
      <c r="BT36" s="965"/>
      <c r="BU36" s="965"/>
      <c r="BV36" s="965"/>
      <c r="BW36" s="965"/>
      <c r="BX36" s="965"/>
      <c r="BY36" s="965"/>
      <c r="BZ36" s="965"/>
      <c r="CA36" s="965"/>
      <c r="CB36" s="965"/>
      <c r="CC36" s="965"/>
      <c r="CD36" s="965"/>
      <c r="CE36" s="965"/>
      <c r="CF36" s="965"/>
      <c r="CG36" s="965"/>
      <c r="CH36" s="965"/>
      <c r="CI36" s="965"/>
      <c r="CJ36" s="965"/>
      <c r="CK36" s="965"/>
      <c r="CL36" s="965"/>
      <c r="CM36" s="965"/>
      <c r="CN36" s="965"/>
      <c r="CO36" s="965"/>
      <c r="CP36" s="965"/>
      <c r="CQ36" s="965"/>
      <c r="CR36" s="965"/>
      <c r="CS36" s="965"/>
      <c r="CT36" s="965"/>
      <c r="CU36" s="965"/>
      <c r="CV36" s="965"/>
      <c r="CW36" s="965"/>
      <c r="CX36" s="965"/>
      <c r="CY36" s="965"/>
      <c r="CZ36" s="965"/>
      <c r="DA36" s="965"/>
      <c r="DB36" s="965"/>
      <c r="DC36" s="965"/>
      <c r="DD36" s="965"/>
      <c r="DE36" s="965"/>
      <c r="DF36" s="965"/>
      <c r="DG36" s="965"/>
      <c r="DH36" s="965"/>
      <c r="DI36" s="965"/>
      <c r="DJ36" s="965"/>
      <c r="DK36" s="965"/>
      <c r="DL36" s="965"/>
      <c r="DM36" s="965"/>
      <c r="DN36" s="965"/>
      <c r="DO36" s="965"/>
      <c r="DP36" s="965"/>
    </row>
    <row r="37" ht="21.0" customHeight="1">
      <c r="A37" s="644"/>
      <c r="B37" s="1085" t="s">
        <v>1159</v>
      </c>
      <c r="C37" s="972" t="s">
        <v>123</v>
      </c>
      <c r="S37" s="1041"/>
      <c r="T37" s="1042" t="s">
        <v>1131</v>
      </c>
      <c r="AA37" s="1041"/>
      <c r="AB37" s="1042" t="s">
        <v>1107</v>
      </c>
      <c r="AF37" s="1073" t="s">
        <v>1160</v>
      </c>
      <c r="AG37" s="1078"/>
      <c r="AH37" s="965"/>
      <c r="AI37" s="965"/>
      <c r="AJ37" s="965"/>
      <c r="AK37" s="965"/>
      <c r="AL37" s="965"/>
      <c r="AM37" s="965"/>
      <c r="AN37" s="965"/>
      <c r="AO37" s="965"/>
      <c r="AP37" s="965"/>
      <c r="AQ37" s="965"/>
      <c r="AR37" s="965"/>
      <c r="AS37" s="965"/>
      <c r="AT37" s="965"/>
      <c r="AU37" s="965"/>
      <c r="AV37" s="965"/>
      <c r="AW37" s="965"/>
      <c r="AX37" s="965"/>
      <c r="AY37" s="965"/>
      <c r="AZ37" s="965"/>
      <c r="BA37" s="965"/>
      <c r="BB37" s="965"/>
      <c r="BC37" s="965"/>
      <c r="BD37" s="965"/>
      <c r="BE37" s="965"/>
      <c r="BF37" s="965"/>
      <c r="BG37" s="965"/>
      <c r="BH37" s="965"/>
      <c r="BI37" s="965"/>
      <c r="BJ37" s="965"/>
      <c r="BK37" s="965"/>
      <c r="BL37" s="965"/>
      <c r="BM37" s="965"/>
      <c r="BN37" s="965"/>
      <c r="BO37" s="965"/>
      <c r="BP37" s="965"/>
      <c r="BQ37" s="965"/>
      <c r="BR37" s="965"/>
      <c r="BS37" s="965"/>
      <c r="BT37" s="965"/>
      <c r="BU37" s="965"/>
      <c r="BV37" s="965"/>
      <c r="BW37" s="965"/>
      <c r="BX37" s="965"/>
      <c r="BY37" s="965"/>
      <c r="BZ37" s="965"/>
      <c r="CA37" s="965"/>
      <c r="CB37" s="965"/>
      <c r="CC37" s="965"/>
      <c r="CD37" s="965"/>
      <c r="CE37" s="965"/>
      <c r="CF37" s="965"/>
      <c r="CG37" s="965"/>
      <c r="CH37" s="965"/>
      <c r="CI37" s="965"/>
      <c r="CJ37" s="965"/>
      <c r="CK37" s="965"/>
      <c r="CL37" s="965"/>
      <c r="CM37" s="965"/>
      <c r="CN37" s="965"/>
      <c r="CO37" s="965"/>
      <c r="CP37" s="965"/>
      <c r="CQ37" s="965"/>
      <c r="CR37" s="965"/>
      <c r="CS37" s="965"/>
      <c r="CT37" s="965"/>
      <c r="CU37" s="965"/>
      <c r="CV37" s="965"/>
      <c r="CW37" s="965"/>
      <c r="CX37" s="965"/>
      <c r="CY37" s="965"/>
      <c r="CZ37" s="965"/>
      <c r="DA37" s="965"/>
      <c r="DB37" s="965"/>
      <c r="DC37" s="965"/>
      <c r="DD37" s="965"/>
      <c r="DE37" s="965"/>
      <c r="DF37" s="965"/>
      <c r="DG37" s="965"/>
      <c r="DH37" s="965"/>
      <c r="DI37" s="965"/>
      <c r="DJ37" s="965"/>
      <c r="DK37" s="965"/>
      <c r="DL37" s="965"/>
      <c r="DM37" s="965"/>
      <c r="DN37" s="965"/>
      <c r="DO37" s="965"/>
      <c r="DP37" s="965"/>
    </row>
    <row r="38" ht="21.0" customHeight="1">
      <c r="A38" s="644"/>
      <c r="B38" s="1086" t="s">
        <v>1161</v>
      </c>
      <c r="C38" s="992" t="s">
        <v>605</v>
      </c>
      <c r="G38" s="950"/>
      <c r="H38" s="1004" t="s">
        <v>527</v>
      </c>
      <c r="V38" s="950"/>
      <c r="W38" s="1004" t="s">
        <v>1125</v>
      </c>
      <c r="AC38" s="950"/>
      <c r="AD38" s="1087" t="s">
        <v>523</v>
      </c>
      <c r="AE38" s="1004" t="s">
        <v>1162</v>
      </c>
      <c r="AL38" s="1073" t="s">
        <v>1163</v>
      </c>
      <c r="AM38" s="1078"/>
      <c r="AN38" s="1078"/>
      <c r="AO38" s="965"/>
      <c r="AP38" s="965"/>
      <c r="AQ38" s="965"/>
      <c r="AR38" s="965"/>
      <c r="AS38" s="965"/>
      <c r="AT38" s="965"/>
      <c r="AU38" s="965"/>
      <c r="AV38" s="965"/>
      <c r="AW38" s="965"/>
      <c r="AX38" s="965"/>
      <c r="AY38" s="965"/>
      <c r="AZ38" s="965"/>
      <c r="BA38" s="965"/>
      <c r="BB38" s="965"/>
      <c r="BC38" s="965"/>
      <c r="BD38" s="965"/>
      <c r="BE38" s="965"/>
      <c r="BF38" s="965"/>
      <c r="BG38" s="965"/>
      <c r="BH38" s="965"/>
      <c r="BI38" s="965"/>
      <c r="BJ38" s="965"/>
      <c r="BK38" s="965"/>
      <c r="BL38" s="965"/>
      <c r="BM38" s="965"/>
      <c r="BN38" s="965"/>
      <c r="BO38" s="965"/>
      <c r="BP38" s="965"/>
      <c r="BQ38" s="965"/>
      <c r="BR38" s="965"/>
      <c r="BS38" s="965"/>
      <c r="BT38" s="965"/>
      <c r="BU38" s="965"/>
      <c r="BV38" s="965"/>
      <c r="BW38" s="965"/>
      <c r="BX38" s="965"/>
      <c r="BY38" s="965"/>
      <c r="BZ38" s="965"/>
      <c r="CA38" s="965"/>
      <c r="CB38" s="965"/>
      <c r="CC38" s="965"/>
      <c r="CD38" s="965"/>
      <c r="CE38" s="965"/>
      <c r="CF38" s="965"/>
      <c r="CG38" s="965"/>
      <c r="CH38" s="965"/>
      <c r="CI38" s="965"/>
      <c r="CJ38" s="965"/>
      <c r="CK38" s="965"/>
      <c r="CL38" s="965"/>
      <c r="CM38" s="965"/>
      <c r="CN38" s="965"/>
      <c r="CO38" s="965"/>
      <c r="CP38" s="965"/>
      <c r="CQ38" s="965"/>
      <c r="CR38" s="965"/>
      <c r="CS38" s="965"/>
      <c r="CT38" s="965"/>
      <c r="CU38" s="965"/>
      <c r="CV38" s="965"/>
      <c r="CW38" s="965"/>
      <c r="CX38" s="965"/>
      <c r="CY38" s="965"/>
      <c r="CZ38" s="965"/>
      <c r="DA38" s="965"/>
      <c r="DB38" s="965"/>
      <c r="DC38" s="965"/>
      <c r="DD38" s="965"/>
      <c r="DE38" s="965"/>
      <c r="DF38" s="965"/>
      <c r="DG38" s="965"/>
      <c r="DH38" s="965"/>
      <c r="DI38" s="965"/>
      <c r="DJ38" s="965"/>
      <c r="DK38" s="965"/>
      <c r="DL38" s="965"/>
      <c r="DM38" s="965"/>
      <c r="DN38" s="965"/>
      <c r="DO38" s="965"/>
      <c r="DP38" s="965"/>
    </row>
    <row r="39" ht="21.0" customHeight="1">
      <c r="A39" s="644"/>
      <c r="B39" s="1088" t="s">
        <v>1164</v>
      </c>
      <c r="C39" s="965"/>
      <c r="D39" s="965"/>
      <c r="E39" s="965"/>
      <c r="F39" s="965"/>
      <c r="G39" s="965"/>
      <c r="H39" s="965"/>
      <c r="I39" s="1058" t="s">
        <v>1165</v>
      </c>
      <c r="J39" s="1089" t="s">
        <v>1166</v>
      </c>
      <c r="K39" s="1073" t="s">
        <v>1167</v>
      </c>
      <c r="L39" s="1078"/>
      <c r="M39" s="1078"/>
      <c r="N39" s="1078"/>
      <c r="O39" s="1078"/>
      <c r="P39" s="1078"/>
      <c r="Q39" s="1078"/>
      <c r="R39" s="1078"/>
      <c r="S39" s="1078"/>
      <c r="T39" s="965"/>
      <c r="U39" s="965"/>
      <c r="V39" s="965"/>
      <c r="W39" s="965"/>
      <c r="X39" s="965"/>
      <c r="Y39" s="965"/>
      <c r="Z39" s="965"/>
      <c r="AA39" s="965"/>
      <c r="AB39" s="965"/>
      <c r="AC39" s="965"/>
      <c r="AD39" s="965"/>
      <c r="AE39" s="965"/>
      <c r="AF39" s="965"/>
      <c r="AG39" s="965"/>
      <c r="AH39" s="965"/>
      <c r="AI39" s="965"/>
      <c r="AJ39" s="965"/>
      <c r="AK39" s="965"/>
      <c r="AL39" s="965"/>
      <c r="AM39" s="965"/>
      <c r="AN39" s="965"/>
      <c r="AO39" s="965"/>
      <c r="AP39" s="965"/>
      <c r="AQ39" s="965"/>
      <c r="AR39" s="965"/>
      <c r="AS39" s="965"/>
      <c r="AT39" s="965"/>
      <c r="AU39" s="965"/>
      <c r="AV39" s="965"/>
      <c r="AW39" s="965"/>
      <c r="AX39" s="965"/>
      <c r="AY39" s="965"/>
      <c r="AZ39" s="965"/>
      <c r="BA39" s="965"/>
      <c r="BB39" s="965"/>
      <c r="BC39" s="965"/>
      <c r="BD39" s="965"/>
      <c r="BE39" s="965"/>
      <c r="BF39" s="965"/>
      <c r="BG39" s="965"/>
      <c r="BH39" s="965"/>
      <c r="BI39" s="965"/>
      <c r="BJ39" s="965"/>
      <c r="BK39" s="965"/>
      <c r="BL39" s="965"/>
      <c r="BM39" s="965"/>
      <c r="BN39" s="965"/>
      <c r="BO39" s="965"/>
      <c r="BP39" s="965"/>
      <c r="BQ39" s="965"/>
      <c r="BR39" s="965"/>
      <c r="BS39" s="965"/>
      <c r="BT39" s="965"/>
      <c r="BU39" s="965"/>
      <c r="BV39" s="965"/>
      <c r="BW39" s="965"/>
      <c r="BX39" s="965"/>
      <c r="BY39" s="965"/>
      <c r="BZ39" s="965"/>
      <c r="CA39" s="965"/>
      <c r="CB39" s="965"/>
      <c r="CC39" s="965"/>
      <c r="CD39" s="965"/>
      <c r="CE39" s="965"/>
      <c r="CF39" s="965"/>
      <c r="CG39" s="965"/>
      <c r="CH39" s="965"/>
      <c r="CI39" s="965"/>
      <c r="CJ39" s="965"/>
      <c r="CK39" s="965"/>
      <c r="CL39" s="965"/>
      <c r="CM39" s="965"/>
      <c r="CN39" s="965"/>
      <c r="CO39" s="965"/>
      <c r="CP39" s="965"/>
      <c r="CQ39" s="965"/>
      <c r="CR39" s="965"/>
      <c r="CS39" s="965"/>
      <c r="CT39" s="965"/>
      <c r="CU39" s="965"/>
      <c r="CV39" s="965"/>
      <c r="CW39" s="965"/>
      <c r="CX39" s="965"/>
      <c r="CY39" s="965"/>
      <c r="CZ39" s="965"/>
      <c r="DA39" s="965"/>
      <c r="DB39" s="965"/>
      <c r="DC39" s="965"/>
      <c r="DD39" s="965"/>
      <c r="DE39" s="965"/>
      <c r="DF39" s="965"/>
      <c r="DG39" s="965"/>
      <c r="DH39" s="965"/>
      <c r="DI39" s="965"/>
      <c r="DJ39" s="965"/>
      <c r="DK39" s="965"/>
      <c r="DL39" s="965"/>
      <c r="DM39" s="965"/>
      <c r="DN39" s="965"/>
      <c r="DO39" s="965"/>
      <c r="DP39" s="965"/>
    </row>
    <row r="40" ht="21.0" customHeight="1">
      <c r="A40" s="644"/>
      <c r="B40" s="1090" t="s">
        <v>1168</v>
      </c>
      <c r="C40" s="965"/>
      <c r="D40" s="965"/>
      <c r="E40" s="965"/>
      <c r="F40" s="965"/>
      <c r="G40" s="965"/>
      <c r="H40" s="965"/>
      <c r="I40" s="1058" t="s">
        <v>1169</v>
      </c>
      <c r="J40" s="1091" t="s">
        <v>1170</v>
      </c>
      <c r="K40" s="1092" t="s">
        <v>1110</v>
      </c>
      <c r="Q40" s="1078"/>
      <c r="R40" s="1078"/>
      <c r="S40" s="1078"/>
      <c r="T40" s="965"/>
      <c r="U40" s="965"/>
      <c r="V40" s="965"/>
      <c r="W40" s="965"/>
      <c r="X40" s="965"/>
      <c r="Y40" s="965"/>
      <c r="Z40" s="965"/>
      <c r="AA40" s="965"/>
      <c r="AB40" s="965"/>
      <c r="AC40" s="965"/>
      <c r="AD40" s="965"/>
      <c r="AE40" s="965"/>
      <c r="AF40" s="965"/>
      <c r="AG40" s="965"/>
      <c r="AH40" s="965"/>
      <c r="AI40" s="965"/>
      <c r="AJ40" s="965"/>
      <c r="AK40" s="965"/>
      <c r="AL40" s="965"/>
      <c r="AM40" s="965"/>
      <c r="AN40" s="965"/>
      <c r="AO40" s="965"/>
      <c r="AP40" s="965"/>
      <c r="AQ40" s="965"/>
      <c r="AR40" s="965"/>
      <c r="AS40" s="965"/>
      <c r="AT40" s="965"/>
      <c r="AU40" s="965"/>
      <c r="AV40" s="965"/>
      <c r="AW40" s="965"/>
      <c r="AX40" s="965"/>
      <c r="AY40" s="965"/>
      <c r="AZ40" s="965"/>
      <c r="BA40" s="965"/>
      <c r="BB40" s="965"/>
      <c r="BC40" s="965"/>
      <c r="BD40" s="965"/>
      <c r="BE40" s="965"/>
      <c r="BF40" s="965"/>
      <c r="BG40" s="965"/>
      <c r="BH40" s="965"/>
      <c r="BI40" s="965"/>
      <c r="BJ40" s="965"/>
      <c r="BK40" s="965"/>
      <c r="BL40" s="965"/>
      <c r="BM40" s="965"/>
      <c r="BN40" s="965"/>
      <c r="BO40" s="965"/>
      <c r="BP40" s="965"/>
      <c r="BQ40" s="965"/>
      <c r="BR40" s="965"/>
      <c r="BS40" s="965"/>
      <c r="BT40" s="965"/>
      <c r="BU40" s="965"/>
      <c r="BV40" s="965"/>
      <c r="BW40" s="965"/>
      <c r="BX40" s="965"/>
      <c r="BY40" s="965"/>
      <c r="BZ40" s="965"/>
      <c r="CA40" s="965"/>
      <c r="CB40" s="965"/>
      <c r="CC40" s="965"/>
      <c r="CD40" s="965"/>
      <c r="CE40" s="965"/>
      <c r="CF40" s="965"/>
      <c r="CG40" s="965"/>
      <c r="CH40" s="965"/>
      <c r="CI40" s="965"/>
      <c r="CJ40" s="965"/>
      <c r="CK40" s="965"/>
      <c r="CL40" s="965"/>
      <c r="CM40" s="965"/>
      <c r="CN40" s="965"/>
      <c r="CO40" s="965"/>
      <c r="CP40" s="965"/>
      <c r="CQ40" s="965"/>
      <c r="CR40" s="965"/>
      <c r="CS40" s="965"/>
      <c r="CT40" s="965"/>
      <c r="CU40" s="965"/>
      <c r="CV40" s="965"/>
      <c r="CW40" s="965"/>
      <c r="CX40" s="965"/>
      <c r="CY40" s="965"/>
      <c r="CZ40" s="965"/>
      <c r="DA40" s="965"/>
      <c r="DB40" s="965"/>
      <c r="DC40" s="965"/>
      <c r="DD40" s="965"/>
      <c r="DE40" s="965"/>
      <c r="DF40" s="965"/>
      <c r="DG40" s="965"/>
      <c r="DH40" s="965"/>
      <c r="DI40" s="965"/>
      <c r="DJ40" s="965"/>
      <c r="DK40" s="965"/>
      <c r="DL40" s="965"/>
      <c r="DM40" s="965"/>
      <c r="DN40" s="965"/>
      <c r="DO40" s="965"/>
      <c r="DP40" s="965"/>
    </row>
    <row r="41" ht="21.0" customHeight="1">
      <c r="A41" s="644"/>
      <c r="B41" s="1093" t="s">
        <v>458</v>
      </c>
      <c r="C41" s="965"/>
      <c r="D41" s="965"/>
      <c r="E41" s="965"/>
      <c r="F41" s="965"/>
      <c r="G41" s="965"/>
      <c r="H41" s="965"/>
      <c r="I41" s="965"/>
      <c r="J41" s="965"/>
      <c r="K41" s="965"/>
      <c r="L41" s="965"/>
      <c r="M41" s="1058" t="s">
        <v>1171</v>
      </c>
      <c r="N41" s="1094" t="s">
        <v>605</v>
      </c>
      <c r="Q41" s="1073" t="s">
        <v>1172</v>
      </c>
      <c r="R41" s="1095"/>
      <c r="S41" s="1078"/>
      <c r="T41" s="1078"/>
      <c r="U41" s="965"/>
      <c r="V41" s="965"/>
      <c r="W41" s="965"/>
      <c r="X41" s="965"/>
      <c r="Y41" s="965"/>
      <c r="Z41" s="965"/>
      <c r="AA41" s="965"/>
      <c r="AB41" s="965"/>
      <c r="AC41" s="965"/>
      <c r="AD41" s="965"/>
      <c r="AE41" s="965"/>
      <c r="AF41" s="965"/>
      <c r="AG41" s="965"/>
      <c r="AH41" s="965"/>
      <c r="AI41" s="965"/>
      <c r="AJ41" s="965"/>
      <c r="AK41" s="965"/>
      <c r="AL41" s="965"/>
      <c r="AM41" s="965"/>
      <c r="AN41" s="965"/>
      <c r="AO41" s="965"/>
      <c r="AP41" s="965"/>
      <c r="AQ41" s="965"/>
      <c r="AR41" s="965"/>
      <c r="AS41" s="965"/>
      <c r="AT41" s="965"/>
      <c r="AU41" s="965"/>
      <c r="AV41" s="965"/>
      <c r="AW41" s="965"/>
      <c r="AX41" s="965"/>
      <c r="AY41" s="965"/>
      <c r="AZ41" s="965"/>
      <c r="BA41" s="965"/>
      <c r="BB41" s="965"/>
      <c r="BC41" s="965"/>
      <c r="BD41" s="965"/>
      <c r="BE41" s="965"/>
      <c r="BF41" s="965"/>
      <c r="BG41" s="965"/>
      <c r="BH41" s="965"/>
      <c r="BI41" s="965"/>
      <c r="BJ41" s="965"/>
      <c r="BK41" s="965"/>
      <c r="BL41" s="965"/>
      <c r="BM41" s="965"/>
      <c r="BN41" s="965"/>
      <c r="BO41" s="965"/>
      <c r="BP41" s="965"/>
      <c r="BQ41" s="965"/>
      <c r="BR41" s="965"/>
      <c r="BS41" s="965"/>
      <c r="BT41" s="965"/>
      <c r="BU41" s="965"/>
      <c r="BV41" s="965"/>
      <c r="BW41" s="965"/>
      <c r="BX41" s="965"/>
      <c r="BY41" s="965"/>
      <c r="BZ41" s="965"/>
      <c r="CA41" s="965"/>
      <c r="CB41" s="965"/>
      <c r="CC41" s="965"/>
      <c r="CD41" s="965"/>
      <c r="CE41" s="965"/>
      <c r="CF41" s="965"/>
      <c r="CG41" s="965"/>
      <c r="CH41" s="965"/>
      <c r="CI41" s="965"/>
      <c r="CJ41" s="965"/>
      <c r="CK41" s="965"/>
      <c r="CL41" s="965"/>
      <c r="CM41" s="965"/>
      <c r="CN41" s="965"/>
      <c r="CO41" s="965"/>
      <c r="CP41" s="965"/>
      <c r="CQ41" s="965"/>
      <c r="CR41" s="965"/>
      <c r="CS41" s="965"/>
      <c r="CT41" s="965"/>
      <c r="CU41" s="965"/>
      <c r="CV41" s="965"/>
      <c r="CW41" s="965"/>
      <c r="CX41" s="965"/>
      <c r="CY41" s="965"/>
      <c r="CZ41" s="965"/>
      <c r="DA41" s="965"/>
      <c r="DB41" s="965"/>
      <c r="DC41" s="965"/>
      <c r="DD41" s="965"/>
      <c r="DE41" s="965"/>
      <c r="DF41" s="965"/>
      <c r="DG41" s="965"/>
      <c r="DH41" s="965"/>
      <c r="DI41" s="965"/>
      <c r="DJ41" s="965"/>
      <c r="DK41" s="965"/>
      <c r="DL41" s="965"/>
      <c r="DM41" s="965"/>
      <c r="DN41" s="965"/>
      <c r="DO41" s="965"/>
      <c r="DP41" s="965"/>
    </row>
    <row r="42" ht="21.0" customHeight="1">
      <c r="A42" s="644"/>
      <c r="B42" s="1096" t="s">
        <v>1173</v>
      </c>
      <c r="C42" s="965"/>
      <c r="D42" s="965"/>
      <c r="E42" s="965"/>
      <c r="F42" s="965"/>
      <c r="G42" s="965"/>
      <c r="H42" s="965"/>
      <c r="I42" s="965"/>
      <c r="J42" s="965"/>
      <c r="K42" s="965"/>
      <c r="L42" s="965"/>
      <c r="M42" s="965"/>
      <c r="N42" s="965"/>
      <c r="O42" s="965"/>
      <c r="P42" s="965"/>
      <c r="Q42" s="965"/>
      <c r="R42" s="965"/>
      <c r="S42" s="1072" t="s">
        <v>605</v>
      </c>
      <c r="U42" s="1073" t="s">
        <v>1174</v>
      </c>
      <c r="V42" s="1078"/>
      <c r="W42" s="1078"/>
      <c r="X42" s="965"/>
      <c r="Y42" s="965"/>
      <c r="Z42" s="965"/>
      <c r="AA42" s="965"/>
      <c r="AB42" s="965"/>
      <c r="AC42" s="965"/>
      <c r="AD42" s="965"/>
      <c r="AE42" s="965"/>
      <c r="AF42" s="965"/>
      <c r="AG42" s="965"/>
      <c r="AH42" s="965"/>
      <c r="AI42" s="965"/>
      <c r="AJ42" s="965"/>
      <c r="AK42" s="965"/>
      <c r="AL42" s="965"/>
      <c r="AM42" s="965"/>
      <c r="AN42" s="965"/>
      <c r="AO42" s="965"/>
      <c r="AP42" s="965"/>
      <c r="AQ42" s="965"/>
      <c r="AR42" s="965"/>
      <c r="AS42" s="965"/>
      <c r="AT42" s="965"/>
      <c r="AU42" s="965"/>
      <c r="AV42" s="965"/>
      <c r="AW42" s="965"/>
      <c r="AX42" s="965"/>
      <c r="AY42" s="965"/>
      <c r="AZ42" s="965"/>
      <c r="BA42" s="965"/>
      <c r="BB42" s="965"/>
      <c r="BC42" s="965"/>
      <c r="BD42" s="965"/>
      <c r="BE42" s="965"/>
      <c r="BF42" s="965"/>
      <c r="BG42" s="965"/>
      <c r="BH42" s="965"/>
      <c r="BI42" s="965"/>
      <c r="BJ42" s="965"/>
      <c r="BK42" s="965"/>
      <c r="BL42" s="965"/>
      <c r="BM42" s="965"/>
      <c r="BN42" s="965"/>
      <c r="BO42" s="965"/>
      <c r="BP42" s="965"/>
      <c r="BQ42" s="965"/>
      <c r="BR42" s="965"/>
      <c r="BS42" s="965"/>
      <c r="BT42" s="965"/>
      <c r="BU42" s="965"/>
      <c r="BV42" s="965"/>
      <c r="BW42" s="965"/>
      <c r="BX42" s="965"/>
      <c r="BY42" s="965"/>
      <c r="BZ42" s="965"/>
      <c r="CA42" s="965"/>
      <c r="CB42" s="965"/>
      <c r="CC42" s="965"/>
      <c r="CD42" s="965"/>
      <c r="CE42" s="965"/>
      <c r="CF42" s="965"/>
      <c r="CG42" s="965"/>
      <c r="CH42" s="965"/>
      <c r="CI42" s="965"/>
      <c r="CJ42" s="965"/>
      <c r="CK42" s="965"/>
      <c r="CL42" s="965"/>
      <c r="CM42" s="965"/>
      <c r="CN42" s="965"/>
      <c r="CO42" s="965"/>
      <c r="CP42" s="965"/>
      <c r="CQ42" s="965"/>
      <c r="CR42" s="965"/>
      <c r="CS42" s="965"/>
      <c r="CT42" s="965"/>
      <c r="CU42" s="965"/>
      <c r="CV42" s="965"/>
      <c r="CW42" s="965"/>
      <c r="CX42" s="965"/>
      <c r="CY42" s="965"/>
      <c r="CZ42" s="965"/>
      <c r="DA42" s="965"/>
      <c r="DB42" s="965"/>
      <c r="DC42" s="965"/>
      <c r="DD42" s="965"/>
      <c r="DE42" s="965"/>
      <c r="DF42" s="965"/>
      <c r="DG42" s="965"/>
      <c r="DH42" s="965"/>
      <c r="DI42" s="965"/>
      <c r="DJ42" s="965"/>
      <c r="DK42" s="965"/>
      <c r="DL42" s="965"/>
      <c r="DM42" s="965"/>
      <c r="DN42" s="965"/>
      <c r="DO42" s="965"/>
      <c r="DP42" s="965"/>
    </row>
    <row r="43" ht="21.0" customHeight="1">
      <c r="A43" s="644"/>
      <c r="B43" s="1097" t="s">
        <v>1175</v>
      </c>
      <c r="C43" s="965"/>
      <c r="D43" s="965"/>
      <c r="E43" s="965"/>
      <c r="F43" s="965"/>
      <c r="G43" s="965"/>
      <c r="H43" s="965"/>
      <c r="I43" s="965"/>
      <c r="J43" s="965"/>
      <c r="K43" s="965"/>
      <c r="L43" s="965"/>
      <c r="M43" s="965"/>
      <c r="N43" s="965"/>
      <c r="O43" s="965"/>
      <c r="P43" s="965"/>
      <c r="Q43" s="965"/>
      <c r="R43" s="1058"/>
      <c r="S43" s="1058"/>
      <c r="T43" s="1058" t="s">
        <v>1176</v>
      </c>
      <c r="U43" s="1098" t="s">
        <v>605</v>
      </c>
      <c r="AB43" s="1073" t="s">
        <v>1177</v>
      </c>
      <c r="AC43" s="1078"/>
      <c r="AD43" s="1078"/>
      <c r="AE43" s="965"/>
      <c r="AF43" s="965"/>
      <c r="AG43" s="965"/>
      <c r="AH43" s="965"/>
      <c r="AI43" s="965"/>
      <c r="AJ43" s="965"/>
      <c r="AK43" s="965"/>
      <c r="AL43" s="965"/>
      <c r="AM43" s="965"/>
      <c r="AN43" s="965"/>
      <c r="AO43" s="965"/>
      <c r="AP43" s="965"/>
      <c r="AQ43" s="965"/>
      <c r="AR43" s="965"/>
      <c r="AS43" s="965"/>
      <c r="AT43" s="965"/>
      <c r="AU43" s="965"/>
      <c r="AV43" s="965"/>
      <c r="AW43" s="965"/>
      <c r="AX43" s="965"/>
      <c r="AY43" s="965"/>
      <c r="AZ43" s="965"/>
      <c r="BA43" s="965"/>
      <c r="BB43" s="965"/>
      <c r="BC43" s="965"/>
      <c r="BD43" s="965"/>
      <c r="BE43" s="965"/>
      <c r="BF43" s="965"/>
      <c r="BG43" s="965"/>
      <c r="BH43" s="965"/>
      <c r="BI43" s="965"/>
      <c r="BJ43" s="965"/>
      <c r="BK43" s="965"/>
      <c r="BL43" s="965"/>
      <c r="BM43" s="965"/>
      <c r="BN43" s="965"/>
      <c r="BO43" s="965"/>
      <c r="BP43" s="965"/>
      <c r="BQ43" s="965"/>
      <c r="BR43" s="965"/>
      <c r="BS43" s="965"/>
      <c r="BT43" s="965"/>
      <c r="BU43" s="965"/>
      <c r="BV43" s="965"/>
      <c r="BW43" s="965"/>
      <c r="BX43" s="965"/>
      <c r="BY43" s="965"/>
      <c r="BZ43" s="965"/>
      <c r="CA43" s="965"/>
      <c r="CB43" s="965"/>
      <c r="CC43" s="965"/>
      <c r="CD43" s="965"/>
      <c r="CE43" s="965"/>
      <c r="CF43" s="965"/>
      <c r="CG43" s="965"/>
      <c r="CH43" s="965"/>
      <c r="CI43" s="965"/>
      <c r="CJ43" s="965"/>
      <c r="CK43" s="965"/>
      <c r="CL43" s="965"/>
      <c r="CM43" s="965"/>
      <c r="CN43" s="965"/>
      <c r="CO43" s="965"/>
      <c r="CP43" s="965"/>
      <c r="CQ43" s="965"/>
      <c r="CR43" s="965"/>
      <c r="CS43" s="965"/>
      <c r="CT43" s="965"/>
      <c r="CU43" s="965"/>
      <c r="CV43" s="965"/>
      <c r="CW43" s="965"/>
      <c r="CX43" s="965"/>
      <c r="CY43" s="965"/>
      <c r="CZ43" s="965"/>
      <c r="DA43" s="965"/>
      <c r="DB43" s="965"/>
      <c r="DC43" s="965"/>
      <c r="DD43" s="965"/>
      <c r="DE43" s="965"/>
      <c r="DF43" s="965"/>
      <c r="DG43" s="965"/>
      <c r="DH43" s="965"/>
      <c r="DI43" s="965"/>
      <c r="DJ43" s="965"/>
      <c r="DK43" s="965"/>
      <c r="DL43" s="965"/>
      <c r="DM43" s="965"/>
      <c r="DN43" s="965"/>
      <c r="DO43" s="965"/>
      <c r="DP43" s="965"/>
    </row>
    <row r="44" ht="21.0" customHeight="1">
      <c r="A44" s="644"/>
      <c r="B44" s="1099" t="s">
        <v>1178</v>
      </c>
      <c r="C44" s="965"/>
      <c r="D44" s="965"/>
      <c r="E44" s="965"/>
      <c r="F44" s="965"/>
      <c r="G44" s="965"/>
      <c r="H44" s="965"/>
      <c r="I44" s="965"/>
      <c r="J44" s="965"/>
      <c r="K44" s="965"/>
      <c r="L44" s="965"/>
      <c r="M44" s="965"/>
      <c r="N44" s="965"/>
      <c r="O44" s="965"/>
      <c r="P44" s="965"/>
      <c r="Q44" s="965"/>
      <c r="R44" s="965"/>
      <c r="S44" s="965"/>
      <c r="T44" s="965"/>
      <c r="U44" s="965"/>
      <c r="V44" s="965"/>
      <c r="W44" s="965"/>
      <c r="X44" s="965"/>
      <c r="Y44" s="965"/>
      <c r="Z44" s="965"/>
      <c r="AA44" s="965"/>
      <c r="AB44" s="1100" t="s">
        <v>155</v>
      </c>
      <c r="AE44" s="1073" t="s">
        <v>1179</v>
      </c>
      <c r="AF44" s="1078"/>
      <c r="AG44" s="965"/>
      <c r="AH44" s="965"/>
      <c r="AI44" s="965"/>
      <c r="AJ44" s="965"/>
      <c r="AK44" s="965"/>
      <c r="AL44" s="965"/>
      <c r="AM44" s="965"/>
      <c r="AN44" s="965"/>
      <c r="AO44" s="965"/>
      <c r="AP44" s="965"/>
      <c r="AQ44" s="965"/>
      <c r="AR44" s="965"/>
      <c r="AS44" s="965"/>
      <c r="AT44" s="965"/>
      <c r="AU44" s="965"/>
      <c r="AV44" s="965"/>
      <c r="AW44" s="965"/>
      <c r="AX44" s="965"/>
      <c r="AY44" s="965"/>
      <c r="AZ44" s="965"/>
      <c r="BA44" s="965"/>
      <c r="BB44" s="965"/>
      <c r="BC44" s="965"/>
      <c r="BD44" s="965"/>
      <c r="BE44" s="965"/>
      <c r="BF44" s="965"/>
      <c r="BG44" s="965"/>
      <c r="BH44" s="965"/>
      <c r="BI44" s="965"/>
      <c r="BJ44" s="965"/>
      <c r="BK44" s="965"/>
      <c r="BL44" s="965"/>
      <c r="BM44" s="965"/>
      <c r="BN44" s="965"/>
      <c r="BO44" s="965"/>
      <c r="BP44" s="965"/>
      <c r="BQ44" s="965"/>
      <c r="BR44" s="965"/>
      <c r="BS44" s="965"/>
      <c r="BT44" s="965"/>
      <c r="BU44" s="965"/>
      <c r="BV44" s="965"/>
      <c r="BW44" s="965"/>
      <c r="BX44" s="965"/>
      <c r="BY44" s="965"/>
      <c r="BZ44" s="965"/>
      <c r="CA44" s="965"/>
      <c r="CB44" s="965"/>
      <c r="CC44" s="965"/>
      <c r="CD44" s="965"/>
      <c r="CE44" s="965"/>
      <c r="CF44" s="965"/>
      <c r="CG44" s="965"/>
      <c r="CH44" s="965"/>
      <c r="CI44" s="965"/>
      <c r="CJ44" s="965"/>
      <c r="CK44" s="965"/>
      <c r="CL44" s="965"/>
      <c r="CM44" s="965"/>
      <c r="CN44" s="965"/>
      <c r="CO44" s="965"/>
      <c r="CP44" s="965"/>
      <c r="CQ44" s="965"/>
      <c r="CR44" s="965"/>
      <c r="CS44" s="965"/>
      <c r="CT44" s="965"/>
      <c r="CU44" s="965"/>
      <c r="CV44" s="965"/>
      <c r="CW44" s="965"/>
      <c r="CX44" s="965"/>
      <c r="CY44" s="965"/>
      <c r="CZ44" s="965"/>
      <c r="DA44" s="965"/>
      <c r="DB44" s="965"/>
      <c r="DC44" s="965"/>
      <c r="DD44" s="965"/>
      <c r="DE44" s="965"/>
      <c r="DF44" s="965"/>
      <c r="DG44" s="965"/>
      <c r="DH44" s="965"/>
      <c r="DI44" s="965"/>
      <c r="DJ44" s="965"/>
      <c r="DK44" s="965"/>
      <c r="DL44" s="965"/>
      <c r="DM44" s="965"/>
      <c r="DN44" s="965"/>
      <c r="DO44" s="965"/>
      <c r="DP44" s="965"/>
    </row>
    <row r="45" ht="21.0" customHeight="1">
      <c r="A45" s="644"/>
      <c r="B45" s="1101" t="s">
        <v>1180</v>
      </c>
      <c r="C45" s="965"/>
      <c r="D45" s="965"/>
      <c r="E45" s="965"/>
      <c r="F45" s="965"/>
      <c r="G45" s="965"/>
      <c r="H45" s="965"/>
      <c r="I45" s="965"/>
      <c r="J45" s="965"/>
      <c r="K45" s="965"/>
      <c r="L45" s="965"/>
      <c r="M45" s="965"/>
      <c r="N45" s="965"/>
      <c r="O45" s="965"/>
      <c r="P45" s="965"/>
      <c r="Q45" s="1102" t="s">
        <v>1181</v>
      </c>
      <c r="AB45" s="1103"/>
      <c r="AC45" s="1104" t="s">
        <v>1182</v>
      </c>
      <c r="AF45" s="1073" t="s">
        <v>1183</v>
      </c>
      <c r="AG45" s="1078"/>
      <c r="AH45" s="965"/>
      <c r="AI45" s="965"/>
      <c r="AJ45" s="965"/>
      <c r="AK45" s="965"/>
      <c r="AL45" s="965"/>
      <c r="AM45" s="965"/>
      <c r="AN45" s="965"/>
      <c r="AO45" s="965"/>
      <c r="AP45" s="965"/>
      <c r="AQ45" s="965"/>
      <c r="AR45" s="965"/>
      <c r="AS45" s="965"/>
      <c r="AT45" s="965"/>
      <c r="AU45" s="965"/>
      <c r="AV45" s="965"/>
      <c r="AW45" s="965"/>
      <c r="AX45" s="965"/>
      <c r="AY45" s="965"/>
      <c r="AZ45" s="965"/>
      <c r="BA45" s="965"/>
      <c r="BB45" s="965"/>
      <c r="BC45" s="965"/>
      <c r="BD45" s="965"/>
      <c r="BE45" s="965"/>
      <c r="BF45" s="965"/>
      <c r="BG45" s="965"/>
      <c r="BH45" s="965"/>
      <c r="BI45" s="965"/>
      <c r="BJ45" s="965"/>
      <c r="BK45" s="965"/>
      <c r="BL45" s="965"/>
      <c r="BM45" s="965"/>
      <c r="BN45" s="965"/>
      <c r="BO45" s="965"/>
      <c r="BP45" s="965"/>
      <c r="BQ45" s="965"/>
      <c r="BR45" s="965"/>
      <c r="BS45" s="965"/>
      <c r="BT45" s="965"/>
      <c r="BU45" s="965"/>
      <c r="BV45" s="965"/>
      <c r="BW45" s="965"/>
      <c r="BX45" s="965"/>
      <c r="BY45" s="965"/>
      <c r="BZ45" s="965"/>
      <c r="CA45" s="965"/>
      <c r="CB45" s="965"/>
      <c r="CC45" s="965"/>
      <c r="CD45" s="965"/>
      <c r="CE45" s="965"/>
      <c r="CF45" s="965"/>
      <c r="CG45" s="965"/>
      <c r="CH45" s="965"/>
      <c r="CI45" s="965"/>
      <c r="CJ45" s="965"/>
      <c r="CK45" s="965"/>
      <c r="CL45" s="965"/>
      <c r="CM45" s="965"/>
      <c r="CN45" s="965"/>
      <c r="CO45" s="965"/>
      <c r="CP45" s="965"/>
      <c r="CQ45" s="965"/>
      <c r="CR45" s="965"/>
      <c r="CS45" s="965"/>
      <c r="CT45" s="965"/>
      <c r="CU45" s="965"/>
      <c r="CV45" s="965"/>
      <c r="CW45" s="965"/>
      <c r="CX45" s="965"/>
      <c r="CY45" s="965"/>
      <c r="CZ45" s="965"/>
      <c r="DA45" s="965"/>
      <c r="DB45" s="965"/>
      <c r="DC45" s="965"/>
      <c r="DD45" s="965"/>
      <c r="DE45" s="965"/>
      <c r="DF45" s="965"/>
      <c r="DG45" s="965"/>
      <c r="DH45" s="965"/>
      <c r="DI45" s="965"/>
      <c r="DJ45" s="965"/>
      <c r="DK45" s="965"/>
      <c r="DL45" s="965"/>
      <c r="DM45" s="965"/>
      <c r="DN45" s="965"/>
      <c r="DO45" s="965"/>
      <c r="DP45" s="965"/>
    </row>
    <row r="46" ht="21.0" customHeight="1">
      <c r="A46" s="644"/>
      <c r="B46" s="1105" t="s">
        <v>1184</v>
      </c>
      <c r="C46" s="965"/>
      <c r="D46" s="965"/>
      <c r="E46" s="965"/>
      <c r="F46" s="965"/>
      <c r="G46" s="965"/>
      <c r="H46" s="965"/>
      <c r="I46" s="965"/>
      <c r="J46" s="965"/>
      <c r="K46" s="965"/>
      <c r="L46" s="965"/>
      <c r="M46" s="965"/>
      <c r="N46" s="965"/>
      <c r="O46" s="965"/>
      <c r="P46" s="965"/>
      <c r="Q46" s="965"/>
      <c r="R46" s="965"/>
      <c r="S46" s="965"/>
      <c r="T46" s="965"/>
      <c r="U46" s="965"/>
      <c r="V46" s="965"/>
      <c r="W46" s="965"/>
      <c r="X46" s="965"/>
      <c r="Y46" s="965"/>
      <c r="Z46" s="965"/>
      <c r="AA46" s="965"/>
      <c r="AB46" s="965"/>
      <c r="AC46" s="965"/>
      <c r="AD46" s="965"/>
      <c r="AE46" s="965"/>
      <c r="AF46" s="965"/>
      <c r="AG46" s="965"/>
      <c r="AH46" s="965"/>
      <c r="AI46" s="965"/>
      <c r="AJ46" s="1036" t="s">
        <v>525</v>
      </c>
      <c r="AU46" s="1073" t="s">
        <v>1185</v>
      </c>
      <c r="AY46" s="965"/>
      <c r="AZ46" s="965"/>
      <c r="BA46" s="965"/>
      <c r="BB46" s="965"/>
      <c r="BC46" s="965"/>
      <c r="BD46" s="965"/>
      <c r="BE46" s="965"/>
      <c r="BF46" s="965"/>
      <c r="BG46" s="965"/>
      <c r="BH46" s="965"/>
      <c r="BI46" s="965"/>
      <c r="BJ46" s="965"/>
      <c r="BK46" s="965"/>
      <c r="BL46" s="965"/>
      <c r="BM46" s="965"/>
      <c r="BN46" s="965"/>
      <c r="BO46" s="965"/>
      <c r="BP46" s="965"/>
      <c r="BQ46" s="965"/>
      <c r="BR46" s="965"/>
      <c r="BS46" s="965"/>
      <c r="BT46" s="965"/>
      <c r="BU46" s="965"/>
      <c r="BV46" s="965"/>
      <c r="BW46" s="965"/>
      <c r="BX46" s="965"/>
      <c r="BY46" s="965"/>
      <c r="BZ46" s="965"/>
      <c r="CA46" s="965"/>
      <c r="CB46" s="965"/>
      <c r="CC46" s="965"/>
      <c r="CD46" s="965"/>
      <c r="CE46" s="965"/>
      <c r="CF46" s="965"/>
      <c r="CG46" s="965"/>
      <c r="CH46" s="965"/>
      <c r="CI46" s="965"/>
      <c r="CJ46" s="965"/>
      <c r="CK46" s="965"/>
      <c r="CL46" s="965"/>
      <c r="CM46" s="965"/>
      <c r="CN46" s="965"/>
      <c r="CO46" s="965"/>
      <c r="CP46" s="965"/>
      <c r="CQ46" s="965"/>
      <c r="CR46" s="965"/>
      <c r="CS46" s="965"/>
      <c r="CT46" s="965"/>
      <c r="CU46" s="965"/>
      <c r="CV46" s="965"/>
      <c r="CW46" s="965"/>
      <c r="CX46" s="965"/>
      <c r="CY46" s="965"/>
      <c r="CZ46" s="965"/>
      <c r="DA46" s="965"/>
      <c r="DB46" s="965"/>
      <c r="DC46" s="965"/>
      <c r="DD46" s="965"/>
      <c r="DE46" s="965"/>
      <c r="DF46" s="965"/>
      <c r="DG46" s="965"/>
      <c r="DH46" s="965"/>
      <c r="DI46" s="965"/>
      <c r="DJ46" s="965"/>
      <c r="DK46" s="965"/>
      <c r="DL46" s="965"/>
      <c r="DM46" s="965"/>
      <c r="DN46" s="965"/>
      <c r="DO46" s="965"/>
      <c r="DP46" s="965"/>
    </row>
    <row r="47" ht="21.0" customHeight="1">
      <c r="A47" s="644"/>
      <c r="B47" s="1106" t="s">
        <v>1186</v>
      </c>
      <c r="C47" s="965"/>
      <c r="D47" s="965"/>
      <c r="E47" s="965"/>
      <c r="F47" s="965"/>
      <c r="G47" s="965"/>
      <c r="H47" s="965"/>
      <c r="I47" s="965"/>
      <c r="J47" s="965"/>
      <c r="K47" s="965"/>
      <c r="L47" s="965"/>
      <c r="M47" s="965"/>
      <c r="N47" s="965"/>
      <c r="O47" s="965"/>
      <c r="P47" s="965"/>
      <c r="Q47" s="1078"/>
      <c r="R47" s="1078"/>
      <c r="S47" s="1058" t="s">
        <v>1187</v>
      </c>
      <c r="T47" s="1025" t="s">
        <v>123</v>
      </c>
      <c r="V47" s="1107"/>
      <c r="W47" s="1108" t="s">
        <v>155</v>
      </c>
      <c r="AA47" s="1107"/>
      <c r="AB47" s="1108" t="s">
        <v>1188</v>
      </c>
      <c r="AI47" s="1107"/>
      <c r="AJ47" s="1108" t="s">
        <v>121</v>
      </c>
      <c r="AO47" s="1073" t="s">
        <v>1189</v>
      </c>
      <c r="AP47" s="1078"/>
      <c r="AQ47" s="1078"/>
      <c r="AR47" s="1078"/>
      <c r="AS47" s="965"/>
      <c r="AT47" s="965"/>
      <c r="AU47" s="965"/>
      <c r="AV47" s="965"/>
      <c r="AW47" s="965"/>
      <c r="AX47" s="965"/>
      <c r="AY47" s="965"/>
      <c r="AZ47" s="965"/>
      <c r="BA47" s="965"/>
      <c r="BB47" s="965"/>
      <c r="BC47" s="965"/>
      <c r="BD47" s="965"/>
      <c r="BE47" s="965"/>
      <c r="BF47" s="965"/>
      <c r="BG47" s="965"/>
      <c r="BH47" s="965"/>
      <c r="BI47" s="965"/>
      <c r="BJ47" s="965"/>
      <c r="BK47" s="965"/>
      <c r="BL47" s="965"/>
      <c r="BM47" s="965"/>
      <c r="BN47" s="965"/>
      <c r="BO47" s="965"/>
      <c r="BP47" s="965"/>
      <c r="BQ47" s="965"/>
      <c r="BR47" s="965"/>
      <c r="BS47" s="965"/>
      <c r="BT47" s="965"/>
      <c r="BU47" s="965"/>
      <c r="BV47" s="965"/>
      <c r="BW47" s="965"/>
      <c r="BX47" s="965"/>
      <c r="BY47" s="965"/>
      <c r="BZ47" s="965"/>
      <c r="CA47" s="965"/>
      <c r="CB47" s="965"/>
      <c r="CC47" s="965"/>
      <c r="CD47" s="965"/>
      <c r="CE47" s="965"/>
      <c r="CF47" s="965"/>
      <c r="CG47" s="965"/>
      <c r="CH47" s="965"/>
      <c r="CI47" s="965"/>
      <c r="CJ47" s="965"/>
      <c r="CK47" s="965"/>
      <c r="CL47" s="965"/>
      <c r="CM47" s="965"/>
      <c r="CN47" s="965"/>
      <c r="CO47" s="965"/>
      <c r="CP47" s="965"/>
      <c r="CQ47" s="965"/>
      <c r="CR47" s="965"/>
      <c r="CS47" s="965"/>
      <c r="CT47" s="965"/>
      <c r="CU47" s="965"/>
      <c r="CV47" s="965"/>
      <c r="CW47" s="965"/>
      <c r="CX47" s="965"/>
      <c r="CY47" s="965"/>
      <c r="CZ47" s="965"/>
      <c r="DA47" s="965"/>
      <c r="DB47" s="965"/>
      <c r="DC47" s="965"/>
      <c r="DD47" s="965"/>
      <c r="DE47" s="965"/>
      <c r="DF47" s="965"/>
      <c r="DG47" s="965"/>
      <c r="DH47" s="965"/>
      <c r="DI47" s="965"/>
      <c r="DJ47" s="965"/>
      <c r="DK47" s="965"/>
      <c r="DL47" s="965"/>
      <c r="DM47" s="965"/>
      <c r="DN47" s="965"/>
      <c r="DO47" s="965"/>
      <c r="DP47" s="965"/>
    </row>
    <row r="48" ht="21.0" customHeight="1">
      <c r="A48" s="644"/>
      <c r="B48" s="1109" t="s">
        <v>1190</v>
      </c>
      <c r="C48" s="965"/>
      <c r="D48" s="965"/>
      <c r="E48" s="965"/>
      <c r="F48" s="965"/>
      <c r="G48" s="965"/>
      <c r="H48" s="965"/>
      <c r="I48" s="965"/>
      <c r="J48" s="965"/>
      <c r="K48" s="965"/>
      <c r="L48" s="965"/>
      <c r="M48" s="965"/>
      <c r="N48" s="965"/>
      <c r="O48" s="965"/>
      <c r="P48" s="965"/>
      <c r="Q48" s="965"/>
      <c r="R48" s="965"/>
      <c r="S48" s="965"/>
      <c r="T48" s="965"/>
      <c r="U48" s="965"/>
      <c r="V48" s="965"/>
      <c r="W48" s="965"/>
      <c r="X48" s="965"/>
      <c r="Y48" s="965"/>
      <c r="Z48" s="965"/>
      <c r="AA48" s="965"/>
      <c r="AB48" s="965"/>
      <c r="AC48" s="965"/>
      <c r="AD48" s="965"/>
      <c r="AE48" s="965"/>
      <c r="AF48" s="965"/>
      <c r="AG48" s="965"/>
      <c r="AH48" s="965"/>
      <c r="AI48" s="965"/>
      <c r="AJ48" s="965"/>
      <c r="AK48" s="1110" t="s">
        <v>1191</v>
      </c>
      <c r="AO48" s="1073" t="s">
        <v>1140</v>
      </c>
      <c r="AP48" s="1073"/>
      <c r="AQ48" s="1073"/>
      <c r="AR48" s="1073"/>
      <c r="AS48" s="965"/>
      <c r="AT48" s="965"/>
      <c r="AU48" s="965"/>
      <c r="AV48" s="965"/>
      <c r="AW48" s="965"/>
      <c r="AX48" s="965"/>
      <c r="AY48" s="965"/>
      <c r="AZ48" s="965"/>
      <c r="BA48" s="965"/>
      <c r="BB48" s="965"/>
      <c r="BC48" s="965"/>
      <c r="BD48" s="965"/>
      <c r="BE48" s="965"/>
      <c r="BF48" s="965"/>
      <c r="BG48" s="965"/>
      <c r="BH48" s="965"/>
      <c r="BI48" s="965"/>
      <c r="BJ48" s="965"/>
      <c r="BK48" s="965"/>
      <c r="BL48" s="965"/>
      <c r="BM48" s="965"/>
      <c r="BN48" s="965"/>
      <c r="BO48" s="965"/>
      <c r="BP48" s="965"/>
      <c r="BQ48" s="965"/>
      <c r="BR48" s="965"/>
      <c r="BS48" s="965"/>
      <c r="BT48" s="965"/>
      <c r="BU48" s="965"/>
      <c r="BV48" s="965"/>
      <c r="BW48" s="965"/>
      <c r="BX48" s="965"/>
      <c r="BY48" s="965"/>
      <c r="BZ48" s="965"/>
      <c r="CA48" s="965"/>
      <c r="CB48" s="965"/>
      <c r="CC48" s="965"/>
      <c r="CD48" s="965"/>
      <c r="CE48" s="965"/>
      <c r="CF48" s="965"/>
      <c r="CG48" s="965"/>
      <c r="CH48" s="965"/>
      <c r="CI48" s="965"/>
      <c r="CJ48" s="965"/>
      <c r="CK48" s="965"/>
      <c r="CL48" s="965"/>
      <c r="CM48" s="965"/>
      <c r="CN48" s="965"/>
      <c r="CO48" s="965"/>
      <c r="CP48" s="965"/>
      <c r="CQ48" s="965"/>
      <c r="CR48" s="965"/>
      <c r="CS48" s="965"/>
      <c r="CT48" s="965"/>
      <c r="CU48" s="965"/>
      <c r="CV48" s="965"/>
      <c r="CW48" s="965"/>
      <c r="CX48" s="965"/>
      <c r="CY48" s="965"/>
      <c r="CZ48" s="965"/>
      <c r="DA48" s="965"/>
      <c r="DB48" s="965"/>
      <c r="DC48" s="965"/>
      <c r="DD48" s="965"/>
      <c r="DE48" s="965"/>
      <c r="DF48" s="965"/>
      <c r="DG48" s="965"/>
      <c r="DH48" s="965"/>
      <c r="DI48" s="965"/>
      <c r="DJ48" s="965"/>
      <c r="DK48" s="965"/>
      <c r="DL48" s="965"/>
      <c r="DM48" s="965"/>
      <c r="DN48" s="965"/>
      <c r="DO48" s="965"/>
      <c r="DP48" s="965"/>
    </row>
    <row r="49" ht="21.0" customHeight="1">
      <c r="A49" s="644"/>
      <c r="B49" s="1111" t="s">
        <v>1192</v>
      </c>
      <c r="C49" s="965"/>
      <c r="D49" s="965"/>
      <c r="E49" s="965"/>
      <c r="F49" s="965"/>
      <c r="G49" s="965"/>
      <c r="H49" s="965"/>
      <c r="I49" s="965"/>
      <c r="J49" s="965"/>
      <c r="K49" s="965"/>
      <c r="L49" s="965"/>
      <c r="M49" s="965"/>
      <c r="N49" s="965"/>
      <c r="O49" s="965"/>
      <c r="P49" s="965"/>
      <c r="Q49" s="965"/>
      <c r="R49" s="965"/>
      <c r="S49" s="965"/>
      <c r="T49" s="965"/>
      <c r="U49" s="965"/>
      <c r="V49" s="965"/>
      <c r="W49" s="965"/>
      <c r="X49" s="965"/>
      <c r="Y49" s="965"/>
      <c r="Z49" s="965"/>
      <c r="AA49" s="965"/>
      <c r="AB49" s="965"/>
      <c r="AC49" s="965"/>
      <c r="AD49" s="965"/>
      <c r="AE49" s="965"/>
      <c r="AF49" s="965"/>
      <c r="AG49" s="965"/>
      <c r="AH49" s="965"/>
      <c r="AI49" s="965"/>
      <c r="AJ49" s="965"/>
      <c r="AK49" s="1112" t="s">
        <v>1193</v>
      </c>
      <c r="AO49" s="1073" t="s">
        <v>1194</v>
      </c>
      <c r="AP49" s="1078"/>
      <c r="AQ49" s="1078"/>
      <c r="AR49" s="965"/>
      <c r="AS49" s="965"/>
      <c r="AT49" s="965"/>
      <c r="AU49" s="965"/>
      <c r="AV49" s="965"/>
      <c r="AW49" s="965"/>
      <c r="AX49" s="965"/>
      <c r="AY49" s="965"/>
      <c r="AZ49" s="965"/>
      <c r="BA49" s="965"/>
      <c r="BB49" s="965"/>
      <c r="BC49" s="965"/>
      <c r="BD49" s="965"/>
      <c r="BE49" s="965"/>
      <c r="BF49" s="965"/>
      <c r="BG49" s="965"/>
      <c r="BH49" s="965"/>
      <c r="BI49" s="965"/>
      <c r="BJ49" s="965"/>
      <c r="BK49" s="965"/>
      <c r="BL49" s="965"/>
      <c r="BM49" s="965"/>
      <c r="BN49" s="965"/>
      <c r="BO49" s="965"/>
      <c r="BP49" s="965"/>
      <c r="BQ49" s="965"/>
      <c r="BR49" s="965"/>
      <c r="BS49" s="965"/>
      <c r="BT49" s="965"/>
      <c r="BU49" s="965"/>
      <c r="BV49" s="965"/>
      <c r="BW49" s="965"/>
      <c r="BX49" s="965"/>
      <c r="BY49" s="965"/>
      <c r="BZ49" s="965"/>
      <c r="CA49" s="965"/>
      <c r="CB49" s="965"/>
      <c r="CC49" s="965"/>
      <c r="CD49" s="965"/>
      <c r="CE49" s="965"/>
      <c r="CF49" s="965"/>
      <c r="CG49" s="965"/>
      <c r="CH49" s="965"/>
      <c r="CI49" s="965"/>
      <c r="CJ49" s="965"/>
      <c r="CK49" s="965"/>
      <c r="CL49" s="965"/>
      <c r="CM49" s="965"/>
      <c r="CN49" s="965"/>
      <c r="CO49" s="965"/>
      <c r="CP49" s="965"/>
      <c r="CQ49" s="965"/>
      <c r="CR49" s="965"/>
      <c r="CS49" s="965"/>
      <c r="CT49" s="965"/>
      <c r="CU49" s="965"/>
      <c r="CV49" s="965"/>
      <c r="CW49" s="965"/>
      <c r="CX49" s="965"/>
      <c r="CY49" s="965"/>
      <c r="CZ49" s="965"/>
      <c r="DA49" s="965"/>
      <c r="DB49" s="965"/>
      <c r="DC49" s="965"/>
      <c r="DD49" s="965"/>
      <c r="DE49" s="965"/>
      <c r="DF49" s="965"/>
      <c r="DG49" s="965"/>
      <c r="DH49" s="965"/>
      <c r="DI49" s="965"/>
      <c r="DJ49" s="965"/>
      <c r="DK49" s="965"/>
      <c r="DL49" s="965"/>
      <c r="DM49" s="965"/>
      <c r="DN49" s="965"/>
      <c r="DO49" s="965"/>
      <c r="DP49" s="965"/>
    </row>
    <row r="50" ht="21.0" customHeight="1">
      <c r="A50" s="644"/>
      <c r="B50" s="1113" t="s">
        <v>446</v>
      </c>
      <c r="C50" s="1114"/>
      <c r="D50" s="1114"/>
      <c r="E50" s="1114"/>
      <c r="F50" s="1114"/>
      <c r="G50" s="1114"/>
      <c r="H50" s="1114"/>
      <c r="I50" s="1114"/>
      <c r="J50" s="1114"/>
      <c r="K50" s="1114"/>
      <c r="L50" s="1114"/>
      <c r="M50" s="1114"/>
      <c r="N50" s="1114"/>
      <c r="O50" s="1114"/>
      <c r="P50" s="1114"/>
      <c r="Q50" s="1114"/>
      <c r="R50" s="1114"/>
      <c r="S50" s="1114"/>
      <c r="T50" s="1114"/>
      <c r="U50" s="1114"/>
      <c r="V50" s="1114"/>
      <c r="W50" s="1114"/>
      <c r="X50" s="1114"/>
      <c r="Y50" s="1114"/>
      <c r="Z50" s="1114"/>
      <c r="AA50" s="1114"/>
      <c r="AB50" s="1114"/>
      <c r="AC50" s="1114"/>
      <c r="AD50" s="1114"/>
      <c r="AE50" s="1114"/>
      <c r="AF50" s="1114"/>
      <c r="AG50" s="1114"/>
      <c r="AH50" s="1114"/>
      <c r="AI50" s="1114"/>
      <c r="AJ50" s="1114"/>
      <c r="AK50" s="1114"/>
      <c r="AL50" s="1115"/>
      <c r="AM50" s="1115"/>
      <c r="AN50" s="1115" t="s">
        <v>1195</v>
      </c>
      <c r="AO50" s="1116" t="s">
        <v>1114</v>
      </c>
      <c r="AZ50" s="1117" t="s">
        <v>1196</v>
      </c>
      <c r="BA50" s="1118"/>
      <c r="BB50" s="1095"/>
      <c r="BC50" s="1114"/>
      <c r="BD50" s="1114"/>
      <c r="BE50" s="1114"/>
      <c r="BF50" s="1114"/>
      <c r="BG50" s="1114"/>
      <c r="BH50" s="1114"/>
      <c r="BI50" s="1114"/>
      <c r="BJ50" s="1114"/>
      <c r="BK50" s="1114"/>
      <c r="BL50" s="1114"/>
      <c r="BM50" s="1114"/>
      <c r="BN50" s="1114"/>
      <c r="BO50" s="1114"/>
      <c r="BP50" s="1114"/>
      <c r="BQ50" s="1114"/>
      <c r="BR50" s="1114"/>
      <c r="BS50" s="1114"/>
      <c r="BT50" s="1114"/>
      <c r="BU50" s="1114"/>
      <c r="BV50" s="1114"/>
      <c r="BW50" s="1114"/>
      <c r="BX50" s="1114"/>
      <c r="BY50" s="1114"/>
      <c r="BZ50" s="1114"/>
      <c r="CA50" s="1114"/>
      <c r="CB50" s="1114"/>
      <c r="CC50" s="1114"/>
      <c r="CD50" s="1114"/>
      <c r="CE50" s="1114"/>
      <c r="CF50" s="1114"/>
      <c r="CG50" s="1114"/>
      <c r="CH50" s="1114"/>
      <c r="CI50" s="1114"/>
      <c r="CJ50" s="1114"/>
      <c r="CK50" s="1114"/>
      <c r="CL50" s="1114"/>
      <c r="CM50" s="1114"/>
      <c r="CN50" s="1114"/>
      <c r="CO50" s="1114"/>
      <c r="CP50" s="1114"/>
      <c r="CQ50" s="1114"/>
      <c r="CR50" s="1114"/>
      <c r="CS50" s="1114"/>
      <c r="CT50" s="1114"/>
      <c r="CU50" s="1114"/>
      <c r="CV50" s="1114"/>
      <c r="CW50" s="1114"/>
      <c r="CX50" s="1114"/>
      <c r="CY50" s="1114"/>
      <c r="CZ50" s="1114"/>
      <c r="DA50" s="1114"/>
      <c r="DB50" s="1114"/>
      <c r="DC50" s="1114"/>
      <c r="DD50" s="1114"/>
      <c r="DE50" s="1114"/>
      <c r="DF50" s="1114"/>
      <c r="DG50" s="1114"/>
      <c r="DH50" s="1114"/>
      <c r="DI50" s="1114"/>
      <c r="DJ50" s="1114"/>
      <c r="DK50" s="1114"/>
      <c r="DL50" s="1114"/>
      <c r="DM50" s="1114"/>
      <c r="DN50" s="1114"/>
      <c r="DO50" s="1114"/>
      <c r="DP50" s="1114"/>
    </row>
    <row r="51" ht="21.0" customHeight="1">
      <c r="A51" s="644"/>
      <c r="B51" s="1119" t="s">
        <v>510</v>
      </c>
      <c r="C51" s="1114"/>
      <c r="D51" s="1114"/>
      <c r="E51" s="1114"/>
      <c r="F51" s="1114"/>
      <c r="G51" s="1114"/>
      <c r="H51" s="1114"/>
      <c r="I51" s="1114"/>
      <c r="J51" s="1114"/>
      <c r="K51" s="1114"/>
      <c r="L51" s="1114"/>
      <c r="M51" s="1114"/>
      <c r="N51" s="1114"/>
      <c r="O51" s="1114"/>
      <c r="P51" s="1114"/>
      <c r="Q51" s="1114"/>
      <c r="R51" s="1114"/>
      <c r="S51" s="1114"/>
      <c r="T51" s="1114"/>
      <c r="U51" s="1114"/>
      <c r="V51" s="1114"/>
      <c r="W51" s="1114"/>
      <c r="X51" s="1114"/>
      <c r="Y51" s="1114"/>
      <c r="Z51" s="1114"/>
      <c r="AA51" s="1114"/>
      <c r="AB51" s="1114"/>
      <c r="AC51" s="1114"/>
      <c r="AD51" s="1114"/>
      <c r="AE51" s="1114"/>
      <c r="AF51" s="1114"/>
      <c r="AG51" s="1114"/>
      <c r="AH51" s="1114"/>
      <c r="AI51" s="1114"/>
      <c r="AJ51" s="1114"/>
      <c r="AK51" s="1114"/>
      <c r="AL51" s="1114"/>
      <c r="AM51" s="1114"/>
      <c r="AN51" s="1114"/>
      <c r="AO51" s="1114"/>
      <c r="AP51" s="1114"/>
      <c r="AQ51" s="1114"/>
      <c r="AR51" s="1114"/>
      <c r="AS51" s="1114"/>
      <c r="AT51" s="1114"/>
      <c r="AU51" s="1120" t="s">
        <v>510</v>
      </c>
      <c r="AY51" s="115"/>
      <c r="AZ51" s="1121" t="s">
        <v>1181</v>
      </c>
      <c r="BE51" s="1122" t="s">
        <v>1197</v>
      </c>
      <c r="BF51" s="1123"/>
      <c r="BG51" s="1114"/>
      <c r="BH51" s="1114"/>
      <c r="BI51" s="1114"/>
      <c r="BJ51" s="1114"/>
      <c r="BK51" s="1114"/>
      <c r="BL51" s="1114"/>
      <c r="BM51" s="1114"/>
      <c r="BN51" s="1114"/>
      <c r="BO51" s="1114"/>
      <c r="BP51" s="1114"/>
      <c r="BQ51" s="1114"/>
      <c r="BR51" s="1114"/>
      <c r="BS51" s="1114"/>
      <c r="BT51" s="1114"/>
      <c r="BU51" s="1114"/>
      <c r="BV51" s="1114"/>
      <c r="BW51" s="1114"/>
      <c r="BX51" s="1114"/>
      <c r="BY51" s="1114"/>
      <c r="BZ51" s="1114"/>
      <c r="CA51" s="1114"/>
      <c r="CB51" s="1114"/>
      <c r="CC51" s="1114"/>
      <c r="CD51" s="1114"/>
      <c r="CE51" s="1114"/>
      <c r="CF51" s="1114"/>
      <c r="CG51" s="1114"/>
      <c r="CH51" s="1114"/>
      <c r="CI51" s="1114"/>
      <c r="CJ51" s="1114"/>
      <c r="CK51" s="1114"/>
      <c r="CL51" s="1114"/>
      <c r="CM51" s="1114"/>
      <c r="CN51" s="1114"/>
      <c r="CO51" s="1114"/>
      <c r="CP51" s="1114"/>
      <c r="CQ51" s="1114"/>
      <c r="CR51" s="1114"/>
      <c r="CS51" s="1114"/>
      <c r="CT51" s="1114"/>
      <c r="CU51" s="1114"/>
      <c r="CV51" s="1114"/>
      <c r="CW51" s="1114"/>
      <c r="CX51" s="1114"/>
      <c r="CY51" s="1114"/>
      <c r="CZ51" s="1114"/>
      <c r="DA51" s="1114"/>
      <c r="DB51" s="1114"/>
      <c r="DC51" s="1114"/>
      <c r="DD51" s="1114"/>
      <c r="DE51" s="1114"/>
      <c r="DF51" s="1114"/>
      <c r="DG51" s="1114"/>
      <c r="DH51" s="1114"/>
      <c r="DI51" s="1114"/>
      <c r="DJ51" s="1114"/>
      <c r="DK51" s="1114"/>
      <c r="DL51" s="1114"/>
      <c r="DM51" s="1114"/>
      <c r="DN51" s="1114"/>
      <c r="DO51" s="1114"/>
      <c r="DP51" s="1114"/>
    </row>
    <row r="52" ht="21.0" customHeight="1">
      <c r="A52" s="644"/>
      <c r="B52" s="977" t="s">
        <v>533</v>
      </c>
      <c r="C52" s="1114"/>
      <c r="D52" s="1114"/>
      <c r="E52" s="1114"/>
      <c r="F52" s="1114"/>
      <c r="G52" s="1114"/>
      <c r="H52" s="1114"/>
      <c r="I52" s="1114"/>
      <c r="J52" s="1114"/>
      <c r="K52" s="1114"/>
      <c r="L52" s="1114"/>
      <c r="M52" s="1114"/>
      <c r="N52" s="1114"/>
      <c r="O52" s="1114"/>
      <c r="P52" s="1114"/>
      <c r="Q52" s="1114"/>
      <c r="R52" s="1114"/>
      <c r="S52" s="1114"/>
      <c r="T52" s="1114"/>
      <c r="U52" s="1114"/>
      <c r="V52" s="1114"/>
      <c r="W52" s="1114"/>
      <c r="X52" s="1114"/>
      <c r="Y52" s="1114"/>
      <c r="Z52" s="1114"/>
      <c r="AA52" s="1114"/>
      <c r="AB52" s="1114"/>
      <c r="AC52" s="1114"/>
      <c r="AD52" s="1124" t="s">
        <v>1198</v>
      </c>
      <c r="AF52" s="1125" t="s">
        <v>1107</v>
      </c>
      <c r="BB52" s="978"/>
      <c r="BC52" s="1126" t="s">
        <v>1132</v>
      </c>
      <c r="BG52" s="1117" t="s">
        <v>1199</v>
      </c>
      <c r="BH52" s="1095"/>
      <c r="BI52" s="965"/>
      <c r="BJ52" s="965"/>
      <c r="BK52" s="965"/>
      <c r="BL52" s="965"/>
      <c r="BM52" s="965"/>
      <c r="BN52" s="965"/>
      <c r="BO52" s="965"/>
      <c r="BP52" s="965"/>
      <c r="BQ52" s="965"/>
      <c r="BR52" s="965"/>
      <c r="BS52" s="965"/>
      <c r="BT52" s="965"/>
      <c r="BU52" s="965"/>
      <c r="BV52" s="965"/>
      <c r="BW52" s="965"/>
      <c r="BX52" s="965"/>
      <c r="BY52" s="965"/>
      <c r="BZ52" s="965"/>
      <c r="CA52" s="965"/>
      <c r="CB52" s="965"/>
      <c r="CC52" s="965"/>
      <c r="CD52" s="965"/>
      <c r="CE52" s="965"/>
      <c r="CF52" s="965"/>
      <c r="CG52" s="965"/>
      <c r="CH52" s="965"/>
      <c r="CI52" s="965"/>
      <c r="CJ52" s="965"/>
      <c r="CK52" s="965"/>
      <c r="CL52" s="965"/>
      <c r="CM52" s="965"/>
      <c r="CN52" s="965"/>
      <c r="CO52" s="965"/>
      <c r="CP52" s="965"/>
      <c r="CQ52" s="965"/>
      <c r="CR52" s="965"/>
      <c r="CS52" s="965"/>
      <c r="CT52" s="965"/>
      <c r="CU52" s="965"/>
      <c r="CV52" s="965"/>
      <c r="CW52" s="965"/>
      <c r="CX52" s="965"/>
      <c r="CY52" s="965"/>
      <c r="CZ52" s="965"/>
      <c r="DA52" s="965"/>
      <c r="DB52" s="965"/>
      <c r="DC52" s="965"/>
      <c r="DD52" s="965"/>
      <c r="DE52" s="965"/>
      <c r="DF52" s="965"/>
      <c r="DG52" s="965"/>
      <c r="DH52" s="965"/>
      <c r="DI52" s="965"/>
      <c r="DJ52" s="965"/>
      <c r="DK52" s="965"/>
      <c r="DL52" s="965"/>
      <c r="DM52" s="965"/>
      <c r="DN52" s="965"/>
      <c r="DO52" s="965"/>
      <c r="DP52" s="965"/>
    </row>
    <row r="53" ht="21.0" customHeight="1">
      <c r="A53" s="644"/>
      <c r="B53" s="1127" t="s">
        <v>528</v>
      </c>
      <c r="C53" s="976" t="s">
        <v>1200</v>
      </c>
      <c r="H53" s="115"/>
      <c r="I53" s="980" t="s">
        <v>1201</v>
      </c>
      <c r="P53" s="115"/>
      <c r="Q53" s="980" t="s">
        <v>1113</v>
      </c>
      <c r="AN53" s="115"/>
      <c r="AO53" s="980" t="s">
        <v>1202</v>
      </c>
      <c r="BB53" s="115"/>
      <c r="BC53" s="980" t="s">
        <v>605</v>
      </c>
      <c r="BI53" s="115"/>
      <c r="BJ53" s="980" t="s">
        <v>1202</v>
      </c>
      <c r="BM53" s="1073" t="s">
        <v>1203</v>
      </c>
      <c r="BN53" s="1073"/>
      <c r="BO53" s="1091"/>
      <c r="BP53" s="965"/>
      <c r="BQ53" s="965"/>
      <c r="BR53" s="965"/>
      <c r="BS53" s="965"/>
      <c r="BT53" s="965"/>
      <c r="BU53" s="965"/>
      <c r="BV53" s="965"/>
      <c r="BW53" s="965"/>
      <c r="BX53" s="965"/>
      <c r="BY53" s="965"/>
      <c r="BZ53" s="965"/>
      <c r="CA53" s="965"/>
      <c r="CB53" s="965"/>
      <c r="CC53" s="965"/>
      <c r="CD53" s="965"/>
      <c r="CE53" s="965"/>
      <c r="CF53" s="965"/>
      <c r="CG53" s="965"/>
      <c r="CH53" s="965"/>
      <c r="CI53" s="965"/>
      <c r="CJ53" s="965"/>
      <c r="CK53" s="965"/>
      <c r="CL53" s="965"/>
      <c r="CM53" s="965"/>
      <c r="CN53" s="965"/>
      <c r="CO53" s="965"/>
      <c r="CP53" s="965"/>
      <c r="CQ53" s="965"/>
      <c r="CR53" s="965"/>
      <c r="CS53" s="965"/>
      <c r="CT53" s="965"/>
      <c r="CU53" s="965"/>
      <c r="CV53" s="965"/>
      <c r="CW53" s="965"/>
      <c r="CX53" s="965"/>
      <c r="CY53" s="965"/>
      <c r="CZ53" s="965"/>
      <c r="DA53" s="965"/>
      <c r="DB53" s="965"/>
      <c r="DC53" s="965"/>
      <c r="DD53" s="965"/>
      <c r="DE53" s="965"/>
      <c r="DF53" s="965"/>
      <c r="DG53" s="965"/>
      <c r="DH53" s="965"/>
      <c r="DI53" s="965"/>
      <c r="DJ53" s="965"/>
      <c r="DK53" s="965"/>
      <c r="DL53" s="965"/>
      <c r="DM53" s="965"/>
      <c r="DN53" s="965"/>
      <c r="DO53" s="965"/>
      <c r="DP53" s="965"/>
    </row>
    <row r="54" ht="21.0" customHeight="1">
      <c r="A54" s="644"/>
      <c r="B54" s="1128" t="s">
        <v>1204</v>
      </c>
      <c r="C54" s="971" t="s">
        <v>1106</v>
      </c>
      <c r="I54" s="1129"/>
      <c r="J54" s="1130" t="s">
        <v>120</v>
      </c>
      <c r="AB54" s="1129"/>
      <c r="AC54" s="1130" t="s">
        <v>1109</v>
      </c>
      <c r="AJ54" s="1129"/>
      <c r="AK54" s="1130" t="s">
        <v>1108</v>
      </c>
      <c r="AY54" s="1129"/>
      <c r="AZ54" s="1130" t="s">
        <v>662</v>
      </c>
      <c r="BM54" s="1073" t="s">
        <v>1203</v>
      </c>
      <c r="BN54" s="1073"/>
      <c r="BO54" s="1091"/>
      <c r="BP54" s="965"/>
      <c r="BQ54" s="965"/>
      <c r="BR54" s="965"/>
      <c r="BS54" s="965"/>
      <c r="BT54" s="965"/>
      <c r="BU54" s="965"/>
      <c r="BV54" s="965"/>
      <c r="BW54" s="965"/>
      <c r="BX54" s="965"/>
      <c r="BY54" s="965"/>
      <c r="BZ54" s="965"/>
      <c r="CA54" s="965"/>
      <c r="CB54" s="965"/>
      <c r="CC54" s="965"/>
      <c r="CD54" s="965"/>
      <c r="CE54" s="965"/>
      <c r="CF54" s="965"/>
      <c r="CG54" s="965"/>
      <c r="CH54" s="965"/>
      <c r="CI54" s="965"/>
      <c r="CJ54" s="965"/>
      <c r="CK54" s="965"/>
      <c r="CL54" s="965"/>
      <c r="CM54" s="965"/>
      <c r="CN54" s="965"/>
      <c r="CO54" s="965"/>
      <c r="CP54" s="965"/>
      <c r="CQ54" s="965"/>
      <c r="CR54" s="965"/>
      <c r="CS54" s="965"/>
      <c r="CT54" s="965"/>
      <c r="CU54" s="965"/>
      <c r="CV54" s="965"/>
      <c r="CW54" s="965"/>
      <c r="CX54" s="965"/>
      <c r="CY54" s="965"/>
      <c r="CZ54" s="965"/>
      <c r="DA54" s="965"/>
      <c r="DB54" s="965"/>
      <c r="DC54" s="965"/>
      <c r="DD54" s="965"/>
      <c r="DE54" s="965"/>
      <c r="DF54" s="965"/>
      <c r="DG54" s="965"/>
      <c r="DH54" s="965"/>
      <c r="DI54" s="965"/>
      <c r="DJ54" s="965"/>
      <c r="DK54" s="965"/>
      <c r="DL54" s="965"/>
      <c r="DM54" s="965"/>
      <c r="DN54" s="965"/>
      <c r="DO54" s="965"/>
      <c r="DP54" s="965"/>
    </row>
    <row r="55" ht="21.0" customHeight="1">
      <c r="A55" s="644"/>
      <c r="B55" s="1131" t="s">
        <v>1205</v>
      </c>
      <c r="C55" s="965"/>
      <c r="D55" s="965"/>
      <c r="E55" s="965"/>
      <c r="F55" s="965"/>
      <c r="G55" s="965"/>
      <c r="H55" s="965"/>
      <c r="I55" s="965"/>
      <c r="J55" s="965"/>
      <c r="K55" s="965"/>
      <c r="L55" s="965"/>
      <c r="M55" s="965"/>
      <c r="N55" s="965"/>
      <c r="O55" s="965"/>
      <c r="P55" s="965"/>
      <c r="Q55" s="965"/>
      <c r="R55" s="965"/>
      <c r="S55" s="965"/>
      <c r="T55" s="965"/>
      <c r="U55" s="965"/>
      <c r="V55" s="965"/>
      <c r="W55" s="965"/>
      <c r="X55" s="965"/>
      <c r="Y55" s="965"/>
      <c r="Z55" s="965"/>
      <c r="AA55" s="965"/>
      <c r="AB55" s="965"/>
      <c r="AC55" s="965"/>
      <c r="AD55" s="965"/>
      <c r="AE55" s="965"/>
      <c r="AF55" s="965"/>
      <c r="AG55" s="965"/>
      <c r="AH55" s="1058"/>
      <c r="AI55" s="1058"/>
      <c r="AJ55" s="1058"/>
      <c r="AK55" s="1058" t="s">
        <v>1206</v>
      </c>
      <c r="AL55" s="995" t="s">
        <v>1162</v>
      </c>
      <c r="BC55" s="1132" t="s">
        <v>871</v>
      </c>
      <c r="BM55" s="1073" t="s">
        <v>1203</v>
      </c>
      <c r="BN55" s="1073"/>
      <c r="BO55" s="1091"/>
      <c r="BP55" s="965"/>
      <c r="BQ55" s="965"/>
      <c r="BR55" s="965"/>
      <c r="BS55" s="965"/>
      <c r="BT55" s="965"/>
      <c r="BU55" s="965"/>
      <c r="BV55" s="965"/>
      <c r="BW55" s="965"/>
      <c r="BX55" s="965"/>
      <c r="BY55" s="965"/>
      <c r="BZ55" s="965"/>
      <c r="CA55" s="965"/>
      <c r="CB55" s="965"/>
      <c r="CC55" s="965"/>
      <c r="CD55" s="965"/>
      <c r="CE55" s="965"/>
      <c r="CF55" s="965"/>
      <c r="CG55" s="965"/>
      <c r="CH55" s="965"/>
      <c r="CI55" s="965"/>
      <c r="CJ55" s="965"/>
      <c r="CK55" s="965"/>
      <c r="CL55" s="965"/>
      <c r="CM55" s="965"/>
      <c r="CN55" s="965"/>
      <c r="CO55" s="965"/>
      <c r="CP55" s="965"/>
      <c r="CQ55" s="965"/>
      <c r="CR55" s="965"/>
      <c r="CS55" s="965"/>
      <c r="CT55" s="965"/>
      <c r="CU55" s="965"/>
      <c r="CV55" s="965"/>
      <c r="CW55" s="965"/>
      <c r="CX55" s="965"/>
      <c r="CY55" s="965"/>
      <c r="CZ55" s="965"/>
      <c r="DA55" s="965"/>
      <c r="DB55" s="965"/>
      <c r="DC55" s="965"/>
      <c r="DD55" s="965"/>
      <c r="DE55" s="965"/>
      <c r="DF55" s="965"/>
      <c r="DG55" s="965"/>
      <c r="DH55" s="965"/>
      <c r="DI55" s="965"/>
      <c r="DJ55" s="965"/>
      <c r="DK55" s="965"/>
      <c r="DL55" s="965"/>
      <c r="DM55" s="965"/>
      <c r="DN55" s="965"/>
      <c r="DO55" s="965"/>
      <c r="DP55" s="965"/>
    </row>
    <row r="56" ht="21.0" customHeight="1">
      <c r="A56" s="644"/>
      <c r="B56" s="1133" t="s">
        <v>1207</v>
      </c>
      <c r="C56" s="965"/>
      <c r="D56" s="965"/>
      <c r="E56" s="965"/>
      <c r="F56" s="965"/>
      <c r="G56" s="965"/>
      <c r="H56" s="965"/>
      <c r="I56" s="965"/>
      <c r="J56" s="965"/>
      <c r="K56" s="965"/>
      <c r="L56" s="965"/>
      <c r="M56" s="965"/>
      <c r="N56" s="965"/>
      <c r="O56" s="965"/>
      <c r="P56" s="965"/>
      <c r="Q56" s="965"/>
      <c r="R56" s="965"/>
      <c r="S56" s="965"/>
      <c r="T56" s="965"/>
      <c r="U56" s="965"/>
      <c r="V56" s="965"/>
      <c r="W56" s="965"/>
      <c r="X56" s="965"/>
      <c r="Y56" s="965"/>
      <c r="Z56" s="965"/>
      <c r="AA56" s="965"/>
      <c r="AB56" s="965"/>
      <c r="AC56" s="965"/>
      <c r="AD56" s="965"/>
      <c r="AE56" s="965"/>
      <c r="AF56" s="965"/>
      <c r="AG56" s="965"/>
      <c r="AH56" s="965"/>
      <c r="AI56" s="965"/>
      <c r="AJ56" s="965"/>
      <c r="AK56" s="965"/>
      <c r="AL56" s="965"/>
      <c r="AM56" s="965"/>
      <c r="AN56" s="965"/>
      <c r="AO56" s="1006" t="s">
        <v>1125</v>
      </c>
      <c r="BM56" s="1073" t="s">
        <v>1203</v>
      </c>
      <c r="BN56" s="1073"/>
      <c r="BO56" s="1091"/>
      <c r="BP56" s="965"/>
      <c r="BQ56" s="965"/>
      <c r="BR56" s="965"/>
      <c r="BS56" s="965"/>
      <c r="BT56" s="965"/>
      <c r="BU56" s="965"/>
      <c r="BV56" s="965"/>
      <c r="BW56" s="965"/>
      <c r="BX56" s="965"/>
      <c r="BY56" s="965"/>
      <c r="BZ56" s="965"/>
      <c r="CA56" s="965"/>
      <c r="CB56" s="965"/>
      <c r="CC56" s="965"/>
      <c r="CD56" s="965"/>
      <c r="CE56" s="965"/>
      <c r="CF56" s="965"/>
      <c r="CG56" s="965"/>
      <c r="CH56" s="965"/>
      <c r="CI56" s="965"/>
      <c r="CJ56" s="965"/>
      <c r="CK56" s="965"/>
      <c r="CL56" s="965"/>
      <c r="CM56" s="965"/>
      <c r="CN56" s="965"/>
      <c r="CO56" s="965"/>
      <c r="CP56" s="965"/>
      <c r="CQ56" s="965"/>
      <c r="CR56" s="965"/>
      <c r="CS56" s="965"/>
      <c r="CT56" s="965"/>
      <c r="CU56" s="965"/>
      <c r="CV56" s="965"/>
      <c r="CW56" s="965"/>
      <c r="CX56" s="965"/>
      <c r="CY56" s="965"/>
      <c r="CZ56" s="965"/>
      <c r="DA56" s="965"/>
      <c r="DB56" s="965"/>
      <c r="DC56" s="965"/>
      <c r="DD56" s="965"/>
      <c r="DE56" s="965"/>
      <c r="DF56" s="965"/>
      <c r="DG56" s="965"/>
      <c r="DH56" s="965"/>
      <c r="DI56" s="965"/>
      <c r="DJ56" s="965"/>
      <c r="DK56" s="965"/>
      <c r="DL56" s="965"/>
      <c r="DM56" s="965"/>
      <c r="DN56" s="965"/>
      <c r="DO56" s="965"/>
      <c r="DP56" s="965"/>
    </row>
    <row r="57" ht="21.0" customHeight="1">
      <c r="A57" s="644"/>
      <c r="B57" s="1134" t="s">
        <v>1208</v>
      </c>
      <c r="C57" s="965"/>
      <c r="D57" s="965"/>
      <c r="E57" s="965"/>
      <c r="F57" s="965"/>
      <c r="G57" s="965"/>
      <c r="H57" s="965"/>
      <c r="I57" s="965"/>
      <c r="J57" s="965"/>
      <c r="K57" s="965"/>
      <c r="L57" s="965"/>
      <c r="M57" s="965"/>
      <c r="N57" s="965"/>
      <c r="O57" s="965"/>
      <c r="P57" s="965"/>
      <c r="Q57" s="965"/>
      <c r="R57" s="965"/>
      <c r="S57" s="965"/>
      <c r="T57" s="965"/>
      <c r="U57" s="965"/>
      <c r="V57" s="965"/>
      <c r="W57" s="965"/>
      <c r="X57" s="965"/>
      <c r="Y57" s="965"/>
      <c r="Z57" s="965"/>
      <c r="AA57" s="965"/>
      <c r="AB57" s="965"/>
      <c r="AC57" s="965"/>
      <c r="AD57" s="965"/>
      <c r="AE57" s="965"/>
      <c r="AF57" s="965"/>
      <c r="AG57" s="965"/>
      <c r="AH57" s="965"/>
      <c r="AI57" s="965"/>
      <c r="AJ57" s="965"/>
      <c r="AK57" s="965"/>
      <c r="AL57" s="965"/>
      <c r="AM57" s="965"/>
      <c r="AN57" s="965"/>
      <c r="AO57" s="965"/>
      <c r="AP57" s="965"/>
      <c r="AQ57" s="965"/>
      <c r="AR57" s="965"/>
      <c r="AS57" s="965"/>
      <c r="AT57" s="965"/>
      <c r="AU57" s="965"/>
      <c r="AV57" s="965"/>
      <c r="AW57" s="965"/>
      <c r="AX57" s="1058"/>
      <c r="AY57" s="1058" t="s">
        <v>1209</v>
      </c>
      <c r="AZ57" s="1036" t="s">
        <v>121</v>
      </c>
      <c r="BE57" s="1129"/>
      <c r="BF57" s="1135" t="s">
        <v>1210</v>
      </c>
      <c r="BG57" s="1136" t="s">
        <v>1211</v>
      </c>
      <c r="BI57" s="1129"/>
      <c r="BJ57" s="1136" t="s">
        <v>203</v>
      </c>
      <c r="BM57" s="1073" t="s">
        <v>1203</v>
      </c>
      <c r="BN57" s="1073"/>
      <c r="BO57" s="1091"/>
      <c r="BP57" s="965"/>
      <c r="BQ57" s="965"/>
      <c r="BR57" s="965"/>
      <c r="BS57" s="965"/>
      <c r="BT57" s="965"/>
      <c r="BU57" s="965"/>
      <c r="BV57" s="965"/>
      <c r="BW57" s="965"/>
      <c r="BX57" s="965"/>
      <c r="BY57" s="965"/>
      <c r="BZ57" s="965"/>
      <c r="CA57" s="965"/>
      <c r="CB57" s="965"/>
      <c r="CC57" s="965"/>
      <c r="CD57" s="965"/>
      <c r="CE57" s="965"/>
      <c r="CF57" s="965"/>
      <c r="CG57" s="965"/>
      <c r="CH57" s="965"/>
      <c r="CI57" s="965"/>
      <c r="CJ57" s="965"/>
      <c r="CK57" s="965"/>
      <c r="CL57" s="965"/>
      <c r="CM57" s="965"/>
      <c r="CN57" s="965"/>
      <c r="CO57" s="965"/>
      <c r="CP57" s="965"/>
      <c r="CQ57" s="965"/>
      <c r="CR57" s="965"/>
      <c r="CS57" s="965"/>
      <c r="CT57" s="965"/>
      <c r="CU57" s="965"/>
      <c r="CV57" s="965"/>
      <c r="CW57" s="965"/>
      <c r="CX57" s="965"/>
      <c r="CY57" s="965"/>
      <c r="CZ57" s="965"/>
      <c r="DA57" s="965"/>
      <c r="DB57" s="965"/>
      <c r="DC57" s="965"/>
      <c r="DD57" s="965"/>
      <c r="DE57" s="965"/>
      <c r="DF57" s="965"/>
      <c r="DG57" s="965"/>
      <c r="DH57" s="965"/>
      <c r="DI57" s="965"/>
      <c r="DJ57" s="965"/>
      <c r="DK57" s="965"/>
      <c r="DL57" s="965"/>
      <c r="DM57" s="965"/>
      <c r="DN57" s="965"/>
      <c r="DO57" s="965"/>
      <c r="DP57" s="965"/>
    </row>
    <row r="58" ht="21.0" customHeight="1">
      <c r="A58" s="644"/>
      <c r="B58" s="1137" t="s">
        <v>1212</v>
      </c>
      <c r="C58" s="965"/>
      <c r="D58" s="965"/>
      <c r="E58" s="965"/>
      <c r="F58" s="965"/>
      <c r="G58" s="965"/>
      <c r="H58" s="965"/>
      <c r="I58" s="965"/>
      <c r="J58" s="965"/>
      <c r="K58" s="965"/>
      <c r="L58" s="965"/>
      <c r="M58" s="965"/>
      <c r="N58" s="965"/>
      <c r="O58" s="965"/>
      <c r="P58" s="965"/>
      <c r="Q58" s="965"/>
      <c r="R58" s="965"/>
      <c r="S58" s="965"/>
      <c r="T58" s="965"/>
      <c r="U58" s="965"/>
      <c r="V58" s="965"/>
      <c r="W58" s="965"/>
      <c r="X58" s="965"/>
      <c r="Y58" s="965"/>
      <c r="Z58" s="965"/>
      <c r="AA58" s="965"/>
      <c r="AB58" s="965"/>
      <c r="AC58" s="965"/>
      <c r="AD58" s="965"/>
      <c r="AE58" s="965"/>
      <c r="AF58" s="965"/>
      <c r="AG58" s="965"/>
      <c r="AH58" s="965"/>
      <c r="AI58" s="965"/>
      <c r="AJ58" s="965"/>
      <c r="AK58" s="965"/>
      <c r="AL58" s="965"/>
      <c r="AM58" s="965"/>
      <c r="AN58" s="965"/>
      <c r="AO58" s="965"/>
      <c r="AP58" s="965"/>
      <c r="AQ58" s="965"/>
      <c r="AR58" s="965"/>
      <c r="AS58" s="965"/>
      <c r="AT58" s="965"/>
      <c r="AU58" s="965"/>
      <c r="AV58" s="965"/>
      <c r="AW58" s="965"/>
      <c r="AX58" s="965"/>
      <c r="AY58" s="965"/>
      <c r="AZ58" s="965"/>
      <c r="BA58" s="965"/>
      <c r="BB58" s="965"/>
      <c r="BC58" s="1027" t="s">
        <v>157</v>
      </c>
      <c r="BF58" s="1129"/>
      <c r="BG58" s="1138" t="s">
        <v>505</v>
      </c>
      <c r="BM58" s="1073" t="s">
        <v>1203</v>
      </c>
      <c r="BN58" s="1073"/>
      <c r="BO58" s="1091"/>
      <c r="BP58" s="965"/>
      <c r="BQ58" s="965"/>
      <c r="BR58" s="965"/>
      <c r="BS58" s="965"/>
      <c r="BT58" s="965"/>
      <c r="BU58" s="965"/>
      <c r="BV58" s="965"/>
      <c r="BW58" s="965"/>
      <c r="BX58" s="965"/>
      <c r="BY58" s="965"/>
      <c r="BZ58" s="965"/>
      <c r="CA58" s="965"/>
      <c r="CB58" s="965"/>
      <c r="CC58" s="965"/>
      <c r="CD58" s="965"/>
      <c r="CE58" s="965"/>
      <c r="CF58" s="965"/>
      <c r="CG58" s="965"/>
      <c r="CH58" s="965"/>
      <c r="CI58" s="965"/>
      <c r="CJ58" s="965"/>
      <c r="CK58" s="965"/>
      <c r="CL58" s="965"/>
      <c r="CM58" s="965"/>
      <c r="CN58" s="965"/>
      <c r="CO58" s="965"/>
      <c r="CP58" s="965"/>
      <c r="CQ58" s="965"/>
      <c r="CR58" s="965"/>
      <c r="CS58" s="965"/>
      <c r="CT58" s="965"/>
      <c r="CU58" s="965"/>
      <c r="CV58" s="965"/>
      <c r="CW58" s="965"/>
      <c r="CX58" s="965"/>
      <c r="CY58" s="965"/>
      <c r="CZ58" s="965"/>
      <c r="DA58" s="965"/>
      <c r="DB58" s="965"/>
      <c r="DC58" s="965"/>
      <c r="DD58" s="965"/>
      <c r="DE58" s="965"/>
      <c r="DF58" s="965"/>
      <c r="DG58" s="965"/>
      <c r="DH58" s="965"/>
      <c r="DI58" s="965"/>
      <c r="DJ58" s="965"/>
      <c r="DK58" s="965"/>
      <c r="DL58" s="965"/>
      <c r="DM58" s="965"/>
      <c r="DN58" s="965"/>
      <c r="DO58" s="965"/>
      <c r="DP58" s="965"/>
    </row>
    <row r="59" ht="21.0" customHeight="1">
      <c r="A59" s="644"/>
      <c r="B59" s="1139" t="s">
        <v>1213</v>
      </c>
      <c r="C59" s="965"/>
      <c r="D59" s="965"/>
      <c r="E59" s="965"/>
      <c r="F59" s="965"/>
      <c r="G59" s="965"/>
      <c r="H59" s="965"/>
      <c r="I59" s="965"/>
      <c r="J59" s="965"/>
      <c r="K59" s="965"/>
      <c r="L59" s="965"/>
      <c r="M59" s="965"/>
      <c r="N59" s="965"/>
      <c r="O59" s="965"/>
      <c r="P59" s="965"/>
      <c r="Q59" s="965"/>
      <c r="R59" s="965"/>
      <c r="S59" s="965"/>
      <c r="T59" s="965"/>
      <c r="U59" s="965"/>
      <c r="V59" s="965"/>
      <c r="W59" s="965"/>
      <c r="X59" s="965"/>
      <c r="Y59" s="965"/>
      <c r="Z59" s="965"/>
      <c r="AA59" s="965"/>
      <c r="AB59" s="965"/>
      <c r="AC59" s="965"/>
      <c r="AD59" s="965"/>
      <c r="AE59" s="965"/>
      <c r="AF59" s="965"/>
      <c r="AG59" s="965"/>
      <c r="AH59" s="965"/>
      <c r="AI59" s="965"/>
      <c r="AJ59" s="965"/>
      <c r="AK59" s="965"/>
      <c r="AL59" s="965"/>
      <c r="AM59" s="965"/>
      <c r="AN59" s="965"/>
      <c r="AO59" s="965"/>
      <c r="AP59" s="965"/>
      <c r="AQ59" s="965"/>
      <c r="AR59" s="965"/>
      <c r="AS59" s="965"/>
      <c r="AT59" s="965"/>
      <c r="AU59" s="965"/>
      <c r="AV59" s="965"/>
      <c r="AW59" s="965"/>
      <c r="AX59" s="965"/>
      <c r="AY59" s="965"/>
      <c r="AZ59" s="965"/>
      <c r="BA59" s="965"/>
      <c r="BB59" s="965"/>
      <c r="BC59" s="1140" t="s">
        <v>525</v>
      </c>
      <c r="BM59" s="1073" t="s">
        <v>1203</v>
      </c>
      <c r="BN59" s="1073"/>
      <c r="BO59" s="1091"/>
      <c r="BP59" s="965"/>
      <c r="BQ59" s="965"/>
      <c r="BR59" s="965"/>
      <c r="BS59" s="965"/>
      <c r="BT59" s="965"/>
      <c r="BU59" s="965"/>
      <c r="BV59" s="965"/>
      <c r="BW59" s="965"/>
      <c r="BX59" s="965"/>
      <c r="BY59" s="965"/>
      <c r="BZ59" s="965"/>
      <c r="CA59" s="965"/>
      <c r="CB59" s="965"/>
      <c r="CC59" s="965"/>
      <c r="CD59" s="965"/>
      <c r="CE59" s="965"/>
      <c r="CF59" s="965"/>
      <c r="CG59" s="965"/>
      <c r="CH59" s="965"/>
      <c r="CI59" s="965"/>
      <c r="CJ59" s="965"/>
      <c r="CK59" s="965"/>
      <c r="CL59" s="965"/>
      <c r="CM59" s="965"/>
      <c r="CN59" s="965"/>
      <c r="CO59" s="965"/>
      <c r="CP59" s="965"/>
      <c r="CQ59" s="965"/>
      <c r="CR59" s="965"/>
      <c r="CS59" s="965"/>
      <c r="CT59" s="965"/>
      <c r="CU59" s="965"/>
      <c r="CV59" s="965"/>
      <c r="CW59" s="965"/>
      <c r="CX59" s="965"/>
      <c r="CY59" s="965"/>
      <c r="CZ59" s="965"/>
      <c r="DA59" s="965"/>
      <c r="DB59" s="965"/>
      <c r="DC59" s="965"/>
      <c r="DD59" s="965"/>
      <c r="DE59" s="965"/>
      <c r="DF59" s="965"/>
      <c r="DG59" s="965"/>
      <c r="DH59" s="965"/>
      <c r="DI59" s="965"/>
      <c r="DJ59" s="965"/>
      <c r="DK59" s="965"/>
      <c r="DL59" s="965"/>
      <c r="DM59" s="965"/>
      <c r="DN59" s="965"/>
      <c r="DO59" s="965"/>
      <c r="DP59" s="965"/>
    </row>
    <row r="60" ht="21.0" customHeight="1">
      <c r="A60" s="644"/>
      <c r="B60" s="1141" t="s">
        <v>1214</v>
      </c>
      <c r="C60" s="1142"/>
      <c r="D60" s="1142"/>
      <c r="E60" s="1142"/>
      <c r="F60" s="1142"/>
      <c r="G60" s="1142"/>
      <c r="H60" s="1142"/>
      <c r="I60" s="1142"/>
      <c r="J60" s="1142"/>
      <c r="K60" s="1142"/>
      <c r="L60" s="1142"/>
      <c r="M60" s="1142"/>
      <c r="N60" s="1142"/>
      <c r="O60" s="1142"/>
      <c r="P60" s="1142"/>
      <c r="Q60" s="1142"/>
      <c r="R60" s="1142"/>
      <c r="S60" s="1142"/>
      <c r="T60" s="1142"/>
      <c r="U60" s="1142"/>
      <c r="V60" s="1142"/>
      <c r="W60" s="1142"/>
      <c r="X60" s="1142"/>
      <c r="Y60" s="1142"/>
      <c r="Z60" s="1142"/>
      <c r="AA60" s="1142"/>
      <c r="AB60" s="1142"/>
      <c r="AC60" s="1142"/>
      <c r="AD60" s="1142"/>
      <c r="AE60" s="1142"/>
      <c r="AF60" s="1142"/>
      <c r="AG60" s="1142"/>
      <c r="AH60" s="1142"/>
      <c r="AI60" s="1142"/>
      <c r="AJ60" s="1142"/>
      <c r="AK60" s="1142"/>
      <c r="AL60" s="1142"/>
      <c r="AM60" s="1142"/>
      <c r="AN60" s="1142"/>
      <c r="AO60" s="1142"/>
      <c r="AP60" s="1142"/>
      <c r="AQ60" s="1142"/>
      <c r="AR60" s="1142"/>
      <c r="AS60" s="1142"/>
      <c r="AT60" s="1142"/>
      <c r="AU60" s="1142"/>
      <c r="AV60" s="1142"/>
      <c r="AW60" s="1142"/>
      <c r="AX60" s="1142"/>
      <c r="AY60" s="1142"/>
      <c r="AZ60" s="1142"/>
      <c r="BA60" s="1142"/>
      <c r="BB60" s="1142"/>
      <c r="BC60" s="1143"/>
      <c r="BD60" s="1143"/>
      <c r="BE60" s="1143"/>
      <c r="BF60" s="1143"/>
      <c r="BG60" s="1143"/>
      <c r="BH60" s="1143"/>
      <c r="BI60" s="1143"/>
      <c r="BJ60" s="1143"/>
      <c r="BK60" s="1143"/>
      <c r="BL60" s="1143"/>
      <c r="BM60" s="1144" t="s">
        <v>1215</v>
      </c>
      <c r="BN60" s="1145"/>
      <c r="BO60" s="1146" t="s">
        <v>1216</v>
      </c>
      <c r="BP60" s="1146"/>
      <c r="BQ60" s="1146"/>
      <c r="BR60" s="1146"/>
      <c r="BS60" s="1142"/>
      <c r="BT60" s="1142"/>
      <c r="BU60" s="1142"/>
      <c r="BV60" s="1142"/>
      <c r="BW60" s="1142"/>
      <c r="BX60" s="1142"/>
      <c r="BY60" s="1142"/>
      <c r="BZ60" s="1142"/>
      <c r="CA60" s="1142"/>
      <c r="CB60" s="1142"/>
      <c r="CC60" s="1142"/>
      <c r="CD60" s="1142"/>
      <c r="CE60" s="1142"/>
      <c r="CF60" s="1142"/>
      <c r="CG60" s="1142"/>
      <c r="CH60" s="1142"/>
      <c r="CI60" s="1142"/>
      <c r="CJ60" s="1142"/>
      <c r="CK60" s="1142"/>
      <c r="CL60" s="1142"/>
      <c r="CM60" s="1142"/>
      <c r="CN60" s="1142"/>
      <c r="CO60" s="1142"/>
      <c r="CP60" s="1142"/>
      <c r="CQ60" s="1142"/>
      <c r="CR60" s="1142"/>
      <c r="CS60" s="1142"/>
      <c r="CT60" s="1142"/>
      <c r="CU60" s="1142"/>
      <c r="CV60" s="1142"/>
      <c r="CW60" s="1142"/>
      <c r="CX60" s="1142"/>
      <c r="CY60" s="1142"/>
      <c r="CZ60" s="1142"/>
      <c r="DA60" s="1142"/>
      <c r="DB60" s="1142"/>
      <c r="DC60" s="1142"/>
      <c r="DD60" s="1142"/>
      <c r="DE60" s="1142"/>
      <c r="DF60" s="1142"/>
      <c r="DG60" s="1142"/>
      <c r="DH60" s="1142"/>
      <c r="DI60" s="1142"/>
      <c r="DJ60" s="1142"/>
      <c r="DK60" s="1142"/>
      <c r="DL60" s="1142"/>
      <c r="DM60" s="1142"/>
      <c r="DN60" s="1142"/>
      <c r="DO60" s="1142"/>
      <c r="DP60" s="1142"/>
    </row>
    <row r="61" ht="21.0" customHeight="1">
      <c r="A61" s="644"/>
      <c r="B61" s="1147" t="s">
        <v>1217</v>
      </c>
      <c r="C61" s="965"/>
      <c r="D61" s="965"/>
      <c r="E61" s="965"/>
      <c r="F61" s="965"/>
      <c r="G61" s="965"/>
      <c r="H61" s="965"/>
      <c r="I61" s="965"/>
      <c r="J61" s="965"/>
      <c r="K61" s="965"/>
      <c r="L61" s="965"/>
      <c r="M61" s="965"/>
      <c r="N61" s="965"/>
      <c r="O61" s="965"/>
      <c r="P61" s="965"/>
      <c r="Q61" s="965"/>
      <c r="R61" s="965"/>
      <c r="S61" s="965"/>
      <c r="T61" s="965"/>
      <c r="U61" s="965"/>
      <c r="V61" s="965"/>
      <c r="W61" s="965"/>
      <c r="X61" s="965"/>
      <c r="Y61" s="965"/>
      <c r="Z61" s="965"/>
      <c r="AA61" s="965"/>
      <c r="AB61" s="965"/>
      <c r="AC61" s="965"/>
      <c r="AD61" s="965"/>
      <c r="AE61" s="965"/>
      <c r="AF61" s="965"/>
      <c r="AG61" s="965"/>
      <c r="AH61" s="965"/>
      <c r="AI61" s="965"/>
      <c r="AJ61" s="965"/>
      <c r="AK61" s="965"/>
      <c r="AL61" s="965"/>
      <c r="AM61" s="965"/>
      <c r="AN61" s="965"/>
      <c r="AO61" s="965"/>
      <c r="AP61" s="965"/>
      <c r="AQ61" s="965"/>
      <c r="AR61" s="965"/>
      <c r="AS61" s="965"/>
      <c r="AT61" s="965"/>
      <c r="AU61" s="965"/>
      <c r="AV61" s="965"/>
      <c r="AW61" s="965"/>
      <c r="AX61" s="965"/>
      <c r="AY61" s="965"/>
      <c r="AZ61" s="965"/>
      <c r="BA61" s="965"/>
      <c r="BB61" s="965"/>
      <c r="BC61" s="1091"/>
      <c r="BD61" s="1091"/>
      <c r="BE61" s="1091"/>
      <c r="BF61" s="1091"/>
      <c r="BG61" s="1091"/>
      <c r="BH61" s="1091"/>
      <c r="BI61" s="1091"/>
      <c r="BJ61" s="1091"/>
      <c r="BK61" s="1091"/>
      <c r="BL61" s="1091"/>
      <c r="BM61" s="1148" t="s">
        <v>1218</v>
      </c>
      <c r="BO61" s="1073" t="s">
        <v>1219</v>
      </c>
      <c r="BP61" s="965"/>
      <c r="BQ61" s="965"/>
      <c r="BR61" s="965"/>
      <c r="BS61" s="965"/>
      <c r="BT61" s="965"/>
      <c r="BU61" s="965"/>
      <c r="BV61" s="965"/>
      <c r="BW61" s="965"/>
      <c r="BX61" s="965"/>
      <c r="BY61" s="965"/>
      <c r="BZ61" s="965"/>
      <c r="CA61" s="965"/>
      <c r="CB61" s="965"/>
      <c r="CC61" s="965"/>
      <c r="CD61" s="965"/>
      <c r="CE61" s="965"/>
      <c r="CF61" s="965"/>
      <c r="CG61" s="965"/>
      <c r="CH61" s="965"/>
      <c r="CI61" s="965"/>
      <c r="CJ61" s="965"/>
      <c r="CK61" s="965"/>
      <c r="CL61" s="965"/>
      <c r="CM61" s="965"/>
      <c r="CN61" s="965"/>
      <c r="CO61" s="965"/>
      <c r="CP61" s="965"/>
      <c r="CQ61" s="965"/>
      <c r="CR61" s="965"/>
      <c r="CS61" s="965"/>
      <c r="CT61" s="965"/>
      <c r="CU61" s="965"/>
      <c r="CV61" s="965"/>
      <c r="CW61" s="965"/>
      <c r="CX61" s="965"/>
      <c r="CY61" s="965"/>
      <c r="CZ61" s="965"/>
      <c r="DA61" s="965"/>
      <c r="DB61" s="965"/>
      <c r="DC61" s="965"/>
      <c r="DD61" s="965"/>
      <c r="DE61" s="965"/>
      <c r="DF61" s="965"/>
      <c r="DG61" s="965"/>
      <c r="DH61" s="965"/>
      <c r="DI61" s="965"/>
      <c r="DJ61" s="965"/>
      <c r="DK61" s="965"/>
      <c r="DL61" s="965"/>
      <c r="DM61" s="965"/>
      <c r="DN61" s="965"/>
      <c r="DO61" s="965"/>
      <c r="DP61" s="965"/>
    </row>
    <row r="62" ht="21.0" customHeight="1">
      <c r="A62" s="644"/>
      <c r="B62" s="1149" t="s">
        <v>1220</v>
      </c>
      <c r="C62" s="965"/>
      <c r="D62" s="965"/>
      <c r="E62" s="965"/>
      <c r="F62" s="965"/>
      <c r="G62" s="965"/>
      <c r="H62" s="965" t="s">
        <v>1221</v>
      </c>
      <c r="I62" s="965"/>
      <c r="J62" s="965"/>
      <c r="K62" s="965"/>
      <c r="L62" s="965"/>
      <c r="M62" s="965"/>
      <c r="N62" s="965"/>
      <c r="O62" s="965"/>
      <c r="P62" s="965"/>
      <c r="Q62" s="965"/>
      <c r="R62" s="965"/>
      <c r="S62" s="965"/>
      <c r="T62" s="965"/>
      <c r="U62" s="965"/>
      <c r="V62" s="965"/>
      <c r="W62" s="965"/>
      <c r="X62" s="965"/>
      <c r="Y62" s="965"/>
      <c r="Z62" s="965"/>
      <c r="AA62" s="965"/>
      <c r="AB62" s="965"/>
      <c r="AC62" s="965"/>
      <c r="AD62" s="965"/>
      <c r="AE62" s="965"/>
      <c r="AF62" s="965"/>
      <c r="AG62" s="965"/>
      <c r="AH62" s="965"/>
      <c r="AI62" s="965"/>
      <c r="AJ62" s="965"/>
      <c r="AK62" s="965"/>
      <c r="AL62" s="965"/>
      <c r="AM62" s="965"/>
      <c r="AN62" s="965"/>
      <c r="AO62" s="965"/>
      <c r="AP62" s="965"/>
      <c r="AQ62" s="965"/>
      <c r="AR62" s="965"/>
      <c r="AS62" s="965"/>
      <c r="AT62" s="965"/>
      <c r="AU62" s="965"/>
      <c r="AV62" s="965"/>
      <c r="AW62" s="965"/>
      <c r="AX62" s="965"/>
      <c r="AY62" s="965"/>
      <c r="AZ62" s="965"/>
      <c r="BA62" s="965"/>
      <c r="BB62" s="965"/>
      <c r="BC62" s="1091"/>
      <c r="BD62" s="1091"/>
      <c r="BE62" s="1091"/>
      <c r="BF62" s="1091"/>
      <c r="BG62" s="1091"/>
      <c r="BH62" s="1091"/>
      <c r="BI62" s="1091"/>
      <c r="BJ62" s="1091"/>
      <c r="BK62" s="1091"/>
      <c r="BL62" s="1091"/>
      <c r="BM62" s="1150" t="s">
        <v>523</v>
      </c>
      <c r="BO62" s="1073" t="s">
        <v>1185</v>
      </c>
      <c r="BP62" s="965"/>
      <c r="BQ62" s="965"/>
      <c r="BR62" s="965"/>
      <c r="BS62" s="965"/>
      <c r="BT62" s="965"/>
      <c r="BU62" s="965"/>
      <c r="BV62" s="965"/>
      <c r="BW62" s="965"/>
      <c r="BX62" s="965"/>
      <c r="BY62" s="965"/>
      <c r="BZ62" s="965"/>
      <c r="CA62" s="965"/>
      <c r="CB62" s="965"/>
      <c r="CC62" s="965"/>
      <c r="CD62" s="965"/>
      <c r="CE62" s="965"/>
      <c r="CF62" s="965"/>
      <c r="CG62" s="965"/>
      <c r="CH62" s="965"/>
      <c r="CI62" s="965"/>
      <c r="CJ62" s="965"/>
      <c r="CK62" s="965"/>
      <c r="CL62" s="965"/>
      <c r="CM62" s="965"/>
      <c r="CN62" s="965"/>
      <c r="CO62" s="965"/>
      <c r="CP62" s="965"/>
      <c r="CQ62" s="965"/>
      <c r="CR62" s="965"/>
      <c r="CS62" s="965"/>
      <c r="CT62" s="965"/>
      <c r="CU62" s="965"/>
      <c r="CV62" s="965"/>
      <c r="CW62" s="965"/>
      <c r="CX62" s="965"/>
      <c r="CY62" s="965"/>
      <c r="CZ62" s="965"/>
      <c r="DA62" s="965"/>
      <c r="DB62" s="965"/>
      <c r="DC62" s="965"/>
      <c r="DD62" s="965"/>
      <c r="DE62" s="965"/>
      <c r="DF62" s="965"/>
      <c r="DG62" s="965"/>
      <c r="DH62" s="965"/>
      <c r="DI62" s="965"/>
      <c r="DJ62" s="965"/>
      <c r="DK62" s="965"/>
      <c r="DL62" s="965"/>
      <c r="DM62" s="965"/>
      <c r="DN62" s="965"/>
      <c r="DO62" s="965"/>
      <c r="DP62" s="965"/>
    </row>
    <row r="63" ht="21.0" customHeight="1">
      <c r="A63" s="644"/>
      <c r="B63" s="1151" t="s">
        <v>1222</v>
      </c>
      <c r="C63" s="965"/>
      <c r="D63" s="965"/>
      <c r="E63" s="965"/>
      <c r="F63" s="965"/>
      <c r="G63" s="965"/>
      <c r="H63" s="965"/>
      <c r="I63" s="965"/>
      <c r="J63" s="965"/>
      <c r="K63" s="965"/>
      <c r="L63" s="965"/>
      <c r="M63" s="965"/>
      <c r="N63" s="965"/>
      <c r="O63" s="965"/>
      <c r="P63" s="965"/>
      <c r="Q63" s="965"/>
      <c r="R63" s="965"/>
      <c r="S63" s="965"/>
      <c r="T63" s="965"/>
      <c r="U63" s="965"/>
      <c r="V63" s="965"/>
      <c r="W63" s="965"/>
      <c r="X63" s="965"/>
      <c r="Y63" s="965"/>
      <c r="Z63" s="965"/>
      <c r="AA63" s="965"/>
      <c r="AB63" s="965"/>
      <c r="AC63" s="965"/>
      <c r="AD63" s="965"/>
      <c r="AE63" s="965"/>
      <c r="AF63" s="965"/>
      <c r="AG63" s="965"/>
      <c r="AH63" s="965"/>
      <c r="AI63" s="965"/>
      <c r="AJ63" s="965"/>
      <c r="AK63" s="965"/>
      <c r="AL63" s="965"/>
      <c r="AM63" s="965"/>
      <c r="AN63" s="965"/>
      <c r="AO63" s="965"/>
      <c r="AP63" s="965"/>
      <c r="AQ63" s="965"/>
      <c r="AR63" s="965"/>
      <c r="AS63" s="965"/>
      <c r="AT63" s="965"/>
      <c r="AU63" s="965"/>
      <c r="AV63" s="965"/>
      <c r="AW63" s="965"/>
      <c r="AX63" s="965"/>
      <c r="AY63" s="965"/>
      <c r="AZ63" s="965"/>
      <c r="BA63" s="965"/>
      <c r="BB63" s="965"/>
      <c r="BC63" s="1091"/>
      <c r="BD63" s="1091"/>
      <c r="BE63" s="1091"/>
      <c r="BF63" s="1091"/>
      <c r="BG63" s="1091"/>
      <c r="BH63" s="1091"/>
      <c r="BI63" s="1091"/>
      <c r="BJ63" s="1091"/>
      <c r="BK63" s="1091"/>
      <c r="BL63" s="1091"/>
      <c r="BM63" s="1152" t="s">
        <v>1223</v>
      </c>
      <c r="BO63" s="1073" t="s">
        <v>1185</v>
      </c>
      <c r="BP63" s="965"/>
      <c r="BQ63" s="965"/>
      <c r="BR63" s="965"/>
      <c r="BS63" s="965"/>
      <c r="BT63" s="965"/>
      <c r="BU63" s="965"/>
      <c r="BV63" s="965"/>
      <c r="BW63" s="965"/>
      <c r="BX63" s="965"/>
      <c r="BY63" s="965"/>
      <c r="BZ63" s="965"/>
      <c r="CA63" s="965"/>
      <c r="CB63" s="965"/>
      <c r="CC63" s="965"/>
      <c r="CD63" s="965"/>
      <c r="CE63" s="965"/>
      <c r="CF63" s="965"/>
      <c r="CG63" s="965"/>
      <c r="CH63" s="965"/>
      <c r="CI63" s="965"/>
      <c r="CJ63" s="965"/>
      <c r="CK63" s="965"/>
      <c r="CL63" s="965"/>
      <c r="CM63" s="965"/>
      <c r="CN63" s="965"/>
      <c r="CO63" s="965"/>
      <c r="CP63" s="965"/>
      <c r="CQ63" s="965"/>
      <c r="CR63" s="965"/>
      <c r="CS63" s="965"/>
      <c r="CT63" s="965"/>
      <c r="CU63" s="965"/>
      <c r="CV63" s="965"/>
      <c r="CW63" s="965"/>
      <c r="CX63" s="965"/>
      <c r="CY63" s="965"/>
      <c r="CZ63" s="965"/>
      <c r="DA63" s="965"/>
      <c r="DB63" s="965"/>
      <c r="DC63" s="965"/>
      <c r="DD63" s="965"/>
      <c r="DE63" s="965"/>
      <c r="DF63" s="965"/>
      <c r="DG63" s="965"/>
      <c r="DH63" s="965"/>
      <c r="DI63" s="965"/>
      <c r="DJ63" s="965"/>
      <c r="DK63" s="965"/>
      <c r="DL63" s="965"/>
      <c r="DM63" s="965"/>
      <c r="DN63" s="965"/>
      <c r="DO63" s="965"/>
      <c r="DP63" s="965"/>
    </row>
    <row r="64" ht="21.0" customHeight="1">
      <c r="A64" s="644"/>
      <c r="B64" s="1153" t="s">
        <v>1224</v>
      </c>
      <c r="C64" s="965"/>
      <c r="D64" s="965"/>
      <c r="E64" s="965"/>
      <c r="F64" s="965"/>
      <c r="G64" s="965"/>
      <c r="H64" s="965"/>
      <c r="I64" s="965"/>
      <c r="J64" s="965"/>
      <c r="K64" s="965"/>
      <c r="L64" s="965"/>
      <c r="M64" s="965"/>
      <c r="N64" s="965"/>
      <c r="O64" s="965"/>
      <c r="P64" s="965"/>
      <c r="Q64" s="965"/>
      <c r="R64" s="965"/>
      <c r="S64" s="965"/>
      <c r="T64" s="965"/>
      <c r="U64" s="965"/>
      <c r="V64" s="965"/>
      <c r="W64" s="965"/>
      <c r="X64" s="965"/>
      <c r="Y64" s="965"/>
      <c r="Z64" s="965"/>
      <c r="AA64" s="965"/>
      <c r="AB64" s="965"/>
      <c r="AC64" s="965"/>
      <c r="AD64" s="965"/>
      <c r="AE64" s="965"/>
      <c r="AF64" s="965"/>
      <c r="AG64" s="965"/>
      <c r="AH64" s="965"/>
      <c r="AI64" s="965"/>
      <c r="AJ64" s="965"/>
      <c r="AK64" s="965"/>
      <c r="AL64" s="965"/>
      <c r="AM64" s="965"/>
      <c r="AN64" s="965"/>
      <c r="AO64" s="965"/>
      <c r="AP64" s="965"/>
      <c r="AQ64" s="965"/>
      <c r="AR64" s="965"/>
      <c r="AS64" s="965"/>
      <c r="AT64" s="965"/>
      <c r="AU64" s="965"/>
      <c r="AV64" s="965"/>
      <c r="AW64" s="965"/>
      <c r="AX64" s="965"/>
      <c r="AY64" s="965"/>
      <c r="AZ64" s="965"/>
      <c r="BA64" s="965"/>
      <c r="BB64" s="965"/>
      <c r="BC64" s="1091"/>
      <c r="BD64" s="1091"/>
      <c r="BE64" s="1091"/>
      <c r="BF64" s="1091"/>
      <c r="BG64" s="1091"/>
      <c r="BH64" s="1091"/>
      <c r="BI64" s="1091"/>
      <c r="BJ64" s="1091"/>
      <c r="BK64" s="1091"/>
      <c r="BL64" s="1091"/>
      <c r="BM64" s="992" t="s">
        <v>523</v>
      </c>
      <c r="BO64" s="1073" t="s">
        <v>1185</v>
      </c>
      <c r="BP64" s="965"/>
      <c r="BQ64" s="965"/>
      <c r="BR64" s="965"/>
      <c r="BS64" s="965"/>
      <c r="BT64" s="965"/>
      <c r="BU64" s="965"/>
      <c r="BV64" s="965"/>
      <c r="BW64" s="965"/>
      <c r="BX64" s="965"/>
      <c r="BY64" s="965"/>
      <c r="BZ64" s="965"/>
      <c r="CA64" s="965"/>
      <c r="CB64" s="965"/>
      <c r="CC64" s="965"/>
      <c r="CD64" s="965"/>
      <c r="CE64" s="965"/>
      <c r="CF64" s="965"/>
      <c r="CG64" s="965"/>
      <c r="CH64" s="965"/>
      <c r="CI64" s="965"/>
      <c r="CJ64" s="965"/>
      <c r="CK64" s="965"/>
      <c r="CL64" s="965"/>
      <c r="CM64" s="965"/>
      <c r="CN64" s="965"/>
      <c r="CO64" s="965"/>
      <c r="CP64" s="965"/>
      <c r="CQ64" s="965"/>
      <c r="CR64" s="965"/>
      <c r="CS64" s="965"/>
      <c r="CT64" s="965"/>
      <c r="CU64" s="965"/>
      <c r="CV64" s="965"/>
      <c r="CW64" s="965"/>
      <c r="CX64" s="965"/>
      <c r="CY64" s="965"/>
      <c r="CZ64" s="965"/>
      <c r="DA64" s="965"/>
      <c r="DB64" s="965"/>
      <c r="DC64" s="965"/>
      <c r="DD64" s="965"/>
      <c r="DE64" s="965"/>
      <c r="DF64" s="965"/>
      <c r="DG64" s="965"/>
      <c r="DH64" s="965"/>
      <c r="DI64" s="965"/>
      <c r="DJ64" s="965"/>
      <c r="DK64" s="965"/>
      <c r="DL64" s="965"/>
      <c r="DM64" s="965"/>
      <c r="DN64" s="965"/>
      <c r="DO64" s="965"/>
      <c r="DP64" s="965"/>
    </row>
    <row r="65" ht="21.0" customHeight="1">
      <c r="A65" s="644"/>
      <c r="B65" s="1154" t="s">
        <v>522</v>
      </c>
      <c r="C65" s="1155"/>
      <c r="D65" s="1155"/>
      <c r="E65" s="1155"/>
      <c r="F65" s="1155"/>
      <c r="G65" s="1155"/>
      <c r="H65" s="1155"/>
      <c r="I65" s="1155"/>
      <c r="J65" s="1155"/>
      <c r="K65" s="1155"/>
      <c r="L65" s="1155"/>
      <c r="M65" s="1155"/>
      <c r="N65" s="1155"/>
      <c r="O65" s="1155"/>
      <c r="P65" s="1155"/>
      <c r="Q65" s="1155"/>
      <c r="R65" s="1155"/>
      <c r="S65" s="1155"/>
      <c r="T65" s="1155"/>
      <c r="U65" s="1155"/>
      <c r="V65" s="1155"/>
      <c r="W65" s="1155"/>
      <c r="X65" s="1155"/>
      <c r="Y65" s="1155"/>
      <c r="Z65" s="1155"/>
      <c r="AA65" s="1155"/>
      <c r="AB65" s="1155"/>
      <c r="AC65" s="1155"/>
      <c r="AD65" s="1155"/>
      <c r="AE65" s="1155"/>
      <c r="AF65" s="1155"/>
      <c r="AG65" s="1155"/>
      <c r="AH65" s="1155"/>
      <c r="AI65" s="1155"/>
      <c r="AJ65" s="1155"/>
      <c r="AK65" s="1155"/>
      <c r="AL65" s="1155"/>
      <c r="AM65" s="1155"/>
      <c r="AN65" s="1155"/>
      <c r="AO65" s="1155"/>
      <c r="AP65" s="1155"/>
      <c r="AQ65" s="1155"/>
      <c r="AR65" s="1155"/>
      <c r="AS65" s="1155"/>
      <c r="AT65" s="1155"/>
      <c r="AU65" s="1155"/>
      <c r="AV65" s="1155"/>
      <c r="AW65" s="1155"/>
      <c r="AX65" s="1155"/>
      <c r="AY65" s="1155"/>
      <c r="AZ65" s="1155"/>
      <c r="BA65" s="1155"/>
      <c r="BB65" s="1155"/>
      <c r="BC65" s="1155"/>
      <c r="BD65" s="1155"/>
      <c r="BE65" s="1155"/>
      <c r="BF65" s="1155"/>
      <c r="BG65" s="1155"/>
      <c r="BH65" s="1155"/>
      <c r="BI65" s="1155"/>
      <c r="BJ65" s="1155"/>
      <c r="BK65" s="1155"/>
      <c r="BL65" s="1155"/>
      <c r="BM65" s="1156" t="s">
        <v>507</v>
      </c>
      <c r="BP65" s="115"/>
      <c r="BQ65" s="1157" t="s">
        <v>118</v>
      </c>
      <c r="BR65" s="1158" t="s">
        <v>1225</v>
      </c>
      <c r="BU65" s="1073" t="s">
        <v>1226</v>
      </c>
      <c r="BV65" s="1073"/>
      <c r="BW65" s="1155"/>
      <c r="BX65" s="1155"/>
      <c r="BY65" s="1155"/>
      <c r="BZ65" s="1155"/>
      <c r="CA65" s="1155"/>
      <c r="CB65" s="1155"/>
      <c r="CC65" s="1155"/>
      <c r="CD65" s="1155"/>
      <c r="CE65" s="1155"/>
      <c r="CF65" s="1155"/>
      <c r="CG65" s="1155"/>
      <c r="CH65" s="1155"/>
      <c r="CI65" s="1155"/>
      <c r="CJ65" s="1155"/>
      <c r="CK65" s="1155"/>
      <c r="CL65" s="1155"/>
      <c r="CM65" s="1155"/>
      <c r="CN65" s="1155"/>
      <c r="CO65" s="1155"/>
      <c r="CP65" s="1155"/>
      <c r="CQ65" s="1155"/>
      <c r="CR65" s="1155"/>
      <c r="CS65" s="1155"/>
      <c r="CT65" s="1155"/>
      <c r="CU65" s="1155"/>
      <c r="CV65" s="1155"/>
      <c r="CW65" s="1155"/>
      <c r="CX65" s="1155"/>
      <c r="CY65" s="1155"/>
      <c r="CZ65" s="1155"/>
      <c r="DA65" s="1155"/>
      <c r="DB65" s="1155"/>
      <c r="DC65" s="1155"/>
      <c r="DD65" s="1155"/>
      <c r="DE65" s="1155"/>
      <c r="DF65" s="1155"/>
      <c r="DG65" s="1155"/>
      <c r="DH65" s="1155"/>
      <c r="DI65" s="1155"/>
      <c r="DJ65" s="1155"/>
      <c r="DK65" s="1155"/>
      <c r="DL65" s="1155"/>
      <c r="DM65" s="1155"/>
      <c r="DN65" s="1155"/>
      <c r="DO65" s="1155"/>
      <c r="DP65" s="1155"/>
    </row>
    <row r="66" ht="21.0" customHeight="1">
      <c r="A66" s="644"/>
      <c r="B66" s="1159" t="s">
        <v>520</v>
      </c>
      <c r="C66" s="1155"/>
      <c r="D66" s="1155"/>
      <c r="E66" s="1155"/>
      <c r="F66" s="1155"/>
      <c r="G66" s="1155"/>
      <c r="H66" s="1155"/>
      <c r="I66" s="1155"/>
      <c r="J66" s="1155"/>
      <c r="K66" s="1155"/>
      <c r="L66" s="1155"/>
      <c r="M66" s="1155"/>
      <c r="N66" s="1155"/>
      <c r="O66" s="1155"/>
      <c r="P66" s="1155"/>
      <c r="Q66" s="1155"/>
      <c r="R66" s="1155"/>
      <c r="S66" s="1155"/>
      <c r="T66" s="1155"/>
      <c r="U66" s="1155"/>
      <c r="V66" s="1155"/>
      <c r="W66" s="1155"/>
      <c r="X66" s="1155"/>
      <c r="Y66" s="1155"/>
      <c r="Z66" s="1155"/>
      <c r="AA66" s="1155"/>
      <c r="AB66" s="1155"/>
      <c r="AC66" s="1155"/>
      <c r="AD66" s="1155"/>
      <c r="AE66" s="1155"/>
      <c r="AF66" s="1155"/>
      <c r="AG66" s="1155"/>
      <c r="AH66" s="1155"/>
      <c r="AI66" s="1155"/>
      <c r="AJ66" s="1155"/>
      <c r="AK66" s="1155"/>
      <c r="AL66" s="1155"/>
      <c r="AM66" s="1155"/>
      <c r="AN66" s="1155"/>
      <c r="AO66" s="1155"/>
      <c r="AP66" s="1155"/>
      <c r="AQ66" s="1155"/>
      <c r="AR66" s="1155"/>
      <c r="AS66" s="1155"/>
      <c r="AT66" s="1155"/>
      <c r="AU66" s="1155"/>
      <c r="AV66" s="1155"/>
      <c r="AW66" s="1155"/>
      <c r="AX66" s="1155"/>
      <c r="AY66" s="1155"/>
      <c r="AZ66" s="1155"/>
      <c r="BA66" s="1155"/>
      <c r="BB66" s="1155"/>
      <c r="BC66" s="1155"/>
      <c r="BD66" s="1155"/>
      <c r="BE66" s="1155"/>
      <c r="BF66" s="1155"/>
      <c r="BG66" s="1155"/>
      <c r="BH66" s="1155"/>
      <c r="BI66" s="1155"/>
      <c r="BJ66" s="1155"/>
      <c r="BK66" s="1155"/>
      <c r="BL66" s="1155"/>
      <c r="BM66" s="1045" t="s">
        <v>378</v>
      </c>
      <c r="BP66" s="950"/>
      <c r="BQ66" s="975" t="s">
        <v>515</v>
      </c>
      <c r="BU66" s="1073" t="s">
        <v>1227</v>
      </c>
      <c r="BV66" s="1073"/>
      <c r="BW66" s="1155"/>
      <c r="BX66" s="1155"/>
      <c r="BY66" s="1155"/>
      <c r="BZ66" s="1155"/>
      <c r="CA66" s="1155"/>
      <c r="CB66" s="1155"/>
      <c r="CC66" s="1155"/>
      <c r="CD66" s="1155"/>
      <c r="CE66" s="1155"/>
      <c r="CF66" s="1155"/>
      <c r="CG66" s="1155"/>
      <c r="CH66" s="1155"/>
      <c r="CI66" s="1155"/>
      <c r="CJ66" s="1155"/>
      <c r="CK66" s="1155"/>
      <c r="CL66" s="1155"/>
      <c r="CM66" s="1155"/>
      <c r="CN66" s="1155"/>
      <c r="CO66" s="1155"/>
      <c r="CP66" s="1155"/>
      <c r="CQ66" s="1155"/>
      <c r="CR66" s="1155"/>
      <c r="CS66" s="1155"/>
      <c r="CT66" s="1155"/>
      <c r="CU66" s="1155"/>
      <c r="CV66" s="1155"/>
      <c r="CW66" s="1155"/>
      <c r="CX66" s="1155"/>
      <c r="CY66" s="1155"/>
      <c r="CZ66" s="1155"/>
      <c r="DA66" s="1155"/>
      <c r="DB66" s="1155"/>
      <c r="DC66" s="1155"/>
      <c r="DD66" s="1155"/>
      <c r="DE66" s="1155"/>
      <c r="DF66" s="1155"/>
      <c r="DG66" s="1155"/>
      <c r="DH66" s="1155"/>
      <c r="DI66" s="1155"/>
      <c r="DJ66" s="1155"/>
      <c r="DK66" s="1155"/>
      <c r="DL66" s="1155"/>
      <c r="DM66" s="1155"/>
      <c r="DN66" s="1155"/>
      <c r="DO66" s="1155"/>
      <c r="DP66" s="1155"/>
    </row>
    <row r="67" ht="21.0" customHeight="1">
      <c r="A67" s="644"/>
      <c r="B67" s="1160" t="s">
        <v>533</v>
      </c>
      <c r="C67" s="1155"/>
      <c r="D67" s="1155"/>
      <c r="E67" s="1155"/>
      <c r="F67" s="1155"/>
      <c r="G67" s="1155"/>
      <c r="H67" s="1155"/>
      <c r="I67" s="1155"/>
      <c r="J67" s="1155"/>
      <c r="K67" s="1155"/>
      <c r="L67" s="1155"/>
      <c r="M67" s="1155"/>
      <c r="N67" s="1155"/>
      <c r="O67" s="1155"/>
      <c r="P67" s="1155"/>
      <c r="Q67" s="1155"/>
      <c r="R67" s="1155"/>
      <c r="S67" s="1155"/>
      <c r="T67" s="1155"/>
      <c r="U67" s="1155"/>
      <c r="V67" s="1155"/>
      <c r="W67" s="1155"/>
      <c r="X67" s="1155"/>
      <c r="Y67" s="1155"/>
      <c r="Z67" s="1155"/>
      <c r="AA67" s="1155"/>
      <c r="AB67" s="1155"/>
      <c r="AC67" s="1155"/>
      <c r="AD67" s="1155"/>
      <c r="AE67" s="1155"/>
      <c r="AF67" s="1155"/>
      <c r="AG67" s="1155"/>
      <c r="AH67" s="1155"/>
      <c r="AI67" s="1155"/>
      <c r="AJ67" s="1155"/>
      <c r="AK67" s="1155"/>
      <c r="AL67" s="1155"/>
      <c r="AM67" s="1155"/>
      <c r="AN67" s="1155"/>
      <c r="AO67" s="1155"/>
      <c r="AP67" s="1155"/>
      <c r="AQ67" s="1155"/>
      <c r="AR67" s="1155"/>
      <c r="AS67" s="1155"/>
      <c r="AT67" s="1155"/>
      <c r="AU67" s="1155"/>
      <c r="AV67" s="1155"/>
      <c r="AW67" s="1155"/>
      <c r="AX67" s="1155"/>
      <c r="AY67" s="1155"/>
      <c r="AZ67" s="1155"/>
      <c r="BA67" s="1155"/>
      <c r="BB67" s="1155"/>
      <c r="BC67" s="1155"/>
      <c r="BD67" s="1155"/>
      <c r="BE67" s="1155"/>
      <c r="BF67" s="1155"/>
      <c r="BG67" s="1155"/>
      <c r="BH67" s="1155"/>
      <c r="BI67" s="1155"/>
      <c r="BJ67" s="1155"/>
      <c r="BK67" s="1155"/>
      <c r="BL67" s="1155"/>
      <c r="BM67" s="1161" t="s">
        <v>534</v>
      </c>
      <c r="BQ67" s="1162"/>
      <c r="BR67" s="1163" t="s">
        <v>154</v>
      </c>
      <c r="BV67" s="1073" t="s">
        <v>1228</v>
      </c>
      <c r="BW67" s="1155"/>
      <c r="BX67" s="1155"/>
      <c r="BY67" s="1155"/>
      <c r="BZ67" s="1155"/>
      <c r="CA67" s="1155"/>
      <c r="CB67" s="1155"/>
      <c r="CC67" s="1155"/>
      <c r="CD67" s="1155"/>
      <c r="CE67" s="1155"/>
      <c r="CF67" s="1155"/>
      <c r="CG67" s="1155"/>
      <c r="CH67" s="1155"/>
      <c r="CI67" s="1155"/>
      <c r="CJ67" s="1155"/>
      <c r="CK67" s="1155"/>
      <c r="CL67" s="1155"/>
      <c r="CM67" s="1155"/>
      <c r="CN67" s="1155"/>
      <c r="CO67" s="1155"/>
      <c r="CP67" s="1155"/>
      <c r="CQ67" s="1155"/>
      <c r="CR67" s="1155"/>
      <c r="CS67" s="1155"/>
      <c r="CT67" s="1155"/>
      <c r="CU67" s="1155"/>
      <c r="CV67" s="1155"/>
      <c r="CW67" s="1155"/>
      <c r="CX67" s="1155"/>
      <c r="CY67" s="1155"/>
      <c r="CZ67" s="1155"/>
      <c r="DA67" s="1155"/>
      <c r="DB67" s="1155"/>
      <c r="DC67" s="1155"/>
      <c r="DD67" s="1155"/>
      <c r="DE67" s="1155"/>
      <c r="DF67" s="1155"/>
      <c r="DG67" s="1155"/>
      <c r="DH67" s="1155"/>
      <c r="DI67" s="1155"/>
      <c r="DJ67" s="1155"/>
      <c r="DK67" s="1155"/>
      <c r="DL67" s="1155"/>
      <c r="DM67" s="1155"/>
      <c r="DN67" s="1155"/>
      <c r="DO67" s="1155"/>
      <c r="DP67" s="1155"/>
    </row>
    <row r="68" ht="21.0" customHeight="1">
      <c r="A68" s="644"/>
      <c r="B68" s="1164" t="s">
        <v>536</v>
      </c>
      <c r="C68" s="1155"/>
      <c r="D68" s="1155"/>
      <c r="E68" s="1155"/>
      <c r="F68" s="1155"/>
      <c r="G68" s="1155"/>
      <c r="H68" s="1155"/>
      <c r="I68" s="1155"/>
      <c r="J68" s="1155"/>
      <c r="K68" s="1155"/>
      <c r="L68" s="1155"/>
      <c r="M68" s="1155"/>
      <c r="N68" s="1155"/>
      <c r="O68" s="1155"/>
      <c r="P68" s="1155"/>
      <c r="Q68" s="1155"/>
      <c r="R68" s="1155"/>
      <c r="S68" s="1155"/>
      <c r="T68" s="1155"/>
      <c r="U68" s="1155"/>
      <c r="V68" s="1155"/>
      <c r="W68" s="1155"/>
      <c r="X68" s="1155"/>
      <c r="Y68" s="1155"/>
      <c r="Z68" s="1155"/>
      <c r="AA68" s="1155"/>
      <c r="AB68" s="1155"/>
      <c r="AC68" s="1155"/>
      <c r="AD68" s="1155"/>
      <c r="AE68" s="1155"/>
      <c r="AF68" s="1155"/>
      <c r="AG68" s="1155"/>
      <c r="AH68" s="1155"/>
      <c r="AI68" s="1155"/>
      <c r="AJ68" s="1155"/>
      <c r="AK68" s="1155"/>
      <c r="AL68" s="1155"/>
      <c r="AM68" s="1155"/>
      <c r="AN68" s="1155"/>
      <c r="AO68" s="1155"/>
      <c r="AP68" s="1155"/>
      <c r="AQ68" s="1155"/>
      <c r="AR68" s="1155"/>
      <c r="AS68" s="1155"/>
      <c r="AT68" s="1155"/>
      <c r="AU68" s="1155"/>
      <c r="AV68" s="1155"/>
      <c r="AW68" s="1155"/>
      <c r="AX68" s="1155"/>
      <c r="AY68" s="1155"/>
      <c r="AZ68" s="1155"/>
      <c r="BA68" s="1155"/>
      <c r="BB68" s="1155"/>
      <c r="BC68" s="1155"/>
      <c r="BD68" s="1155"/>
      <c r="BE68" s="1155"/>
      <c r="BF68" s="1155"/>
      <c r="BG68" s="1155"/>
      <c r="BH68" s="1155"/>
      <c r="BI68" s="1155"/>
      <c r="BJ68" s="1155"/>
      <c r="BK68" s="1155"/>
      <c r="BL68" s="1155"/>
      <c r="BM68" s="1165" t="s">
        <v>537</v>
      </c>
      <c r="BX68" s="1073" t="s">
        <v>1140</v>
      </c>
      <c r="BY68" s="1155"/>
      <c r="BZ68" s="1155"/>
      <c r="CA68" s="1155"/>
      <c r="CB68" s="1155"/>
      <c r="CC68" s="1155"/>
      <c r="CD68" s="1155"/>
      <c r="CE68" s="1155"/>
      <c r="CF68" s="1155"/>
      <c r="CG68" s="1155"/>
      <c r="CH68" s="1155"/>
      <c r="CI68" s="1155"/>
      <c r="CJ68" s="1155"/>
      <c r="CK68" s="1155"/>
      <c r="CL68" s="1155"/>
      <c r="CM68" s="1155"/>
      <c r="CN68" s="1155"/>
      <c r="CO68" s="1155"/>
      <c r="CP68" s="1155"/>
      <c r="CQ68" s="1155"/>
      <c r="CR68" s="1155"/>
      <c r="CS68" s="1155"/>
      <c r="CT68" s="1155"/>
      <c r="CU68" s="1155"/>
      <c r="CV68" s="1155"/>
      <c r="CW68" s="1155"/>
      <c r="CX68" s="1155"/>
      <c r="CY68" s="1155"/>
      <c r="CZ68" s="1155"/>
      <c r="DA68" s="1155"/>
      <c r="DB68" s="1155"/>
      <c r="DC68" s="1155"/>
      <c r="DD68" s="1155"/>
      <c r="DE68" s="1155"/>
      <c r="DF68" s="1155"/>
      <c r="DG68" s="1155"/>
      <c r="DH68" s="1155"/>
      <c r="DI68" s="1155"/>
      <c r="DJ68" s="1155"/>
      <c r="DK68" s="1155"/>
      <c r="DL68" s="1155"/>
      <c r="DM68" s="1155"/>
      <c r="DN68" s="1155"/>
      <c r="DO68" s="1155"/>
      <c r="DP68" s="1155"/>
    </row>
    <row r="69" ht="21.0" customHeight="1">
      <c r="A69" s="644"/>
      <c r="B69" s="1166" t="s">
        <v>597</v>
      </c>
      <c r="C69" s="1155"/>
      <c r="D69" s="1155"/>
      <c r="E69" s="1155"/>
      <c r="F69" s="1155"/>
      <c r="G69" s="1155"/>
      <c r="H69" s="1155"/>
      <c r="I69" s="1155"/>
      <c r="J69" s="1155"/>
      <c r="K69" s="1155"/>
      <c r="L69" s="1155"/>
      <c r="M69" s="1155"/>
      <c r="N69" s="1155"/>
      <c r="O69" s="1155"/>
      <c r="P69" s="1155"/>
      <c r="Q69" s="1155"/>
      <c r="R69" s="1155"/>
      <c r="S69" s="1155"/>
      <c r="T69" s="1155"/>
      <c r="U69" s="1155"/>
      <c r="V69" s="1155"/>
      <c r="W69" s="1155"/>
      <c r="X69" s="1155"/>
      <c r="Y69" s="1155"/>
      <c r="Z69" s="1155"/>
      <c r="AA69" s="1155"/>
      <c r="AB69" s="1155"/>
      <c r="AC69" s="1155"/>
      <c r="AD69" s="1155"/>
      <c r="AE69" s="1155"/>
      <c r="AF69" s="1155"/>
      <c r="AG69" s="1155"/>
      <c r="AH69" s="1155"/>
      <c r="AI69" s="1155"/>
      <c r="AJ69" s="1155"/>
      <c r="AK69" s="1155"/>
      <c r="AL69" s="1155"/>
      <c r="AM69" s="1155"/>
      <c r="AN69" s="1155"/>
      <c r="AO69" s="1155"/>
      <c r="AP69" s="1155"/>
      <c r="AQ69" s="1155"/>
      <c r="AR69" s="1155"/>
      <c r="AS69" s="1155"/>
      <c r="AT69" s="1155"/>
      <c r="AU69" s="1155"/>
      <c r="AV69" s="1155"/>
      <c r="AW69" s="1155"/>
      <c r="AX69" s="1155"/>
      <c r="AY69" s="1155"/>
      <c r="AZ69" s="1155"/>
      <c r="BA69" s="1155"/>
      <c r="BB69" s="1155"/>
      <c r="BC69" s="1155"/>
      <c r="BD69" s="1155"/>
      <c r="BE69" s="1155"/>
      <c r="BF69" s="1155"/>
      <c r="BG69" s="1155"/>
      <c r="BH69" s="1155"/>
      <c r="BI69" s="1155"/>
      <c r="BJ69" s="1155"/>
      <c r="BK69" s="1155"/>
      <c r="BL69" s="1155"/>
      <c r="BM69" s="1155"/>
      <c r="BN69" s="1155"/>
      <c r="BO69" s="1155"/>
      <c r="BP69" s="1155"/>
      <c r="BQ69" s="1155"/>
      <c r="BR69" s="1155"/>
      <c r="BS69" s="1155"/>
      <c r="BT69" s="1155"/>
      <c r="BU69" s="1058" t="s">
        <v>1229</v>
      </c>
      <c r="BV69" s="1016" t="s">
        <v>378</v>
      </c>
      <c r="BY69" s="1073" t="s">
        <v>1230</v>
      </c>
      <c r="BZ69" s="1073"/>
      <c r="CA69" s="1155"/>
      <c r="CB69" s="1155"/>
      <c r="CC69" s="1155"/>
      <c r="CD69" s="1155"/>
      <c r="CE69" s="1155"/>
      <c r="CF69" s="1155"/>
      <c r="CG69" s="1155"/>
      <c r="CH69" s="1155"/>
      <c r="CI69" s="1155"/>
      <c r="CJ69" s="1155"/>
      <c r="CK69" s="1155"/>
      <c r="CL69" s="1155"/>
      <c r="CM69" s="1155"/>
      <c r="CN69" s="1155"/>
      <c r="CO69" s="1155"/>
      <c r="CP69" s="1155"/>
      <c r="CQ69" s="1155"/>
      <c r="CR69" s="1155"/>
      <c r="CS69" s="1155"/>
      <c r="CT69" s="1155"/>
      <c r="CU69" s="1155"/>
      <c r="CV69" s="1155"/>
      <c r="CW69" s="1155"/>
      <c r="CX69" s="1155"/>
      <c r="CY69" s="1155"/>
      <c r="CZ69" s="1155"/>
      <c r="DA69" s="1155"/>
      <c r="DB69" s="1155"/>
      <c r="DC69" s="1155"/>
      <c r="DD69" s="1155"/>
      <c r="DE69" s="1155"/>
      <c r="DF69" s="1155"/>
      <c r="DG69" s="1155"/>
      <c r="DH69" s="1155"/>
      <c r="DI69" s="1155"/>
      <c r="DJ69" s="1155"/>
      <c r="DK69" s="1155"/>
      <c r="DL69" s="1155"/>
      <c r="DM69" s="1155"/>
      <c r="DN69" s="1155"/>
      <c r="DO69" s="1155"/>
      <c r="DP69" s="1155"/>
    </row>
    <row r="70" ht="21.0" customHeight="1">
      <c r="A70" s="644"/>
      <c r="B70" s="1127" t="s">
        <v>528</v>
      </c>
      <c r="C70" s="1155"/>
      <c r="D70" s="1155"/>
      <c r="E70" s="1155"/>
      <c r="F70" s="1155"/>
      <c r="G70" s="1155"/>
      <c r="H70" s="1155"/>
      <c r="I70" s="1155"/>
      <c r="J70" s="1155"/>
      <c r="K70" s="1155"/>
      <c r="L70" s="1155"/>
      <c r="M70" s="1155"/>
      <c r="N70" s="1155"/>
      <c r="O70" s="1155"/>
      <c r="P70" s="1155"/>
      <c r="Q70" s="1155"/>
      <c r="R70" s="1155"/>
      <c r="S70" s="1155"/>
      <c r="T70" s="1155"/>
      <c r="U70" s="1155"/>
      <c r="V70" s="1155"/>
      <c r="W70" s="1155"/>
      <c r="X70" s="1155"/>
      <c r="Y70" s="1155"/>
      <c r="Z70" s="1155"/>
      <c r="AA70" s="1155"/>
      <c r="AB70" s="1155"/>
      <c r="AC70" s="1155"/>
      <c r="AD70" s="1155"/>
      <c r="AE70" s="1155"/>
      <c r="AF70" s="1155"/>
      <c r="AG70" s="1155"/>
      <c r="AH70" s="1155"/>
      <c r="AI70" s="1155"/>
      <c r="AJ70" s="1155"/>
      <c r="AK70" s="1155"/>
      <c r="AL70" s="1155"/>
      <c r="AM70" s="1155"/>
      <c r="AN70" s="1155"/>
      <c r="AO70" s="1155"/>
      <c r="AP70" s="1155"/>
      <c r="AQ70" s="1155"/>
      <c r="AR70" s="1155"/>
      <c r="AS70" s="1155"/>
      <c r="AT70" s="1155"/>
      <c r="AU70" s="1155"/>
      <c r="AV70" s="1155"/>
      <c r="AW70" s="1155"/>
      <c r="AX70" s="1155"/>
      <c r="AY70" s="1155"/>
      <c r="AZ70" s="1155"/>
      <c r="BA70" s="1155"/>
      <c r="BB70" s="1155"/>
      <c r="BC70" s="1155"/>
      <c r="BD70" s="1155"/>
      <c r="BE70" s="1155"/>
      <c r="BF70" s="1155"/>
      <c r="BG70" s="1155"/>
      <c r="BH70" s="1155"/>
      <c r="BI70" s="1155"/>
      <c r="BJ70" s="1155"/>
      <c r="BK70" s="1155"/>
      <c r="BL70" s="1155"/>
      <c r="BM70" s="1040" t="s">
        <v>529</v>
      </c>
      <c r="BP70" s="115"/>
      <c r="BQ70" s="1167" t="s">
        <v>1231</v>
      </c>
      <c r="BY70" s="1073" t="s">
        <v>1230</v>
      </c>
      <c r="BZ70" s="1073"/>
      <c r="CA70" s="1155"/>
      <c r="CB70" s="1155"/>
      <c r="CC70" s="1155"/>
      <c r="CD70" s="1155"/>
      <c r="CE70" s="1155"/>
      <c r="CF70" s="1155"/>
      <c r="CG70" s="1155"/>
      <c r="CH70" s="1155"/>
      <c r="CI70" s="1155"/>
      <c r="CJ70" s="1155"/>
      <c r="CK70" s="1155"/>
      <c r="CL70" s="1155"/>
      <c r="CM70" s="1155"/>
      <c r="CN70" s="1155"/>
      <c r="CO70" s="1155"/>
      <c r="CP70" s="1155"/>
      <c r="CQ70" s="1155"/>
      <c r="CR70" s="1155"/>
      <c r="CS70" s="1155"/>
      <c r="CT70" s="1155"/>
      <c r="CU70" s="1155"/>
      <c r="CV70" s="1155"/>
      <c r="CW70" s="1155"/>
      <c r="CX70" s="1155"/>
      <c r="CY70" s="1155"/>
      <c r="CZ70" s="1155"/>
      <c r="DA70" s="1155"/>
      <c r="DB70" s="1155"/>
      <c r="DC70" s="1155"/>
      <c r="DD70" s="1155"/>
      <c r="DE70" s="1155"/>
      <c r="DF70" s="1155"/>
      <c r="DG70" s="1155"/>
      <c r="DH70" s="1155"/>
      <c r="DI70" s="1155"/>
      <c r="DJ70" s="1155"/>
      <c r="DK70" s="1155"/>
      <c r="DL70" s="1155"/>
      <c r="DM70" s="1155"/>
      <c r="DN70" s="1155"/>
      <c r="DO70" s="1155"/>
      <c r="DP70" s="1155"/>
    </row>
    <row r="71" ht="21.0" customHeight="1">
      <c r="A71" s="644"/>
      <c r="B71" s="1168" t="s">
        <v>1232</v>
      </c>
      <c r="C71" s="1155"/>
      <c r="D71" s="1155"/>
      <c r="E71" s="1155"/>
      <c r="F71" s="1155"/>
      <c r="G71" s="1155"/>
      <c r="H71" s="1155"/>
      <c r="I71" s="1155"/>
      <c r="J71" s="1155"/>
      <c r="K71" s="1155"/>
      <c r="L71" s="1155"/>
      <c r="M71" s="1155"/>
      <c r="N71" s="1155"/>
      <c r="O71" s="1155"/>
      <c r="P71" s="1155"/>
      <c r="Q71" s="1155"/>
      <c r="R71" s="1155"/>
      <c r="S71" s="1155"/>
      <c r="T71" s="1155"/>
      <c r="U71" s="1155"/>
      <c r="V71" s="1155"/>
      <c r="W71" s="1155"/>
      <c r="X71" s="1155"/>
      <c r="Y71" s="1155"/>
      <c r="Z71" s="1155"/>
      <c r="AA71" s="1155"/>
      <c r="AB71" s="1155"/>
      <c r="AC71" s="1155"/>
      <c r="AD71" s="1155"/>
      <c r="AE71" s="1155"/>
      <c r="AF71" s="1155"/>
      <c r="AG71" s="1155"/>
      <c r="AH71" s="1155"/>
      <c r="AI71" s="1155"/>
      <c r="AJ71" s="1155"/>
      <c r="AK71" s="1155"/>
      <c r="AL71" s="1155"/>
      <c r="AM71" s="1155"/>
      <c r="AN71" s="1155"/>
      <c r="AO71" s="1155"/>
      <c r="AP71" s="1155"/>
      <c r="AQ71" s="1155"/>
      <c r="AR71" s="1155"/>
      <c r="AS71" s="1155"/>
      <c r="AT71" s="1155"/>
      <c r="AU71" s="1155"/>
      <c r="AV71" s="1155"/>
      <c r="AW71" s="1155"/>
      <c r="AX71" s="1155"/>
      <c r="AY71" s="1155"/>
      <c r="AZ71" s="1155"/>
      <c r="BA71" s="1155"/>
      <c r="BB71" s="1155"/>
      <c r="BC71" s="1155"/>
      <c r="BD71" s="1155"/>
      <c r="BE71" s="1155"/>
      <c r="BF71" s="1155"/>
      <c r="BG71" s="1155"/>
      <c r="BH71" s="1155"/>
      <c r="BI71" s="1155"/>
      <c r="BJ71" s="1155"/>
      <c r="BK71" s="1155"/>
      <c r="BL71" s="1155"/>
      <c r="BM71" s="1155"/>
      <c r="BN71" s="1155"/>
      <c r="BO71" s="1155"/>
      <c r="BP71" s="1155"/>
      <c r="BQ71" s="1155"/>
      <c r="BR71" s="1155"/>
      <c r="BS71" s="1155"/>
      <c r="BT71" s="1155"/>
      <c r="BU71" s="1155"/>
      <c r="BV71" s="1073"/>
      <c r="BW71" s="1169" t="s">
        <v>1233</v>
      </c>
      <c r="BZ71" s="1073" t="s">
        <v>1177</v>
      </c>
      <c r="CA71" s="1155"/>
      <c r="CB71" s="1155"/>
      <c r="CC71" s="1155"/>
      <c r="CD71" s="1155"/>
      <c r="CE71" s="1155"/>
      <c r="CF71" s="1155"/>
      <c r="CG71" s="1155"/>
      <c r="CH71" s="1155"/>
      <c r="CI71" s="1155"/>
      <c r="CJ71" s="1155"/>
      <c r="CK71" s="1155"/>
      <c r="CL71" s="1155"/>
      <c r="CM71" s="1155"/>
      <c r="CN71" s="1155"/>
      <c r="CO71" s="1155"/>
      <c r="CP71" s="1155"/>
      <c r="CQ71" s="1155"/>
      <c r="CR71" s="1155"/>
      <c r="CS71" s="1155"/>
      <c r="CT71" s="1155"/>
      <c r="CU71" s="1155"/>
      <c r="CV71" s="1155"/>
      <c r="CW71" s="1155"/>
      <c r="CX71" s="1155"/>
      <c r="CY71" s="1155"/>
      <c r="CZ71" s="1155"/>
      <c r="DA71" s="1155"/>
      <c r="DB71" s="1155"/>
      <c r="DC71" s="1155"/>
      <c r="DD71" s="1155"/>
      <c r="DE71" s="1155"/>
      <c r="DF71" s="1155"/>
      <c r="DG71" s="1155"/>
      <c r="DH71" s="1155"/>
      <c r="DI71" s="1155"/>
      <c r="DJ71" s="1155"/>
      <c r="DK71" s="1155"/>
      <c r="DL71" s="1155"/>
      <c r="DM71" s="1155"/>
      <c r="DN71" s="1155"/>
      <c r="DO71" s="1155"/>
      <c r="DP71" s="1155"/>
    </row>
    <row r="72" ht="21.0" customHeight="1">
      <c r="A72" s="644"/>
      <c r="B72" s="1170" t="s">
        <v>524</v>
      </c>
      <c r="C72" s="1155"/>
      <c r="D72" s="1155"/>
      <c r="E72" s="1155"/>
      <c r="F72" s="1155"/>
      <c r="G72" s="1155"/>
      <c r="H72" s="1155"/>
      <c r="I72" s="1155"/>
      <c r="J72" s="1155"/>
      <c r="K72" s="1155"/>
      <c r="L72" s="1155"/>
      <c r="M72" s="1155"/>
      <c r="N72" s="1155"/>
      <c r="O72" s="1155"/>
      <c r="P72" s="1155"/>
      <c r="Q72" s="1155"/>
      <c r="R72" s="1155"/>
      <c r="S72" s="1155"/>
      <c r="T72" s="1155"/>
      <c r="U72" s="1155"/>
      <c r="V72" s="1155"/>
      <c r="W72" s="1155"/>
      <c r="X72" s="1155"/>
      <c r="Y72" s="1155"/>
      <c r="Z72" s="1155"/>
      <c r="AA72" s="1155"/>
      <c r="AB72" s="1155"/>
      <c r="AC72" s="1155"/>
      <c r="AD72" s="1155"/>
      <c r="AE72" s="1155"/>
      <c r="AF72" s="1155"/>
      <c r="AG72" s="1155"/>
      <c r="AH72" s="1155"/>
      <c r="AI72" s="1155"/>
      <c r="AJ72" s="1155"/>
      <c r="AK72" s="1155"/>
      <c r="AL72" s="1155"/>
      <c r="AM72" s="1155"/>
      <c r="AN72" s="1155"/>
      <c r="AO72" s="1155"/>
      <c r="AP72" s="1155"/>
      <c r="AQ72" s="1155"/>
      <c r="AR72" s="1155"/>
      <c r="AS72" s="1155"/>
      <c r="AT72" s="1155"/>
      <c r="AU72" s="1155"/>
      <c r="AV72" s="1155"/>
      <c r="AW72" s="1155"/>
      <c r="AX72" s="1155"/>
      <c r="AY72" s="1155"/>
      <c r="AZ72" s="1155"/>
      <c r="BA72" s="1155"/>
      <c r="BB72" s="1155"/>
      <c r="BC72" s="1155"/>
      <c r="BD72" s="1155"/>
      <c r="BE72" s="1155"/>
      <c r="BF72" s="1155"/>
      <c r="BG72" s="1155"/>
      <c r="BH72" s="1155"/>
      <c r="BI72" s="1155"/>
      <c r="BJ72" s="1155"/>
      <c r="BK72" s="1155"/>
      <c r="BL72" s="1155"/>
      <c r="BM72" s="1171" t="s">
        <v>525</v>
      </c>
      <c r="BT72" s="115"/>
      <c r="BU72" s="1172" t="s">
        <v>523</v>
      </c>
      <c r="BV72" s="115"/>
      <c r="BW72" s="1173" t="s">
        <v>299</v>
      </c>
      <c r="CA72" s="1073" t="s">
        <v>1185</v>
      </c>
      <c r="CJ72" s="1155"/>
      <c r="CK72" s="1155"/>
      <c r="CL72" s="1155"/>
      <c r="CM72" s="1155"/>
      <c r="CN72" s="1155"/>
      <c r="CO72" s="1155"/>
      <c r="CP72" s="1155"/>
      <c r="CQ72" s="1155"/>
      <c r="CR72" s="1155"/>
      <c r="CS72" s="1155"/>
      <c r="CT72" s="1155"/>
      <c r="CU72" s="1155"/>
      <c r="CV72" s="1155"/>
      <c r="CW72" s="1155"/>
      <c r="CX72" s="1155"/>
      <c r="CY72" s="1155"/>
      <c r="CZ72" s="1155"/>
      <c r="DA72" s="1155"/>
      <c r="DB72" s="1155"/>
      <c r="DC72" s="1155"/>
      <c r="DD72" s="1155"/>
      <c r="DE72" s="1155"/>
      <c r="DF72" s="1155"/>
      <c r="DG72" s="1155"/>
      <c r="DH72" s="1155"/>
      <c r="DI72" s="1155"/>
      <c r="DJ72" s="1155"/>
      <c r="DK72" s="1155"/>
      <c r="DL72" s="1155"/>
      <c r="DM72" s="1155"/>
      <c r="DN72" s="1155"/>
      <c r="DO72" s="1155"/>
      <c r="DP72" s="1155"/>
    </row>
    <row r="73" ht="21.0" customHeight="1">
      <c r="A73" s="644"/>
      <c r="B73" s="1174" t="s">
        <v>526</v>
      </c>
      <c r="C73" s="1155"/>
      <c r="D73" s="1155"/>
      <c r="E73" s="1155"/>
      <c r="F73" s="1155"/>
      <c r="G73" s="1155"/>
      <c r="H73" s="1155"/>
      <c r="I73" s="1155"/>
      <c r="J73" s="1155"/>
      <c r="K73" s="1155"/>
      <c r="L73" s="1155"/>
      <c r="M73" s="1155"/>
      <c r="N73" s="1155"/>
      <c r="O73" s="1155"/>
      <c r="P73" s="1155"/>
      <c r="Q73" s="1155"/>
      <c r="R73" s="1155"/>
      <c r="S73" s="1155"/>
      <c r="T73" s="1155"/>
      <c r="U73" s="1155"/>
      <c r="V73" s="1155"/>
      <c r="W73" s="1155"/>
      <c r="X73" s="1155"/>
      <c r="Y73" s="1155"/>
      <c r="Z73" s="1155"/>
      <c r="AA73" s="1155"/>
      <c r="AB73" s="1155"/>
      <c r="AC73" s="1155"/>
      <c r="AD73" s="1155"/>
      <c r="AE73" s="1155"/>
      <c r="AF73" s="1155"/>
      <c r="AG73" s="1155"/>
      <c r="AH73" s="1155"/>
      <c r="AI73" s="1155"/>
      <c r="AJ73" s="1155"/>
      <c r="AK73" s="1155"/>
      <c r="AL73" s="1155"/>
      <c r="AM73" s="1155"/>
      <c r="AN73" s="1155"/>
      <c r="AO73" s="1155"/>
      <c r="AP73" s="1155"/>
      <c r="AQ73" s="1155"/>
      <c r="AR73" s="1155"/>
      <c r="AS73" s="1155"/>
      <c r="AT73" s="1155"/>
      <c r="AU73" s="1155"/>
      <c r="AV73" s="1155"/>
      <c r="AW73" s="1155"/>
      <c r="AX73" s="1155"/>
      <c r="AY73" s="1155"/>
      <c r="AZ73" s="1155"/>
      <c r="BA73" s="1155"/>
      <c r="BB73" s="1155"/>
      <c r="BC73" s="1155"/>
      <c r="BD73" s="1155"/>
      <c r="BE73" s="1155"/>
      <c r="BF73" s="1155"/>
      <c r="BG73" s="1155"/>
      <c r="BH73" s="1155"/>
      <c r="BI73" s="1155"/>
      <c r="BJ73" s="1155"/>
      <c r="BK73" s="1155"/>
      <c r="BL73" s="1155"/>
      <c r="BM73" s="1175" t="s">
        <v>527</v>
      </c>
      <c r="CA73" s="1073" t="s">
        <v>1185</v>
      </c>
      <c r="CJ73" s="1155"/>
      <c r="CK73" s="1155"/>
      <c r="CL73" s="1155"/>
      <c r="CM73" s="1155"/>
      <c r="CN73" s="1155"/>
      <c r="CO73" s="1155"/>
      <c r="CP73" s="1155"/>
      <c r="CQ73" s="1155"/>
      <c r="CR73" s="1155"/>
      <c r="CS73" s="1155"/>
      <c r="CT73" s="1155"/>
      <c r="CU73" s="1155"/>
      <c r="CV73" s="1155"/>
      <c r="CW73" s="1155"/>
      <c r="CX73" s="1155"/>
      <c r="CY73" s="1155"/>
      <c r="CZ73" s="1155"/>
      <c r="DA73" s="1155"/>
      <c r="DB73" s="1155"/>
      <c r="DC73" s="1155"/>
      <c r="DD73" s="1155"/>
      <c r="DE73" s="1155"/>
      <c r="DF73" s="1155"/>
      <c r="DG73" s="1155"/>
      <c r="DH73" s="1155"/>
      <c r="DI73" s="1155"/>
      <c r="DJ73" s="1155"/>
      <c r="DK73" s="1155"/>
      <c r="DL73" s="1155"/>
      <c r="DM73" s="1155"/>
      <c r="DN73" s="1155"/>
      <c r="DO73" s="1155"/>
      <c r="DP73" s="1155"/>
    </row>
    <row r="74" ht="21.0" customHeight="1">
      <c r="A74" s="644"/>
      <c r="B74" s="1176" t="s">
        <v>531</v>
      </c>
      <c r="C74" s="1155"/>
      <c r="D74" s="1155"/>
      <c r="E74" s="1155"/>
      <c r="F74" s="1155"/>
      <c r="G74" s="1155"/>
      <c r="H74" s="1155"/>
      <c r="I74" s="1155"/>
      <c r="J74" s="1155"/>
      <c r="K74" s="1155"/>
      <c r="L74" s="1155"/>
      <c r="M74" s="1155"/>
      <c r="N74" s="1155"/>
      <c r="O74" s="1155"/>
      <c r="P74" s="1155"/>
      <c r="Q74" s="1155"/>
      <c r="R74" s="1155"/>
      <c r="S74" s="1155"/>
      <c r="T74" s="1155"/>
      <c r="U74" s="1155"/>
      <c r="V74" s="1155"/>
      <c r="W74" s="1155"/>
      <c r="X74" s="1155"/>
      <c r="Y74" s="1155"/>
      <c r="Z74" s="1155"/>
      <c r="AA74" s="1155"/>
      <c r="AB74" s="1155"/>
      <c r="AC74" s="1155"/>
      <c r="AD74" s="1155"/>
      <c r="AE74" s="1155"/>
      <c r="AF74" s="1155"/>
      <c r="AG74" s="1155"/>
      <c r="AH74" s="1155"/>
      <c r="AI74" s="1155"/>
      <c r="AJ74" s="1155"/>
      <c r="AK74" s="1155"/>
      <c r="AL74" s="1155"/>
      <c r="AM74" s="1155"/>
      <c r="AN74" s="1155"/>
      <c r="AO74" s="1155"/>
      <c r="AP74" s="1155"/>
      <c r="AQ74" s="1155"/>
      <c r="AR74" s="1155"/>
      <c r="AS74" s="1155"/>
      <c r="AT74" s="1155"/>
      <c r="AU74" s="1155"/>
      <c r="AV74" s="1155"/>
      <c r="AW74" s="1155"/>
      <c r="AX74" s="1155"/>
      <c r="AY74" s="1155"/>
      <c r="AZ74" s="1155"/>
      <c r="BA74" s="1155"/>
      <c r="BB74" s="1155"/>
      <c r="BC74" s="1155"/>
      <c r="BD74" s="1155"/>
      <c r="BE74" s="1155"/>
      <c r="BF74" s="1155"/>
      <c r="BG74" s="1155"/>
      <c r="BH74" s="1155"/>
      <c r="BI74" s="1155"/>
      <c r="BJ74" s="1155"/>
      <c r="BK74" s="1155"/>
      <c r="BL74" s="1155"/>
      <c r="BM74" s="1177" t="s">
        <v>532</v>
      </c>
      <c r="CA74" s="1073" t="s">
        <v>1185</v>
      </c>
      <c r="CJ74" s="1155"/>
      <c r="CK74" s="1155"/>
      <c r="CL74" s="1155"/>
      <c r="CM74" s="1155"/>
      <c r="CN74" s="1155"/>
      <c r="CO74" s="1155"/>
      <c r="CP74" s="1155"/>
      <c r="CQ74" s="1155"/>
      <c r="CR74" s="1155"/>
      <c r="CS74" s="1155"/>
      <c r="CT74" s="1155"/>
      <c r="CU74" s="1155"/>
      <c r="CV74" s="1155"/>
      <c r="CW74" s="1155"/>
      <c r="CX74" s="1155"/>
      <c r="CY74" s="1155"/>
      <c r="CZ74" s="1155"/>
      <c r="DA74" s="1155"/>
      <c r="DB74" s="1155"/>
      <c r="DC74" s="1155"/>
      <c r="DD74" s="1155"/>
      <c r="DE74" s="1155"/>
      <c r="DF74" s="1155"/>
      <c r="DG74" s="1155"/>
      <c r="DH74" s="1155"/>
      <c r="DI74" s="1155"/>
      <c r="DJ74" s="1155"/>
      <c r="DK74" s="1155"/>
      <c r="DL74" s="1155"/>
      <c r="DM74" s="1155"/>
      <c r="DN74" s="1155"/>
      <c r="DO74" s="1155"/>
      <c r="DP74" s="1155"/>
    </row>
    <row r="75" ht="21.0" customHeight="1">
      <c r="A75" s="644"/>
      <c r="B75" s="1178" t="s">
        <v>518</v>
      </c>
      <c r="C75" s="1155"/>
      <c r="D75" s="1155"/>
      <c r="E75" s="1155"/>
      <c r="F75" s="1155"/>
      <c r="G75" s="1155"/>
      <c r="H75" s="1155"/>
      <c r="I75" s="1155"/>
      <c r="J75" s="1155"/>
      <c r="K75" s="1155"/>
      <c r="L75" s="1155"/>
      <c r="M75" s="1155"/>
      <c r="N75" s="1155"/>
      <c r="O75" s="1155"/>
      <c r="P75" s="1155"/>
      <c r="Q75" s="1155"/>
      <c r="R75" s="1155"/>
      <c r="S75" s="1155"/>
      <c r="T75" s="1155"/>
      <c r="U75" s="1155"/>
      <c r="V75" s="1155"/>
      <c r="W75" s="1155"/>
      <c r="X75" s="1155"/>
      <c r="Y75" s="1155"/>
      <c r="Z75" s="1155"/>
      <c r="AA75" s="1155"/>
      <c r="AB75" s="1155"/>
      <c r="AC75" s="1155"/>
      <c r="AD75" s="1155"/>
      <c r="AE75" s="1155"/>
      <c r="AF75" s="1155"/>
      <c r="AG75" s="1155"/>
      <c r="AH75" s="1155"/>
      <c r="AI75" s="1155"/>
      <c r="AJ75" s="1155"/>
      <c r="AK75" s="1155"/>
      <c r="AL75" s="1155"/>
      <c r="AM75" s="1155"/>
      <c r="AN75" s="1155"/>
      <c r="AO75" s="1155"/>
      <c r="AP75" s="1155"/>
      <c r="AQ75" s="1155"/>
      <c r="AR75" s="1155"/>
      <c r="AS75" s="1155"/>
      <c r="AT75" s="1155"/>
      <c r="AU75" s="1155"/>
      <c r="AV75" s="1155"/>
      <c r="AW75" s="1155"/>
      <c r="AX75" s="1155"/>
      <c r="AY75" s="1155"/>
      <c r="AZ75" s="1155"/>
      <c r="BA75" s="1155"/>
      <c r="BB75" s="1155"/>
      <c r="BC75" s="1155"/>
      <c r="BD75" s="1155"/>
      <c r="BE75" s="1155"/>
      <c r="BF75" s="1155"/>
      <c r="BG75" s="1155"/>
      <c r="BH75" s="1155"/>
      <c r="BI75" s="1155"/>
      <c r="BJ75" s="1155"/>
      <c r="BK75" s="1155"/>
      <c r="BL75" s="1155"/>
      <c r="BM75" s="988" t="s">
        <v>501</v>
      </c>
      <c r="BY75" s="950"/>
      <c r="BZ75" s="1179" t="s">
        <v>523</v>
      </c>
      <c r="CB75" s="1073" t="s">
        <v>1234</v>
      </c>
      <c r="CC75" s="1155"/>
      <c r="CD75" s="1155"/>
      <c r="CE75" s="1155"/>
      <c r="CF75" s="1155"/>
      <c r="CG75" s="1155"/>
      <c r="CH75" s="1155"/>
      <c r="CI75" s="1155"/>
      <c r="CJ75" s="1155"/>
      <c r="CK75" s="1155"/>
      <c r="CL75" s="1155"/>
      <c r="CM75" s="1155"/>
      <c r="CN75" s="1155"/>
      <c r="CO75" s="1155"/>
      <c r="CP75" s="1155"/>
      <c r="CQ75" s="1155"/>
      <c r="CR75" s="1155"/>
      <c r="CS75" s="1155"/>
      <c r="CT75" s="1155"/>
      <c r="CU75" s="1155"/>
      <c r="CV75" s="1155"/>
      <c r="CW75" s="1155"/>
      <c r="CX75" s="1155"/>
      <c r="CY75" s="1155"/>
      <c r="CZ75" s="1155"/>
      <c r="DA75" s="1155"/>
      <c r="DB75" s="1155"/>
      <c r="DC75" s="1155"/>
      <c r="DD75" s="1155"/>
      <c r="DE75" s="1155"/>
      <c r="DF75" s="1155"/>
      <c r="DG75" s="1155"/>
      <c r="DH75" s="1155"/>
      <c r="DI75" s="1155"/>
      <c r="DJ75" s="1155"/>
      <c r="DK75" s="1155"/>
      <c r="DL75" s="1155"/>
      <c r="DM75" s="1155"/>
      <c r="DN75" s="1155"/>
      <c r="DO75" s="1155"/>
      <c r="DP75" s="1155"/>
    </row>
    <row r="76" ht="21.0" customHeight="1">
      <c r="A76" s="644"/>
      <c r="B76" s="1180" t="s">
        <v>519</v>
      </c>
      <c r="C76" s="1155"/>
      <c r="D76" s="1155"/>
      <c r="E76" s="1155"/>
      <c r="F76" s="1155"/>
      <c r="G76" s="1155"/>
      <c r="H76" s="1155"/>
      <c r="I76" s="1155"/>
      <c r="J76" s="1155"/>
      <c r="K76" s="1155"/>
      <c r="L76" s="1155"/>
      <c r="M76" s="1155"/>
      <c r="N76" s="1155"/>
      <c r="O76" s="1155"/>
      <c r="P76" s="1155"/>
      <c r="Q76" s="1155"/>
      <c r="R76" s="1155"/>
      <c r="S76" s="1155"/>
      <c r="T76" s="1155"/>
      <c r="U76" s="1155"/>
      <c r="V76" s="1155"/>
      <c r="W76" s="1155"/>
      <c r="X76" s="1155"/>
      <c r="Y76" s="1155"/>
      <c r="Z76" s="1155"/>
      <c r="AA76" s="1155"/>
      <c r="AB76" s="1155"/>
      <c r="AC76" s="1155"/>
      <c r="AD76" s="1155"/>
      <c r="AE76" s="1155"/>
      <c r="AF76" s="1155"/>
      <c r="AG76" s="1155"/>
      <c r="AH76" s="1155"/>
      <c r="AI76" s="1155"/>
      <c r="AJ76" s="1155"/>
      <c r="AK76" s="1155"/>
      <c r="AL76" s="1155"/>
      <c r="AM76" s="1155"/>
      <c r="AN76" s="1155"/>
      <c r="AO76" s="1155"/>
      <c r="AP76" s="1155"/>
      <c r="AQ76" s="1155"/>
      <c r="AR76" s="1155"/>
      <c r="AS76" s="1155"/>
      <c r="AT76" s="1155"/>
      <c r="AU76" s="1155"/>
      <c r="AV76" s="1155"/>
      <c r="AW76" s="1155"/>
      <c r="AX76" s="1155"/>
      <c r="AY76" s="1155"/>
      <c r="AZ76" s="1155"/>
      <c r="BA76" s="1155"/>
      <c r="BB76" s="1155"/>
      <c r="BC76" s="1155"/>
      <c r="BD76" s="1155"/>
      <c r="BE76" s="1155"/>
      <c r="BF76" s="1155"/>
      <c r="BG76" s="1155"/>
      <c r="BH76" s="1155"/>
      <c r="BI76" s="1155"/>
      <c r="BJ76" s="1155"/>
      <c r="BK76" s="1155"/>
      <c r="BL76" s="1155"/>
      <c r="BM76" s="996" t="s">
        <v>503</v>
      </c>
      <c r="BX76" s="950"/>
      <c r="BY76" s="1011" t="s">
        <v>617</v>
      </c>
      <c r="CB76" s="1073" t="s">
        <v>1235</v>
      </c>
      <c r="CC76" s="1155"/>
      <c r="CD76" s="1155"/>
      <c r="CE76" s="1155"/>
      <c r="CF76" s="1155"/>
      <c r="CG76" s="1155"/>
      <c r="CH76" s="1155"/>
      <c r="CI76" s="1155"/>
      <c r="CJ76" s="1155"/>
      <c r="CK76" s="1155"/>
      <c r="CL76" s="1155"/>
      <c r="CM76" s="1155"/>
      <c r="CN76" s="1155"/>
      <c r="CO76" s="1155"/>
      <c r="CP76" s="1155"/>
      <c r="CQ76" s="1155"/>
      <c r="CR76" s="1155"/>
      <c r="CS76" s="1155"/>
      <c r="CT76" s="1155"/>
      <c r="CU76" s="1155"/>
      <c r="CV76" s="1155"/>
      <c r="CW76" s="1155"/>
      <c r="CX76" s="1155"/>
      <c r="CY76" s="1155"/>
      <c r="CZ76" s="1155"/>
      <c r="DA76" s="1155"/>
      <c r="DB76" s="1155"/>
      <c r="DC76" s="1155"/>
      <c r="DD76" s="1155"/>
      <c r="DE76" s="1155"/>
      <c r="DF76" s="1155"/>
      <c r="DG76" s="1155"/>
      <c r="DH76" s="1155"/>
      <c r="DI76" s="1155"/>
      <c r="DJ76" s="1155"/>
      <c r="DK76" s="1155"/>
      <c r="DL76" s="1155"/>
      <c r="DM76" s="1155"/>
      <c r="DN76" s="1155"/>
      <c r="DO76" s="1155"/>
      <c r="DP76" s="1155"/>
    </row>
    <row r="77" ht="21.0" customHeight="1">
      <c r="A77" s="644"/>
      <c r="B77" s="1181" t="s">
        <v>475</v>
      </c>
      <c r="C77" s="1155"/>
      <c r="D77" s="1155"/>
      <c r="E77" s="1155"/>
      <c r="F77" s="1155"/>
      <c r="G77" s="1155"/>
      <c r="H77" s="1155"/>
      <c r="I77" s="1155"/>
      <c r="J77" s="1155"/>
      <c r="K77" s="1155"/>
      <c r="L77" s="1155"/>
      <c r="M77" s="1155"/>
      <c r="N77" s="1155"/>
      <c r="O77" s="1155"/>
      <c r="P77" s="1155"/>
      <c r="Q77" s="1155"/>
      <c r="R77" s="1155"/>
      <c r="S77" s="1155"/>
      <c r="T77" s="1155"/>
      <c r="U77" s="1155"/>
      <c r="V77" s="1155"/>
      <c r="W77" s="1155"/>
      <c r="X77" s="1155"/>
      <c r="Y77" s="1155"/>
      <c r="Z77" s="1155"/>
      <c r="AA77" s="1155"/>
      <c r="AB77" s="1155"/>
      <c r="AC77" s="1155"/>
      <c r="AD77" s="1155"/>
      <c r="AE77" s="1155"/>
      <c r="AF77" s="1155"/>
      <c r="AG77" s="1155"/>
      <c r="AH77" s="1155"/>
      <c r="AI77" s="1155"/>
      <c r="AJ77" s="1155"/>
      <c r="AK77" s="1155"/>
      <c r="AL77" s="1155"/>
      <c r="AM77" s="1155"/>
      <c r="AN77" s="1155"/>
      <c r="AO77" s="1155"/>
      <c r="AP77" s="1155"/>
      <c r="AQ77" s="1155"/>
      <c r="AR77" s="1155"/>
      <c r="AS77" s="1155"/>
      <c r="AT77" s="1155"/>
      <c r="AU77" s="1155"/>
      <c r="AV77" s="1155"/>
      <c r="AW77" s="1155"/>
      <c r="AX77" s="1155"/>
      <c r="AY77" s="1155"/>
      <c r="AZ77" s="1155"/>
      <c r="BA77" s="1155"/>
      <c r="BB77" s="1155"/>
      <c r="BC77" s="1155"/>
      <c r="BD77" s="1155"/>
      <c r="BE77" s="1155"/>
      <c r="BF77" s="1155"/>
      <c r="BG77" s="1155"/>
      <c r="BH77" s="1155"/>
      <c r="BI77" s="1155"/>
      <c r="BJ77" s="1155"/>
      <c r="BK77" s="1155"/>
      <c r="BL77" s="1155"/>
      <c r="BM77" s="1155"/>
      <c r="BN77" s="1155"/>
      <c r="BO77" s="1155"/>
      <c r="BP77" s="1155"/>
      <c r="BQ77" s="1155"/>
      <c r="BR77" s="1155"/>
      <c r="BS77" s="1155"/>
      <c r="BT77" s="1155"/>
      <c r="BU77" s="1155"/>
      <c r="BV77" s="1155"/>
      <c r="BW77" s="1155"/>
      <c r="BX77" s="1155"/>
      <c r="BY77" s="1155"/>
      <c r="BZ77" s="952" t="s">
        <v>155</v>
      </c>
      <c r="CB77" s="1073" t="s">
        <v>1236</v>
      </c>
      <c r="CC77" s="1073"/>
      <c r="CD77" s="1073"/>
      <c r="CE77" s="1155"/>
      <c r="CF77" s="1155"/>
      <c r="CG77" s="1155"/>
      <c r="CH77" s="1155"/>
      <c r="CI77" s="1155"/>
      <c r="CJ77" s="1155"/>
      <c r="CK77" s="1155"/>
      <c r="CL77" s="1155"/>
      <c r="CM77" s="1155"/>
      <c r="CN77" s="1155"/>
      <c r="CO77" s="1155"/>
      <c r="CP77" s="1155"/>
      <c r="CQ77" s="1155"/>
      <c r="CR77" s="1155"/>
      <c r="CS77" s="1155"/>
      <c r="CT77" s="1155"/>
      <c r="CU77" s="1155"/>
      <c r="CV77" s="1155"/>
      <c r="CW77" s="1155"/>
      <c r="CX77" s="1155"/>
      <c r="CY77" s="1155"/>
      <c r="CZ77" s="1155"/>
      <c r="DA77" s="1155"/>
      <c r="DB77" s="1155"/>
      <c r="DC77" s="1155"/>
      <c r="DD77" s="1155"/>
      <c r="DE77" s="1155"/>
      <c r="DF77" s="1155"/>
      <c r="DG77" s="1155"/>
      <c r="DH77" s="1155"/>
      <c r="DI77" s="1155"/>
      <c r="DJ77" s="1155"/>
      <c r="DK77" s="1155"/>
      <c r="DL77" s="1155"/>
      <c r="DM77" s="1155"/>
      <c r="DN77" s="1155"/>
      <c r="DO77" s="1155"/>
      <c r="DP77" s="1155"/>
    </row>
    <row r="78" ht="21.0" customHeight="1">
      <c r="A78" s="644"/>
      <c r="B78" s="1182" t="s">
        <v>477</v>
      </c>
      <c r="C78" s="1155"/>
      <c r="D78" s="1155"/>
      <c r="E78" s="1155"/>
      <c r="F78" s="1155"/>
      <c r="G78" s="1155"/>
      <c r="H78" s="1155"/>
      <c r="I78" s="1155"/>
      <c r="J78" s="1155"/>
      <c r="K78" s="1155"/>
      <c r="L78" s="1155"/>
      <c r="M78" s="1155"/>
      <c r="N78" s="1155"/>
      <c r="O78" s="1155"/>
      <c r="P78" s="1155"/>
      <c r="Q78" s="1155"/>
      <c r="R78" s="1155"/>
      <c r="S78" s="1155"/>
      <c r="T78" s="1155"/>
      <c r="U78" s="1155"/>
      <c r="V78" s="1155"/>
      <c r="W78" s="1155"/>
      <c r="X78" s="1155"/>
      <c r="Y78" s="1155"/>
      <c r="Z78" s="1155"/>
      <c r="AA78" s="1155"/>
      <c r="AB78" s="1155"/>
      <c r="AC78" s="1155"/>
      <c r="AD78" s="1155"/>
      <c r="AE78" s="1155"/>
      <c r="AF78" s="1155"/>
      <c r="AG78" s="1155"/>
      <c r="AH78" s="1155"/>
      <c r="AI78" s="1155"/>
      <c r="AJ78" s="1155"/>
      <c r="AK78" s="1155"/>
      <c r="AL78" s="1155"/>
      <c r="AM78" s="1155"/>
      <c r="AN78" s="1155"/>
      <c r="AO78" s="1155"/>
      <c r="AP78" s="1155"/>
      <c r="AQ78" s="1155"/>
      <c r="AR78" s="1155"/>
      <c r="AS78" s="1155"/>
      <c r="AT78" s="1155"/>
      <c r="AU78" s="1155"/>
      <c r="AV78" s="1155"/>
      <c r="AW78" s="1155"/>
      <c r="AX78" s="1155"/>
      <c r="AY78" s="1155"/>
      <c r="AZ78" s="1155"/>
      <c r="BA78" s="1155"/>
      <c r="BB78" s="1155"/>
      <c r="BC78" s="1155"/>
      <c r="BD78" s="1155"/>
      <c r="BE78" s="1155"/>
      <c r="BF78" s="1155"/>
      <c r="BG78" s="1155"/>
      <c r="BH78" s="1155"/>
      <c r="BI78" s="1155"/>
      <c r="BJ78" s="1155"/>
      <c r="BK78" s="1155"/>
      <c r="BL78" s="1155"/>
      <c r="BM78" s="1155"/>
      <c r="BN78" s="1155"/>
      <c r="BO78" s="1155"/>
      <c r="BP78" s="1155"/>
      <c r="BQ78" s="1155"/>
      <c r="BR78" s="1155"/>
      <c r="BS78" s="1155"/>
      <c r="BT78" s="1155"/>
      <c r="BU78" s="1155"/>
      <c r="BV78" s="1155"/>
      <c r="BW78" s="1155"/>
      <c r="BX78" s="1155"/>
      <c r="BY78" s="1155"/>
      <c r="BZ78" s="1155"/>
      <c r="CA78" s="1155"/>
      <c r="CB78" s="1183" t="s">
        <v>525</v>
      </c>
      <c r="CI78" s="1073" t="s">
        <v>1177</v>
      </c>
      <c r="CJ78" s="1155"/>
      <c r="CK78" s="1155"/>
      <c r="CL78" s="1155"/>
      <c r="CM78" s="1155"/>
      <c r="CN78" s="1155"/>
      <c r="CO78" s="1155"/>
      <c r="CP78" s="1155"/>
      <c r="CQ78" s="1155"/>
      <c r="CR78" s="1155"/>
      <c r="CS78" s="1155"/>
      <c r="CT78" s="1155"/>
      <c r="CU78" s="1155"/>
      <c r="CV78" s="1155"/>
      <c r="CW78" s="1155"/>
      <c r="CX78" s="1155"/>
      <c r="CY78" s="1155"/>
      <c r="CZ78" s="1155"/>
      <c r="DA78" s="1155"/>
      <c r="DB78" s="1155"/>
      <c r="DC78" s="1155"/>
      <c r="DD78" s="1155"/>
      <c r="DE78" s="1155"/>
      <c r="DF78" s="1155"/>
      <c r="DG78" s="1155"/>
      <c r="DH78" s="1155"/>
      <c r="DI78" s="1155"/>
      <c r="DJ78" s="1155"/>
      <c r="DK78" s="1155"/>
      <c r="DL78" s="1155"/>
      <c r="DM78" s="1155"/>
      <c r="DN78" s="1155"/>
      <c r="DO78" s="1155"/>
      <c r="DP78" s="1155"/>
    </row>
    <row r="79" ht="21.0" customHeight="1">
      <c r="A79" s="644"/>
      <c r="B79" s="1184" t="s">
        <v>1237</v>
      </c>
      <c r="C79" s="1155"/>
      <c r="D79" s="1155"/>
      <c r="E79" s="1155"/>
      <c r="F79" s="1155"/>
      <c r="G79" s="1155"/>
      <c r="H79" s="1155"/>
      <c r="I79" s="1155"/>
      <c r="J79" s="1155"/>
      <c r="K79" s="1155"/>
      <c r="L79" s="1155"/>
      <c r="M79" s="1155"/>
      <c r="N79" s="1155"/>
      <c r="O79" s="1155"/>
      <c r="P79" s="1155"/>
      <c r="Q79" s="1155"/>
      <c r="R79" s="1155"/>
      <c r="S79" s="1155"/>
      <c r="T79" s="1155"/>
      <c r="U79" s="1155"/>
      <c r="V79" s="1155"/>
      <c r="W79" s="1155"/>
      <c r="X79" s="1155"/>
      <c r="Y79" s="1155"/>
      <c r="Z79" s="1155"/>
      <c r="AA79" s="1155"/>
      <c r="AB79" s="1155"/>
      <c r="AC79" s="1155"/>
      <c r="AD79" s="1155"/>
      <c r="AE79" s="1155"/>
      <c r="AF79" s="1155"/>
      <c r="AG79" s="1155"/>
      <c r="AH79" s="1155"/>
      <c r="AI79" s="1155"/>
      <c r="AJ79" s="1155"/>
      <c r="AK79" s="1155"/>
      <c r="AL79" s="1155"/>
      <c r="AM79" s="1155"/>
      <c r="AN79" s="1155"/>
      <c r="AO79" s="1155"/>
      <c r="AP79" s="1155"/>
      <c r="AQ79" s="1155"/>
      <c r="AR79" s="1155"/>
      <c r="AS79" s="1155"/>
      <c r="AT79" s="1155"/>
      <c r="AU79" s="1155"/>
      <c r="AV79" s="1155"/>
      <c r="AW79" s="1155"/>
      <c r="AX79" s="1155"/>
      <c r="AY79" s="1155"/>
      <c r="AZ79" s="1155"/>
      <c r="BA79" s="1155"/>
      <c r="BB79" s="1155"/>
      <c r="BC79" s="1155"/>
      <c r="BD79" s="1155"/>
      <c r="BE79" s="1155"/>
      <c r="BF79" s="1155"/>
      <c r="BG79" s="1155"/>
      <c r="BH79" s="1155"/>
      <c r="BI79" s="1155"/>
      <c r="BJ79" s="1155"/>
      <c r="BK79" s="1155"/>
      <c r="BL79" s="1155"/>
      <c r="BM79" s="1155"/>
      <c r="BN79" s="1155"/>
      <c r="BO79" s="1155"/>
      <c r="BP79" s="1155"/>
      <c r="BQ79" s="1155"/>
      <c r="BR79" s="1155"/>
      <c r="BS79" s="1155"/>
      <c r="BT79" s="1155"/>
      <c r="BU79" s="1155"/>
      <c r="BV79" s="1155"/>
      <c r="BW79" s="1155"/>
      <c r="BX79" s="1155"/>
      <c r="BY79" s="1155"/>
      <c r="BZ79" s="1155"/>
      <c r="CA79" s="1155"/>
      <c r="CB79" s="1155"/>
      <c r="CC79" s="1155"/>
      <c r="CD79" s="1155"/>
      <c r="CE79" s="1155"/>
      <c r="CF79" s="1155"/>
      <c r="CG79" s="1058" t="s">
        <v>1238</v>
      </c>
      <c r="CH79" s="1185" t="s">
        <v>691</v>
      </c>
      <c r="CK79" s="1073" t="s">
        <v>1239</v>
      </c>
      <c r="CL79" s="1155"/>
      <c r="CM79" s="1155"/>
      <c r="CN79" s="1155"/>
      <c r="CO79" s="1155"/>
      <c r="CP79" s="1155"/>
      <c r="CQ79" s="1155"/>
      <c r="CR79" s="1155"/>
      <c r="CS79" s="1155"/>
      <c r="CT79" s="1155"/>
      <c r="CU79" s="1155"/>
      <c r="CV79" s="1155"/>
      <c r="CW79" s="1155"/>
      <c r="CX79" s="1155"/>
      <c r="CY79" s="1155"/>
      <c r="CZ79" s="1155"/>
      <c r="DA79" s="1155"/>
      <c r="DB79" s="1155"/>
      <c r="DC79" s="1155"/>
      <c r="DD79" s="1155"/>
      <c r="DE79" s="1155"/>
      <c r="DF79" s="1155"/>
      <c r="DG79" s="1155"/>
      <c r="DH79" s="1155"/>
      <c r="DI79" s="1155"/>
      <c r="DJ79" s="1155"/>
      <c r="DK79" s="1155"/>
      <c r="DL79" s="1155"/>
      <c r="DM79" s="1155"/>
      <c r="DN79" s="1155"/>
      <c r="DO79" s="1155"/>
      <c r="DP79" s="1155"/>
    </row>
    <row r="80" ht="21.0" customHeight="1">
      <c r="A80" s="644"/>
      <c r="B80" s="1186" t="s">
        <v>672</v>
      </c>
      <c r="C80" s="1155"/>
      <c r="D80" s="1155"/>
      <c r="E80" s="1155"/>
      <c r="F80" s="1155"/>
      <c r="G80" s="1155"/>
      <c r="H80" s="1155"/>
      <c r="I80" s="1155"/>
      <c r="J80" s="1155"/>
      <c r="K80" s="1155"/>
      <c r="L80" s="1155"/>
      <c r="M80" s="1155"/>
      <c r="N80" s="1155"/>
      <c r="O80" s="1155"/>
      <c r="P80" s="1155"/>
      <c r="Q80" s="1155"/>
      <c r="R80" s="1155"/>
      <c r="S80" s="1155"/>
      <c r="T80" s="1155"/>
      <c r="U80" s="1155"/>
      <c r="V80" s="1155"/>
      <c r="W80" s="1155"/>
      <c r="X80" s="1155"/>
      <c r="Y80" s="1155"/>
      <c r="Z80" s="1155"/>
      <c r="AA80" s="1155"/>
      <c r="AB80" s="1155"/>
      <c r="AC80" s="1155"/>
      <c r="AD80" s="1155"/>
      <c r="AE80" s="1155"/>
      <c r="AF80" s="1155"/>
      <c r="AG80" s="1155"/>
      <c r="AH80" s="1155"/>
      <c r="AI80" s="1155"/>
      <c r="AJ80" s="1155"/>
      <c r="AK80" s="1155"/>
      <c r="AL80" s="1155"/>
      <c r="AM80" s="1155"/>
      <c r="AN80" s="1155"/>
      <c r="AO80" s="1155"/>
      <c r="AP80" s="1155"/>
      <c r="AQ80" s="1155"/>
      <c r="AR80" s="1155"/>
      <c r="AS80" s="1155"/>
      <c r="AT80" s="1155"/>
      <c r="AU80" s="1155"/>
      <c r="AV80" s="1155"/>
      <c r="AW80" s="1155"/>
      <c r="AX80" s="1155"/>
      <c r="AY80" s="1155"/>
      <c r="AZ80" s="1155"/>
      <c r="BA80" s="1155"/>
      <c r="BB80" s="1155"/>
      <c r="BC80" s="1155"/>
      <c r="BD80" s="1155"/>
      <c r="BE80" s="1155"/>
      <c r="BF80" s="1155"/>
      <c r="BG80" s="1155"/>
      <c r="BH80" s="1155"/>
      <c r="BI80" s="1155"/>
      <c r="BJ80" s="1155"/>
      <c r="BK80" s="1155"/>
      <c r="BL80" s="1155"/>
      <c r="BM80" s="1155"/>
      <c r="BN80" s="1155"/>
      <c r="BO80" s="1155"/>
      <c r="BP80" s="1155"/>
      <c r="BQ80" s="1155"/>
      <c r="BR80" s="1155"/>
      <c r="BS80" s="1155"/>
      <c r="BT80" s="1155"/>
      <c r="BU80" s="1155"/>
      <c r="BV80" s="1155"/>
      <c r="BW80" s="1155"/>
      <c r="BX80" s="1155"/>
      <c r="BY80" s="1155"/>
      <c r="BZ80" s="1155"/>
      <c r="CA80" s="1155"/>
      <c r="CB80" s="1155"/>
      <c r="CC80" s="1155"/>
      <c r="CD80" s="1155"/>
      <c r="CE80" s="1155"/>
      <c r="CF80" s="1155"/>
      <c r="CG80" s="1187" t="s">
        <v>1240</v>
      </c>
      <c r="CL80" s="1073" t="s">
        <v>1241</v>
      </c>
      <c r="CM80" s="1155"/>
      <c r="CN80" s="1155"/>
      <c r="CO80" s="1155"/>
      <c r="CP80" s="1155"/>
      <c r="CQ80" s="1155"/>
      <c r="CR80" s="1155"/>
      <c r="CS80" s="1155"/>
      <c r="CT80" s="1155"/>
      <c r="CU80" s="1155"/>
      <c r="CV80" s="1155"/>
      <c r="CW80" s="1155"/>
      <c r="CX80" s="1155"/>
      <c r="CY80" s="1155"/>
      <c r="CZ80" s="1155"/>
      <c r="DA80" s="1155"/>
      <c r="DB80" s="1155"/>
      <c r="DC80" s="1155"/>
      <c r="DD80" s="1155"/>
      <c r="DE80" s="1155"/>
      <c r="DF80" s="1155"/>
      <c r="DG80" s="1155"/>
      <c r="DH80" s="1155"/>
      <c r="DI80" s="1155"/>
      <c r="DJ80" s="1155"/>
      <c r="DK80" s="1155"/>
      <c r="DL80" s="1155"/>
      <c r="DM80" s="1155"/>
      <c r="DN80" s="1155"/>
      <c r="DO80" s="1155"/>
      <c r="DP80" s="1155"/>
    </row>
    <row r="81" ht="21.0" customHeight="1">
      <c r="A81" s="644"/>
      <c r="B81" s="1188" t="s">
        <v>446</v>
      </c>
      <c r="C81" s="1155"/>
      <c r="D81" s="1155"/>
      <c r="E81" s="1155"/>
      <c r="F81" s="1155"/>
      <c r="G81" s="1155"/>
      <c r="H81" s="1155"/>
      <c r="I81" s="1155"/>
      <c r="J81" s="1155"/>
      <c r="K81" s="1155"/>
      <c r="L81" s="1155"/>
      <c r="M81" s="1155"/>
      <c r="N81" s="1155"/>
      <c r="O81" s="1155"/>
      <c r="P81" s="1155"/>
      <c r="Q81" s="1155"/>
      <c r="R81" s="1155"/>
      <c r="S81" s="1155"/>
      <c r="T81" s="1155"/>
      <c r="U81" s="1155"/>
      <c r="V81" s="1155"/>
      <c r="W81" s="1155"/>
      <c r="X81" s="1155"/>
      <c r="Y81" s="1155"/>
      <c r="Z81" s="1155"/>
      <c r="AA81" s="1155"/>
      <c r="AB81" s="1155"/>
      <c r="AC81" s="1155"/>
      <c r="AD81" s="1155"/>
      <c r="AE81" s="1155"/>
      <c r="AF81" s="1155"/>
      <c r="AG81" s="1155"/>
      <c r="AH81" s="1155"/>
      <c r="AI81" s="1155"/>
      <c r="AJ81" s="1155"/>
      <c r="AK81" s="1155"/>
      <c r="AL81" s="1155"/>
      <c r="AM81" s="1155"/>
      <c r="AN81" s="1155"/>
      <c r="AO81" s="1155"/>
      <c r="AP81" s="1155"/>
      <c r="AQ81" s="1155"/>
      <c r="AR81" s="1155"/>
      <c r="AS81" s="1155"/>
      <c r="AT81" s="1155"/>
      <c r="AU81" s="1155"/>
      <c r="AV81" s="1155"/>
      <c r="AW81" s="1155"/>
      <c r="AX81" s="1155"/>
      <c r="AY81" s="1155"/>
      <c r="AZ81" s="1155"/>
      <c r="BA81" s="1155"/>
      <c r="BB81" s="1155"/>
      <c r="BC81" s="1155"/>
      <c r="BD81" s="1155"/>
      <c r="BE81" s="1155"/>
      <c r="BF81" s="1155"/>
      <c r="BG81" s="1155"/>
      <c r="BH81" s="1155"/>
      <c r="BI81" s="965"/>
      <c r="BJ81" s="965"/>
      <c r="BK81" s="965"/>
      <c r="BL81" s="965"/>
      <c r="BM81" s="965"/>
      <c r="BN81" s="965"/>
      <c r="BO81" s="965"/>
      <c r="BP81" s="965"/>
      <c r="BQ81" s="965"/>
      <c r="BR81" s="965"/>
      <c r="BS81" s="965"/>
      <c r="BT81" s="965"/>
      <c r="BU81" s="1058"/>
      <c r="BV81" s="965"/>
      <c r="BW81" s="965"/>
      <c r="BX81" s="1058"/>
      <c r="BY81" s="965"/>
      <c r="BZ81" s="1058" t="s">
        <v>1242</v>
      </c>
      <c r="CA81" s="997" t="s">
        <v>617</v>
      </c>
      <c r="CB81" s="115"/>
      <c r="CC81" s="1189" t="s">
        <v>153</v>
      </c>
      <c r="CJ81" s="115"/>
      <c r="CK81" s="1189" t="s">
        <v>691</v>
      </c>
      <c r="CL81" s="115"/>
      <c r="CM81" s="1189" t="s">
        <v>122</v>
      </c>
      <c r="CO81" s="1073" t="s">
        <v>1243</v>
      </c>
      <c r="CP81" s="965"/>
      <c r="CQ81" s="965"/>
      <c r="CR81" s="965"/>
      <c r="CS81" s="965"/>
      <c r="CT81" s="965"/>
      <c r="CU81" s="965"/>
      <c r="CV81" s="965"/>
      <c r="CW81" s="965"/>
      <c r="CX81" s="965"/>
      <c r="CY81" s="965"/>
      <c r="CZ81" s="965"/>
      <c r="DA81" s="965"/>
      <c r="DB81" s="965"/>
      <c r="DC81" s="965"/>
      <c r="DD81" s="965"/>
      <c r="DE81" s="965"/>
      <c r="DF81" s="965"/>
      <c r="DG81" s="965"/>
      <c r="DH81" s="965"/>
      <c r="DI81" s="965"/>
      <c r="DJ81" s="965"/>
      <c r="DK81" s="965"/>
      <c r="DL81" s="965"/>
      <c r="DM81" s="965"/>
      <c r="DN81" s="965"/>
      <c r="DO81" s="965"/>
      <c r="DP81" s="965"/>
    </row>
    <row r="82" ht="21.0" customHeight="1">
      <c r="A82" s="644"/>
      <c r="B82" s="1190" t="s">
        <v>713</v>
      </c>
      <c r="C82" s="1191"/>
      <c r="D82" s="1191"/>
      <c r="E82" s="1191"/>
      <c r="F82" s="1191"/>
      <c r="G82" s="1191"/>
      <c r="H82" s="1191"/>
      <c r="I82" s="1191"/>
      <c r="J82" s="1191"/>
      <c r="K82" s="1191"/>
      <c r="L82" s="1191"/>
      <c r="M82" s="1191"/>
      <c r="N82" s="1191"/>
      <c r="O82" s="1191"/>
      <c r="P82" s="1191"/>
      <c r="Q82" s="1191"/>
      <c r="R82" s="1191"/>
      <c r="S82" s="1191"/>
      <c r="T82" s="1191"/>
      <c r="U82" s="1191"/>
      <c r="V82" s="1191"/>
      <c r="W82" s="1191"/>
      <c r="X82" s="1191"/>
      <c r="Y82" s="1191"/>
      <c r="Z82" s="1191"/>
      <c r="AA82" s="1191"/>
      <c r="AB82" s="1191"/>
      <c r="AC82" s="1191"/>
      <c r="AD82" s="1191"/>
      <c r="AE82" s="1191"/>
      <c r="AF82" s="1191"/>
      <c r="AG82" s="1191"/>
      <c r="AH82" s="1191"/>
      <c r="AI82" s="1191"/>
      <c r="AJ82" s="1191"/>
      <c r="AK82" s="1191"/>
      <c r="AL82" s="1191"/>
      <c r="AM82" s="1191"/>
      <c r="AN82" s="1191"/>
      <c r="AO82" s="1191"/>
      <c r="AP82" s="1191"/>
      <c r="AQ82" s="1191"/>
      <c r="AR82" s="1191"/>
      <c r="AS82" s="1191"/>
      <c r="AT82" s="1191"/>
      <c r="AU82" s="1191"/>
      <c r="AV82" s="1191"/>
      <c r="AW82" s="1191"/>
      <c r="AX82" s="1191"/>
      <c r="AY82" s="1191"/>
      <c r="AZ82" s="1191"/>
      <c r="BA82" s="1191"/>
      <c r="BB82" s="1191"/>
      <c r="BC82" s="1191"/>
      <c r="BD82" s="1191"/>
      <c r="BE82" s="1191"/>
      <c r="BF82" s="1191"/>
      <c r="BG82" s="1191"/>
      <c r="BH82" s="1191"/>
      <c r="BI82" s="1191"/>
      <c r="BJ82" s="1191"/>
      <c r="BK82" s="1191"/>
      <c r="BL82" s="1155"/>
      <c r="BM82" s="1155"/>
      <c r="BN82" s="1155"/>
      <c r="BO82" s="1155"/>
      <c r="BP82" s="965"/>
      <c r="BQ82" s="965"/>
      <c r="BR82" s="965"/>
      <c r="BS82" s="965"/>
      <c r="BT82" s="965"/>
      <c r="BU82" s="965"/>
      <c r="BV82" s="965"/>
      <c r="BW82" s="965"/>
      <c r="BX82" s="965"/>
      <c r="BY82" s="965"/>
      <c r="BZ82" s="965"/>
      <c r="CA82" s="965"/>
      <c r="CB82" s="965"/>
      <c r="CC82" s="965"/>
      <c r="CD82" s="965"/>
      <c r="CE82" s="965"/>
      <c r="CF82" s="965"/>
      <c r="CG82" s="965"/>
      <c r="CH82" s="965"/>
      <c r="CI82" s="965"/>
      <c r="CJ82" s="965"/>
      <c r="CK82" s="965"/>
      <c r="CL82" s="965"/>
      <c r="CM82" s="965"/>
      <c r="CN82" s="1058" t="s">
        <v>1244</v>
      </c>
      <c r="CO82" s="854" t="s">
        <v>523</v>
      </c>
      <c r="CP82" s="1073" t="s">
        <v>1241</v>
      </c>
      <c r="CS82" s="965"/>
      <c r="CT82" s="965"/>
      <c r="CU82" s="965"/>
      <c r="CV82" s="965"/>
      <c r="CW82" s="965"/>
      <c r="CX82" s="965"/>
      <c r="CY82" s="965"/>
      <c r="CZ82" s="965"/>
      <c r="DA82" s="965"/>
      <c r="DB82" s="965"/>
      <c r="DC82" s="965"/>
      <c r="DD82" s="965"/>
      <c r="DE82" s="965"/>
      <c r="DF82" s="965"/>
      <c r="DG82" s="965"/>
      <c r="DH82" s="965"/>
      <c r="DI82" s="965"/>
      <c r="DJ82" s="965"/>
      <c r="DK82" s="965"/>
      <c r="DL82" s="965"/>
      <c r="DM82" s="965"/>
      <c r="DN82" s="965"/>
      <c r="DO82" s="965"/>
      <c r="DP82" s="965"/>
    </row>
    <row r="83" ht="21.0" customHeight="1">
      <c r="A83" s="644"/>
      <c r="B83" s="1192" t="s">
        <v>452</v>
      </c>
      <c r="C83" s="1191"/>
      <c r="D83" s="1191"/>
      <c r="E83" s="1191"/>
      <c r="F83" s="1191"/>
      <c r="G83" s="1191"/>
      <c r="H83" s="1191"/>
      <c r="I83" s="1191"/>
      <c r="J83" s="1191"/>
      <c r="K83" s="1191"/>
      <c r="L83" s="1191"/>
      <c r="M83" s="1191"/>
      <c r="N83" s="1191"/>
      <c r="O83" s="1191"/>
      <c r="P83" s="1191"/>
      <c r="Q83" s="1191"/>
      <c r="R83" s="1191"/>
      <c r="S83" s="1191"/>
      <c r="T83" s="1191"/>
      <c r="U83" s="1191"/>
      <c r="V83" s="1191"/>
      <c r="W83" s="1191"/>
      <c r="X83" s="1191"/>
      <c r="Y83" s="1191"/>
      <c r="Z83" s="1191"/>
      <c r="AA83" s="1191"/>
      <c r="AB83" s="1191"/>
      <c r="AC83" s="1191"/>
      <c r="AD83" s="1191"/>
      <c r="AE83" s="1191"/>
      <c r="AF83" s="1191"/>
      <c r="AG83" s="1191"/>
      <c r="AH83" s="1191"/>
      <c r="AI83" s="1191"/>
      <c r="AJ83" s="1191"/>
      <c r="AK83" s="1191"/>
      <c r="AL83" s="1191"/>
      <c r="AM83" s="1191"/>
      <c r="AN83" s="1191"/>
      <c r="AO83" s="1191"/>
      <c r="AP83" s="1191"/>
      <c r="AQ83" s="1191"/>
      <c r="AR83" s="1191"/>
      <c r="AS83" s="1191"/>
      <c r="AT83" s="1191"/>
      <c r="AU83" s="1191"/>
      <c r="AV83" s="1191"/>
      <c r="AW83" s="1191"/>
      <c r="AX83" s="1191"/>
      <c r="AY83" s="1191"/>
      <c r="AZ83" s="1191"/>
      <c r="BA83" s="1191"/>
      <c r="BB83" s="1191"/>
      <c r="BC83" s="1191"/>
      <c r="BD83" s="1191"/>
      <c r="BE83" s="1191"/>
      <c r="BF83" s="1191"/>
      <c r="BG83" s="1191"/>
      <c r="BH83" s="1191"/>
      <c r="BI83" s="1191"/>
      <c r="BJ83" s="1191"/>
      <c r="BK83" s="1191"/>
      <c r="BL83" s="1191"/>
      <c r="BM83" s="1193" t="s">
        <v>530</v>
      </c>
      <c r="BZ83" s="1194" t="s">
        <v>1245</v>
      </c>
      <c r="CM83" s="1194" t="s">
        <v>200</v>
      </c>
      <c r="CP83" s="1073" t="s">
        <v>1246</v>
      </c>
      <c r="CW83" s="965"/>
      <c r="CX83" s="965"/>
      <c r="CY83" s="965"/>
      <c r="CZ83" s="965"/>
      <c r="DA83" s="965"/>
      <c r="DB83" s="965"/>
      <c r="DC83" s="965"/>
      <c r="DD83" s="965"/>
      <c r="DE83" s="965"/>
      <c r="DF83" s="965"/>
      <c r="DG83" s="965"/>
      <c r="DH83" s="965"/>
      <c r="DI83" s="965"/>
      <c r="DJ83" s="965"/>
      <c r="DK83" s="965"/>
      <c r="DL83" s="965"/>
      <c r="DM83" s="965"/>
      <c r="DN83" s="965"/>
      <c r="DO83" s="965"/>
      <c r="DP83" s="965"/>
    </row>
    <row r="84" ht="21.0" customHeight="1">
      <c r="A84" s="644"/>
      <c r="B84" s="1195" t="s">
        <v>458</v>
      </c>
      <c r="C84" s="1191"/>
      <c r="D84" s="1191"/>
      <c r="E84" s="1191"/>
      <c r="F84" s="1191"/>
      <c r="G84" s="1191"/>
      <c r="H84" s="1191"/>
      <c r="I84" s="1191"/>
      <c r="J84" s="1191"/>
      <c r="K84" s="1191"/>
      <c r="L84" s="1191"/>
      <c r="M84" s="1191"/>
      <c r="N84" s="1191"/>
      <c r="O84" s="1191"/>
      <c r="P84" s="1191"/>
      <c r="Q84" s="1191"/>
      <c r="R84" s="1191"/>
      <c r="S84" s="1191"/>
      <c r="T84" s="1191"/>
      <c r="U84" s="1191"/>
      <c r="V84" s="1191"/>
      <c r="W84" s="1191"/>
      <c r="X84" s="1191"/>
      <c r="Y84" s="1191"/>
      <c r="Z84" s="1191"/>
      <c r="AA84" s="1191"/>
      <c r="AB84" s="1191"/>
      <c r="AC84" s="1191"/>
      <c r="AD84" s="1191"/>
      <c r="AE84" s="1191"/>
      <c r="AF84" s="1191"/>
      <c r="AG84" s="1191"/>
      <c r="AH84" s="1191"/>
      <c r="AI84" s="1191"/>
      <c r="AJ84" s="1191"/>
      <c r="AK84" s="1191"/>
      <c r="AL84" s="1191"/>
      <c r="AM84" s="1191"/>
      <c r="AN84" s="1191"/>
      <c r="AO84" s="1191"/>
      <c r="AP84" s="1191"/>
      <c r="AQ84" s="1191"/>
      <c r="AR84" s="1191"/>
      <c r="AS84" s="1191"/>
      <c r="AT84" s="1191"/>
      <c r="AU84" s="1191"/>
      <c r="AV84" s="1191"/>
      <c r="AW84" s="1191"/>
      <c r="AX84" s="1191"/>
      <c r="AY84" s="1191"/>
      <c r="AZ84" s="1191"/>
      <c r="BA84" s="1191"/>
      <c r="BB84" s="1191"/>
      <c r="BC84" s="1191"/>
      <c r="BD84" s="1191"/>
      <c r="BE84" s="1191"/>
      <c r="BF84" s="1191"/>
      <c r="BG84" s="1191"/>
      <c r="BH84" s="1191"/>
      <c r="BI84" s="1191"/>
      <c r="BJ84" s="1191"/>
      <c r="BK84" s="1191"/>
      <c r="BL84" s="1191"/>
      <c r="BM84" s="1191"/>
      <c r="BN84" s="965"/>
      <c r="BO84" s="1196"/>
      <c r="BP84" s="1196"/>
      <c r="BQ84" s="1196"/>
      <c r="BR84" s="1196"/>
      <c r="BS84" s="1196"/>
      <c r="BT84" s="1196"/>
      <c r="BU84" s="1196"/>
      <c r="BV84" s="1196"/>
      <c r="BW84" s="1196"/>
      <c r="BX84" s="1196"/>
      <c r="BY84" s="1058" t="s">
        <v>1247</v>
      </c>
      <c r="CB84" s="1197" t="s">
        <v>155</v>
      </c>
      <c r="CQ84" s="1073" t="s">
        <v>1248</v>
      </c>
      <c r="CR84" s="1198"/>
      <c r="CS84" s="1198"/>
      <c r="CT84" s="1198"/>
      <c r="CU84" s="1198"/>
      <c r="CV84" s="1198"/>
      <c r="CW84" s="1198"/>
      <c r="CX84" s="1198"/>
      <c r="CY84" s="1198"/>
      <c r="CZ84" s="1198"/>
      <c r="DA84" s="1198"/>
      <c r="DB84" s="1198"/>
      <c r="DC84" s="1198"/>
      <c r="DD84" s="1198"/>
      <c r="DE84" s="1198"/>
      <c r="DF84" s="1198"/>
      <c r="DG84" s="1198"/>
      <c r="DH84" s="1198"/>
      <c r="DI84" s="1198"/>
      <c r="DJ84" s="1198"/>
      <c r="DK84" s="1198"/>
      <c r="DL84" s="1198"/>
      <c r="DM84" s="1198"/>
      <c r="DN84" s="1198"/>
      <c r="DO84" s="1198"/>
      <c r="DP84" s="1198"/>
    </row>
    <row r="85" ht="21.0" customHeight="1">
      <c r="A85" s="644"/>
      <c r="B85" s="1199" t="s">
        <v>456</v>
      </c>
      <c r="C85" s="1191"/>
      <c r="D85" s="1191"/>
      <c r="E85" s="1191"/>
      <c r="F85" s="1191"/>
      <c r="G85" s="1191"/>
      <c r="H85" s="1191"/>
      <c r="I85" s="1191"/>
      <c r="J85" s="1191"/>
      <c r="K85" s="1191"/>
      <c r="L85" s="1191"/>
      <c r="M85" s="1191"/>
      <c r="N85" s="1191"/>
      <c r="O85" s="1191"/>
      <c r="P85" s="1191"/>
      <c r="Q85" s="1191"/>
      <c r="R85" s="1191"/>
      <c r="S85" s="1191"/>
      <c r="T85" s="1191"/>
      <c r="U85" s="1191"/>
      <c r="V85" s="1191"/>
      <c r="W85" s="1191"/>
      <c r="X85" s="1191"/>
      <c r="Y85" s="1191"/>
      <c r="Z85" s="1191"/>
      <c r="AA85" s="1191"/>
      <c r="AB85" s="1191"/>
      <c r="AC85" s="1191"/>
      <c r="AD85" s="1191"/>
      <c r="AE85" s="1191"/>
      <c r="AF85" s="1191"/>
      <c r="AG85" s="1191"/>
      <c r="AH85" s="1191"/>
      <c r="AI85" s="1191"/>
      <c r="AJ85" s="1191"/>
      <c r="AK85" s="1191"/>
      <c r="AL85" s="1191"/>
      <c r="AM85" s="1191"/>
      <c r="AN85" s="1191"/>
      <c r="AO85" s="1191"/>
      <c r="AP85" s="1191"/>
      <c r="AQ85" s="1191"/>
      <c r="AR85" s="1191"/>
      <c r="AS85" s="1191"/>
      <c r="AT85" s="1191"/>
      <c r="AU85" s="1191"/>
      <c r="AV85" s="1191"/>
      <c r="AW85" s="1191"/>
      <c r="AX85" s="1191"/>
      <c r="AY85" s="1191"/>
      <c r="AZ85" s="1191"/>
      <c r="BA85" s="1191"/>
      <c r="BB85" s="1191"/>
      <c r="BC85" s="1191"/>
      <c r="BD85" s="1191"/>
      <c r="BE85" s="1191"/>
      <c r="BF85" s="1191"/>
      <c r="BG85" s="1191"/>
      <c r="BH85" s="1191"/>
      <c r="BI85" s="1191"/>
      <c r="BJ85" s="1191"/>
      <c r="BK85" s="1191"/>
      <c r="BL85" s="1191"/>
      <c r="BM85" s="1191"/>
      <c r="BN85" s="965"/>
      <c r="BO85" s="965"/>
      <c r="BP85" s="965"/>
      <c r="BQ85" s="965"/>
      <c r="BR85" s="965"/>
      <c r="BS85" s="965"/>
      <c r="BT85" s="965"/>
      <c r="BU85" s="965"/>
      <c r="BV85" s="965"/>
      <c r="BW85" s="965"/>
      <c r="BX85" s="965"/>
      <c r="BY85" s="1058" t="s">
        <v>1238</v>
      </c>
      <c r="BZ85" s="1200" t="s">
        <v>118</v>
      </c>
      <c r="CQ85" s="1073" t="s">
        <v>1248</v>
      </c>
      <c r="CR85" s="1198"/>
      <c r="CS85" s="1198"/>
      <c r="CT85" s="1198"/>
      <c r="CU85" s="1198"/>
      <c r="CV85" s="1198"/>
      <c r="CW85" s="1198"/>
      <c r="CX85" s="1198"/>
      <c r="CY85" s="1198"/>
      <c r="CZ85" s="1198"/>
      <c r="DA85" s="1198"/>
      <c r="DB85" s="1198"/>
      <c r="DC85" s="1198"/>
      <c r="DD85" s="1198"/>
      <c r="DE85" s="1198"/>
      <c r="DF85" s="1198"/>
      <c r="DG85" s="1198"/>
      <c r="DH85" s="1198"/>
      <c r="DI85" s="1198"/>
      <c r="DJ85" s="1198"/>
      <c r="DK85" s="1198"/>
      <c r="DL85" s="1198"/>
      <c r="DM85" s="1198"/>
      <c r="DN85" s="1198"/>
      <c r="DO85" s="1198"/>
      <c r="DP85" s="1198"/>
    </row>
    <row r="86" ht="21.0" customHeight="1">
      <c r="A86" s="644"/>
      <c r="B86" s="1201" t="s">
        <v>461</v>
      </c>
      <c r="C86" s="1191"/>
      <c r="D86" s="1191"/>
      <c r="E86" s="1191"/>
      <c r="F86" s="1191"/>
      <c r="G86" s="1191"/>
      <c r="H86" s="1191"/>
      <c r="I86" s="1191"/>
      <c r="J86" s="1191"/>
      <c r="K86" s="1191"/>
      <c r="L86" s="1191"/>
      <c r="M86" s="1191"/>
      <c r="N86" s="1191"/>
      <c r="O86" s="1191"/>
      <c r="P86" s="1191"/>
      <c r="Q86" s="1191"/>
      <c r="R86" s="1191"/>
      <c r="S86" s="1191"/>
      <c r="T86" s="1191"/>
      <c r="U86" s="1191"/>
      <c r="V86" s="1191"/>
      <c r="W86" s="1191"/>
      <c r="X86" s="1191"/>
      <c r="Y86" s="1191"/>
      <c r="Z86" s="1191"/>
      <c r="AA86" s="1191"/>
      <c r="AB86" s="1191"/>
      <c r="AC86" s="1191"/>
      <c r="AD86" s="1191"/>
      <c r="AE86" s="1191"/>
      <c r="AF86" s="1191"/>
      <c r="AG86" s="1191"/>
      <c r="AH86" s="1191"/>
      <c r="AI86" s="1191"/>
      <c r="AJ86" s="1191"/>
      <c r="AK86" s="1191"/>
      <c r="AL86" s="1191"/>
      <c r="AM86" s="1191"/>
      <c r="AN86" s="1191"/>
      <c r="AO86" s="1191"/>
      <c r="AP86" s="1191"/>
      <c r="AQ86" s="1191"/>
      <c r="AR86" s="1191"/>
      <c r="AS86" s="1191"/>
      <c r="AT86" s="1191"/>
      <c r="AU86" s="1191"/>
      <c r="AV86" s="1191"/>
      <c r="AW86" s="1191"/>
      <c r="AX86" s="1191"/>
      <c r="AY86" s="1191"/>
      <c r="AZ86" s="1191"/>
      <c r="BA86" s="1191"/>
      <c r="BB86" s="1191"/>
      <c r="BC86" s="1191"/>
      <c r="BD86" s="1191"/>
      <c r="BE86" s="1191"/>
      <c r="BF86" s="1191"/>
      <c r="BG86" s="1191"/>
      <c r="BH86" s="1191"/>
      <c r="BI86" s="1191"/>
      <c r="BJ86" s="1191"/>
      <c r="BK86" s="1191"/>
      <c r="BL86" s="1191"/>
      <c r="BM86" s="1191"/>
      <c r="BN86" s="965"/>
      <c r="BO86" s="965"/>
      <c r="BP86" s="965"/>
      <c r="BQ86" s="965"/>
      <c r="BR86" s="965"/>
      <c r="BS86" s="965"/>
      <c r="BT86" s="965"/>
      <c r="BU86" s="965"/>
      <c r="BV86" s="965"/>
      <c r="BW86" s="965"/>
      <c r="BX86" s="965"/>
      <c r="BY86" s="1058"/>
      <c r="BZ86" s="965"/>
      <c r="CA86" s="965"/>
      <c r="CB86" s="965"/>
      <c r="CC86" s="965"/>
      <c r="CD86" s="965"/>
      <c r="CE86" s="965"/>
      <c r="CF86" s="965"/>
      <c r="CG86" s="965"/>
      <c r="CH86" s="965"/>
      <c r="CI86" s="965"/>
      <c r="CJ86" s="965"/>
      <c r="CK86" s="1058" t="s">
        <v>1249</v>
      </c>
      <c r="CL86" s="998" t="s">
        <v>629</v>
      </c>
      <c r="CP86" s="950"/>
      <c r="CQ86" s="998" t="s">
        <v>662</v>
      </c>
      <c r="CW86" s="1073" t="s">
        <v>1177</v>
      </c>
      <c r="CX86" s="1198"/>
      <c r="CY86" s="1198"/>
      <c r="CZ86" s="1198"/>
      <c r="DA86" s="1198"/>
      <c r="DB86" s="1198"/>
      <c r="DC86" s="1198"/>
      <c r="DD86" s="1198"/>
      <c r="DE86" s="1198"/>
      <c r="DF86" s="1198"/>
      <c r="DG86" s="1198"/>
      <c r="DH86" s="1198"/>
      <c r="DI86" s="1198"/>
      <c r="DJ86" s="1198"/>
      <c r="DK86" s="1198"/>
      <c r="DL86" s="1198"/>
      <c r="DM86" s="1198"/>
      <c r="DN86" s="1198"/>
      <c r="DO86" s="1198"/>
      <c r="DP86" s="1198"/>
    </row>
    <row r="87" ht="21.0" customHeight="1">
      <c r="A87" s="644"/>
      <c r="B87" s="1202" t="s">
        <v>440</v>
      </c>
      <c r="C87" s="1191"/>
      <c r="D87" s="1191"/>
      <c r="E87" s="1191"/>
      <c r="F87" s="1191"/>
      <c r="G87" s="1191"/>
      <c r="H87" s="1191"/>
      <c r="I87" s="1191"/>
      <c r="J87" s="1191"/>
      <c r="K87" s="1191"/>
      <c r="L87" s="1191"/>
      <c r="M87" s="1191"/>
      <c r="N87" s="1191"/>
      <c r="O87" s="1191"/>
      <c r="P87" s="1191"/>
      <c r="Q87" s="1191"/>
      <c r="R87" s="1191"/>
      <c r="S87" s="1191"/>
      <c r="T87" s="1191"/>
      <c r="U87" s="1191"/>
      <c r="V87" s="1191"/>
      <c r="W87" s="1191"/>
      <c r="X87" s="1191"/>
      <c r="Y87" s="1191"/>
      <c r="Z87" s="1191"/>
      <c r="AA87" s="1191"/>
      <c r="AB87" s="1191"/>
      <c r="AC87" s="1191"/>
      <c r="AD87" s="1191"/>
      <c r="AE87" s="1191"/>
      <c r="AF87" s="1191"/>
      <c r="AG87" s="1191"/>
      <c r="AH87" s="1191"/>
      <c r="AI87" s="1191"/>
      <c r="AJ87" s="1191"/>
      <c r="AK87" s="1191"/>
      <c r="AL87" s="1191"/>
      <c r="AM87" s="1191"/>
      <c r="AN87" s="1191"/>
      <c r="AO87" s="1191"/>
      <c r="AP87" s="1191"/>
      <c r="AQ87" s="1191"/>
      <c r="AR87" s="1191"/>
      <c r="AS87" s="1191"/>
      <c r="AT87" s="1191"/>
      <c r="AU87" s="1191"/>
      <c r="AV87" s="1191"/>
      <c r="AW87" s="1191"/>
      <c r="AX87" s="1191"/>
      <c r="AY87" s="1191"/>
      <c r="AZ87" s="1191"/>
      <c r="BA87" s="1191"/>
      <c r="BB87" s="1191"/>
      <c r="BC87" s="1191"/>
      <c r="BD87" s="1191"/>
      <c r="BE87" s="1191"/>
      <c r="BF87" s="1191"/>
      <c r="BG87" s="1191"/>
      <c r="BH87" s="1191"/>
      <c r="BI87" s="1191"/>
      <c r="BJ87" s="1191"/>
      <c r="BK87" s="1191"/>
      <c r="BL87" s="1191"/>
      <c r="BM87" s="1191"/>
      <c r="BN87" s="965"/>
      <c r="BO87" s="965"/>
      <c r="BP87" s="965"/>
      <c r="BQ87" s="965"/>
      <c r="BR87" s="965"/>
      <c r="BS87" s="965"/>
      <c r="BT87" s="965"/>
      <c r="BU87" s="1058" t="s">
        <v>1250</v>
      </c>
      <c r="BV87" s="982" t="s">
        <v>157</v>
      </c>
      <c r="CE87" s="983" t="s">
        <v>122</v>
      </c>
      <c r="CI87" s="983" t="s">
        <v>397</v>
      </c>
      <c r="CO87" s="983" t="s">
        <v>116</v>
      </c>
      <c r="DD87" s="1073" t="s">
        <v>1251</v>
      </c>
      <c r="DE87" s="1073"/>
      <c r="DF87" s="1198"/>
      <c r="DG87" s="1198"/>
      <c r="DH87" s="1198"/>
      <c r="DI87" s="1198"/>
      <c r="DJ87" s="1198"/>
      <c r="DK87" s="1198"/>
      <c r="DL87" s="1198"/>
      <c r="DM87" s="1198"/>
      <c r="DN87" s="1198"/>
      <c r="DO87" s="1198"/>
      <c r="DP87" s="1198"/>
    </row>
    <row r="88" ht="21.0" customHeight="1">
      <c r="A88" s="644"/>
      <c r="B88" s="1203" t="s">
        <v>740</v>
      </c>
      <c r="C88" s="1191"/>
      <c r="D88" s="1191"/>
      <c r="E88" s="1191"/>
      <c r="F88" s="1191"/>
      <c r="G88" s="1191"/>
      <c r="H88" s="1191"/>
      <c r="I88" s="1191"/>
      <c r="J88" s="1191"/>
      <c r="K88" s="1191"/>
      <c r="L88" s="1191"/>
      <c r="M88" s="1191"/>
      <c r="N88" s="1191"/>
      <c r="O88" s="1191"/>
      <c r="P88" s="1191"/>
      <c r="Q88" s="1191"/>
      <c r="R88" s="1191"/>
      <c r="S88" s="1191"/>
      <c r="T88" s="1191"/>
      <c r="U88" s="1191"/>
      <c r="V88" s="1191"/>
      <c r="W88" s="1191"/>
      <c r="X88" s="1191"/>
      <c r="Y88" s="1191"/>
      <c r="Z88" s="1191"/>
      <c r="AA88" s="1191"/>
      <c r="AB88" s="1191"/>
      <c r="AC88" s="1191"/>
      <c r="AD88" s="1191"/>
      <c r="AE88" s="1191"/>
      <c r="AF88" s="1191"/>
      <c r="AG88" s="1191"/>
      <c r="AH88" s="1191"/>
      <c r="AI88" s="1191"/>
      <c r="AJ88" s="1191"/>
      <c r="AK88" s="1191"/>
      <c r="AL88" s="1191"/>
      <c r="AM88" s="1191"/>
      <c r="AN88" s="1191"/>
      <c r="AO88" s="1191"/>
      <c r="AP88" s="1191"/>
      <c r="AQ88" s="1191"/>
      <c r="AR88" s="1191"/>
      <c r="AS88" s="1191"/>
      <c r="AT88" s="1191"/>
      <c r="AU88" s="1191"/>
      <c r="AV88" s="1191"/>
      <c r="AW88" s="1191"/>
      <c r="AX88" s="1191"/>
      <c r="AY88" s="1191"/>
      <c r="AZ88" s="1191"/>
      <c r="BA88" s="1191"/>
      <c r="BB88" s="1191"/>
      <c r="BC88" s="1191"/>
      <c r="BD88" s="1191"/>
      <c r="BE88" s="1191"/>
      <c r="BF88" s="1191"/>
      <c r="BG88" s="1191"/>
      <c r="BH88" s="1191"/>
      <c r="BI88" s="1191"/>
      <c r="BJ88" s="1191"/>
      <c r="BK88" s="1191"/>
      <c r="BL88" s="1191"/>
      <c r="BM88" s="1191"/>
      <c r="BN88" s="965"/>
      <c r="BO88" s="965"/>
      <c r="BP88" s="965"/>
      <c r="BQ88" s="965"/>
      <c r="BR88" s="965"/>
      <c r="BS88" s="965"/>
      <c r="BT88" s="965"/>
      <c r="BU88" s="965"/>
      <c r="BV88" s="965"/>
      <c r="BW88" s="965"/>
      <c r="BX88" s="965"/>
      <c r="BY88" s="1058"/>
      <c r="BZ88" s="965"/>
      <c r="CA88" s="965"/>
      <c r="CB88" s="965"/>
      <c r="CC88" s="965"/>
      <c r="CD88" s="965"/>
      <c r="CE88" s="965"/>
      <c r="CF88" s="965"/>
      <c r="CG88" s="965"/>
      <c r="CH88" s="965"/>
      <c r="CI88" s="965"/>
      <c r="CJ88" s="965"/>
      <c r="CK88" s="965"/>
      <c r="CL88" s="965"/>
      <c r="CM88" s="965"/>
      <c r="CN88" s="965"/>
      <c r="CO88" s="985" t="s">
        <v>16</v>
      </c>
      <c r="DD88" s="1073" t="s">
        <v>1252</v>
      </c>
      <c r="DE88" s="1073"/>
      <c r="DF88" s="1198"/>
      <c r="DG88" s="1198"/>
      <c r="DH88" s="1198"/>
      <c r="DI88" s="1198"/>
      <c r="DJ88" s="1198"/>
      <c r="DK88" s="1198"/>
      <c r="DL88" s="1198"/>
      <c r="DM88" s="1198"/>
      <c r="DN88" s="1198"/>
      <c r="DO88" s="1198"/>
      <c r="DP88" s="1198"/>
    </row>
    <row r="89" ht="21.0" customHeight="1">
      <c r="A89" s="658"/>
      <c r="B89" s="1204" t="s">
        <v>449</v>
      </c>
      <c r="C89" s="1191"/>
      <c r="D89" s="1191"/>
      <c r="E89" s="1191"/>
      <c r="F89" s="1191"/>
      <c r="G89" s="1191"/>
      <c r="H89" s="1191"/>
      <c r="I89" s="1191"/>
      <c r="J89" s="1191"/>
      <c r="K89" s="1191"/>
      <c r="L89" s="1191"/>
      <c r="M89" s="1191"/>
      <c r="N89" s="1191"/>
      <c r="O89" s="1191"/>
      <c r="P89" s="1191"/>
      <c r="Q89" s="1191"/>
      <c r="R89" s="1191"/>
      <c r="S89" s="1191"/>
      <c r="T89" s="1191"/>
      <c r="U89" s="1191"/>
      <c r="V89" s="1191"/>
      <c r="W89" s="1191"/>
      <c r="X89" s="1191"/>
      <c r="Y89" s="1191"/>
      <c r="Z89" s="1191"/>
      <c r="AA89" s="1191"/>
      <c r="AB89" s="1191"/>
      <c r="AC89" s="1191"/>
      <c r="AD89" s="1191"/>
      <c r="AE89" s="1191"/>
      <c r="AF89" s="1191"/>
      <c r="AG89" s="1191"/>
      <c r="AH89" s="1191"/>
      <c r="AI89" s="1191"/>
      <c r="AJ89" s="1191"/>
      <c r="AK89" s="1191"/>
      <c r="AL89" s="1191"/>
      <c r="AM89" s="1191"/>
      <c r="AN89" s="1191"/>
      <c r="AO89" s="1191"/>
      <c r="AP89" s="1191"/>
      <c r="AQ89" s="1191"/>
      <c r="AR89" s="1191"/>
      <c r="AS89" s="1191"/>
      <c r="AT89" s="1191"/>
      <c r="AU89" s="1191"/>
      <c r="AV89" s="1191"/>
      <c r="AW89" s="1191"/>
      <c r="AX89" s="1191"/>
      <c r="AY89" s="1191"/>
      <c r="AZ89" s="1191"/>
      <c r="BA89" s="1191"/>
      <c r="BB89" s="1191"/>
      <c r="BC89" s="1191"/>
      <c r="BD89" s="1191"/>
      <c r="BE89" s="1191"/>
      <c r="BF89" s="1191"/>
      <c r="BG89" s="1191"/>
      <c r="BH89" s="1191"/>
      <c r="BI89" s="1191"/>
      <c r="BJ89" s="1191"/>
      <c r="BK89" s="1191"/>
      <c r="BL89" s="1191"/>
      <c r="BM89" s="1191"/>
      <c r="BN89" s="965"/>
      <c r="BO89" s="965"/>
      <c r="BP89" s="965"/>
      <c r="BQ89" s="965"/>
      <c r="BR89" s="965"/>
      <c r="BS89" s="965"/>
      <c r="BT89" s="965"/>
      <c r="BU89" s="965"/>
      <c r="BV89" s="965"/>
      <c r="BW89" s="965"/>
      <c r="BX89" s="1058" t="s">
        <v>1253</v>
      </c>
      <c r="BY89" s="1012" t="s">
        <v>1254</v>
      </c>
      <c r="CE89" s="1205" t="s">
        <v>299</v>
      </c>
      <c r="CO89" s="1205" t="s">
        <v>154</v>
      </c>
      <c r="DD89" s="1073" t="s">
        <v>1248</v>
      </c>
      <c r="DE89" s="1073"/>
      <c r="DF89" s="1198"/>
      <c r="DG89" s="1198"/>
      <c r="DH89" s="1198"/>
      <c r="DI89" s="1198"/>
      <c r="DJ89" s="1198"/>
      <c r="DK89" s="1198"/>
      <c r="DL89" s="1198"/>
      <c r="DM89" s="1198"/>
      <c r="DN89" s="1198"/>
      <c r="DO89" s="1198"/>
      <c r="DP89" s="1198"/>
    </row>
  </sheetData>
  <mergeCells count="435">
    <mergeCell ref="BW6:BZ6"/>
    <mergeCell ref="BO8:BV8"/>
    <mergeCell ref="BW8:BZ8"/>
    <mergeCell ref="BN5:BN13"/>
    <mergeCell ref="BO13:BP13"/>
    <mergeCell ref="BQ13:BU13"/>
    <mergeCell ref="BW13:BZ13"/>
    <mergeCell ref="BW3:BX3"/>
    <mergeCell ref="BY3:BZ3"/>
    <mergeCell ref="BH5:BI13"/>
    <mergeCell ref="BL5:BM6"/>
    <mergeCell ref="BW9:BZ9"/>
    <mergeCell ref="BO10:BV10"/>
    <mergeCell ref="BX12:BZ12"/>
    <mergeCell ref="BO5:BV5"/>
    <mergeCell ref="BO6:BV6"/>
    <mergeCell ref="BJ6:BK6"/>
    <mergeCell ref="BJ8:BK8"/>
    <mergeCell ref="BJ9:BK9"/>
    <mergeCell ref="BO9:BV9"/>
    <mergeCell ref="BW10:CD10"/>
    <mergeCell ref="CE10:CI10"/>
    <mergeCell ref="CJ10:CO10"/>
    <mergeCell ref="BJ5:BK5"/>
    <mergeCell ref="BJ10:BK10"/>
    <mergeCell ref="BL8:BM13"/>
    <mergeCell ref="BJ11:BK11"/>
    <mergeCell ref="BJ12:BK12"/>
    <mergeCell ref="BO11:BV11"/>
    <mergeCell ref="BW11:BZ11"/>
    <mergeCell ref="CA11:CD11"/>
    <mergeCell ref="CE11:CI11"/>
    <mergeCell ref="CJ11:CO11"/>
    <mergeCell ref="BO12:BR12"/>
    <mergeCell ref="BS12:BV12"/>
    <mergeCell ref="CJ12:CO12"/>
    <mergeCell ref="H31:H32"/>
    <mergeCell ref="I31:K32"/>
    <mergeCell ref="N32:P32"/>
    <mergeCell ref="Q32:S32"/>
    <mergeCell ref="C32:G32"/>
    <mergeCell ref="I33:M33"/>
    <mergeCell ref="C34:J34"/>
    <mergeCell ref="K34:M34"/>
    <mergeCell ref="C35:J35"/>
    <mergeCell ref="C36:M36"/>
    <mergeCell ref="C37:S37"/>
    <mergeCell ref="K40:P40"/>
    <mergeCell ref="N41:P41"/>
    <mergeCell ref="S42:T42"/>
    <mergeCell ref="C38:G38"/>
    <mergeCell ref="C53:H53"/>
    <mergeCell ref="I53:P53"/>
    <mergeCell ref="H5:N5"/>
    <mergeCell ref="H11:J11"/>
    <mergeCell ref="K11:N11"/>
    <mergeCell ref="K12:N12"/>
    <mergeCell ref="A30:A89"/>
    <mergeCell ref="C30:E30"/>
    <mergeCell ref="C31:G31"/>
    <mergeCell ref="C54:I54"/>
    <mergeCell ref="V6:Z6"/>
    <mergeCell ref="AA6:AA9"/>
    <mergeCell ref="V8:Z8"/>
    <mergeCell ref="V9:Z9"/>
    <mergeCell ref="H10:N10"/>
    <mergeCell ref="Q10:AC10"/>
    <mergeCell ref="Q11:S11"/>
    <mergeCell ref="T11:U11"/>
    <mergeCell ref="V11:AA11"/>
    <mergeCell ref="AB11:AC11"/>
    <mergeCell ref="AE11:AH11"/>
    <mergeCell ref="R12:U12"/>
    <mergeCell ref="V12:W12"/>
    <mergeCell ref="X12:AC12"/>
    <mergeCell ref="AE12:AH12"/>
    <mergeCell ref="AB15:AI15"/>
    <mergeCell ref="AE16:AI16"/>
    <mergeCell ref="O5:P13"/>
    <mergeCell ref="Q5:AC5"/>
    <mergeCell ref="AE5:AH5"/>
    <mergeCell ref="AI5:AI12"/>
    <mergeCell ref="AE8:AH8"/>
    <mergeCell ref="AE9:AH9"/>
    <mergeCell ref="AE10:AH10"/>
    <mergeCell ref="C5:G5"/>
    <mergeCell ref="C8:G8"/>
    <mergeCell ref="H8:I8"/>
    <mergeCell ref="K8:N8"/>
    <mergeCell ref="R8:U8"/>
    <mergeCell ref="AB8:AD8"/>
    <mergeCell ref="A5:B5"/>
    <mergeCell ref="C9:G9"/>
    <mergeCell ref="A21:A26"/>
    <mergeCell ref="R9:U9"/>
    <mergeCell ref="AB9:AD9"/>
    <mergeCell ref="H9:I9"/>
    <mergeCell ref="K9:N9"/>
    <mergeCell ref="L15:U15"/>
    <mergeCell ref="W15:AA15"/>
    <mergeCell ref="K16:M16"/>
    <mergeCell ref="N16:P16"/>
    <mergeCell ref="Q16:S16"/>
    <mergeCell ref="H38:V38"/>
    <mergeCell ref="W38:AC38"/>
    <mergeCell ref="U43:AA43"/>
    <mergeCell ref="AB44:AD44"/>
    <mergeCell ref="Q45:AB45"/>
    <mergeCell ref="AC45:AE45"/>
    <mergeCell ref="T47:V47"/>
    <mergeCell ref="W47:AA47"/>
    <mergeCell ref="BM61:BN61"/>
    <mergeCell ref="BM62:BN62"/>
    <mergeCell ref="BM63:BN63"/>
    <mergeCell ref="BM64:BN64"/>
    <mergeCell ref="BM65:BP65"/>
    <mergeCell ref="BR65:BT65"/>
    <mergeCell ref="BQ66:BT66"/>
    <mergeCell ref="BM66:BP66"/>
    <mergeCell ref="BM67:BQ67"/>
    <mergeCell ref="BR67:BU67"/>
    <mergeCell ref="BM68:BW68"/>
    <mergeCell ref="BV69:BX69"/>
    <mergeCell ref="BQ70:BX70"/>
    <mergeCell ref="BW71:BY71"/>
    <mergeCell ref="BM70:BP70"/>
    <mergeCell ref="BM72:BT72"/>
    <mergeCell ref="BU72:BV72"/>
    <mergeCell ref="BW72:BZ72"/>
    <mergeCell ref="CA72:CI72"/>
    <mergeCell ref="BM73:BZ73"/>
    <mergeCell ref="CA73:CI73"/>
    <mergeCell ref="BM74:BZ74"/>
    <mergeCell ref="CA74:CI74"/>
    <mergeCell ref="BM75:BY75"/>
    <mergeCell ref="BZ75:CA75"/>
    <mergeCell ref="BM76:BX76"/>
    <mergeCell ref="BY76:CA76"/>
    <mergeCell ref="BZ77:CA77"/>
    <mergeCell ref="CA81:CB81"/>
    <mergeCell ref="BM83:BY83"/>
    <mergeCell ref="BY84:CA84"/>
    <mergeCell ref="CB78:CH78"/>
    <mergeCell ref="CH79:CJ79"/>
    <mergeCell ref="CG80:CK80"/>
    <mergeCell ref="CC81:CJ81"/>
    <mergeCell ref="CK81:CL81"/>
    <mergeCell ref="CM81:CN81"/>
    <mergeCell ref="CP82:CR82"/>
    <mergeCell ref="BV87:CD87"/>
    <mergeCell ref="CE87:CH87"/>
    <mergeCell ref="CI87:CN87"/>
    <mergeCell ref="CO87:DC87"/>
    <mergeCell ref="CO88:DC88"/>
    <mergeCell ref="BY89:CD89"/>
    <mergeCell ref="CE89:CN89"/>
    <mergeCell ref="CO89:DC89"/>
    <mergeCell ref="BZ83:CL83"/>
    <mergeCell ref="CM83:CO83"/>
    <mergeCell ref="CP83:CV83"/>
    <mergeCell ref="CB84:CP84"/>
    <mergeCell ref="BZ85:CP85"/>
    <mergeCell ref="CL86:CP86"/>
    <mergeCell ref="CQ86:CV86"/>
    <mergeCell ref="T16:W16"/>
    <mergeCell ref="AB16:AC16"/>
    <mergeCell ref="C21:BK26"/>
    <mergeCell ref="BL21:BM26"/>
    <mergeCell ref="BN21:BN26"/>
    <mergeCell ref="C28:BK28"/>
    <mergeCell ref="BL28:BM28"/>
    <mergeCell ref="X16:AA16"/>
    <mergeCell ref="T32:AA32"/>
    <mergeCell ref="AB32:AI32"/>
    <mergeCell ref="AJ32:AN32"/>
    <mergeCell ref="P35:AD35"/>
    <mergeCell ref="T37:AA37"/>
    <mergeCell ref="AB37:AE37"/>
    <mergeCell ref="AE38:AK38"/>
    <mergeCell ref="AJ46:AT46"/>
    <mergeCell ref="AU46:AX46"/>
    <mergeCell ref="AB47:AI47"/>
    <mergeCell ref="AJ47:AN47"/>
    <mergeCell ref="AK48:AN48"/>
    <mergeCell ref="AK49:AN49"/>
    <mergeCell ref="AO53:BB53"/>
    <mergeCell ref="BC53:BI53"/>
    <mergeCell ref="BJ53:BL53"/>
    <mergeCell ref="AO50:AY50"/>
    <mergeCell ref="AU51:AY51"/>
    <mergeCell ref="AZ51:BD51"/>
    <mergeCell ref="AD52:AE52"/>
    <mergeCell ref="AF52:BB52"/>
    <mergeCell ref="BC52:BF52"/>
    <mergeCell ref="Q53:AN53"/>
    <mergeCell ref="J54:AB54"/>
    <mergeCell ref="AC54:AJ54"/>
    <mergeCell ref="AK54:AY54"/>
    <mergeCell ref="AZ54:BL54"/>
    <mergeCell ref="AL55:BB55"/>
    <mergeCell ref="BC55:BL55"/>
    <mergeCell ref="AO56:BL56"/>
    <mergeCell ref="AZ57:BE57"/>
    <mergeCell ref="BG57:BI57"/>
    <mergeCell ref="BJ57:BL57"/>
    <mergeCell ref="BC58:BF58"/>
    <mergeCell ref="BG58:BL58"/>
    <mergeCell ref="BC59:BL59"/>
    <mergeCell ref="BM60:BN60"/>
    <mergeCell ref="CS3:CV3"/>
    <mergeCell ref="CW3:CX3"/>
    <mergeCell ref="CB3:CD3"/>
    <mergeCell ref="CE3:CF3"/>
    <mergeCell ref="CG3:CI3"/>
    <mergeCell ref="CJ3:CK3"/>
    <mergeCell ref="CL3:CM3"/>
    <mergeCell ref="CN3:CO3"/>
    <mergeCell ref="CQ3:CR3"/>
    <mergeCell ref="DG5:DM5"/>
    <mergeCell ref="DG6:DM6"/>
    <mergeCell ref="DG7:DI7"/>
    <mergeCell ref="CE5:CI5"/>
    <mergeCell ref="CJ5:CO5"/>
    <mergeCell ref="CQ5:CV5"/>
    <mergeCell ref="CW5:DE5"/>
    <mergeCell ref="CJ6:CO6"/>
    <mergeCell ref="CQ6:CV6"/>
    <mergeCell ref="CW6:DE6"/>
    <mergeCell ref="BL1:BP1"/>
    <mergeCell ref="BQ1:BX1"/>
    <mergeCell ref="BY1:CD1"/>
    <mergeCell ref="CE1:CM1"/>
    <mergeCell ref="CN1:CR1"/>
    <mergeCell ref="CS1:DB1"/>
    <mergeCell ref="DC1:DH1"/>
    <mergeCell ref="DI1:DP1"/>
    <mergeCell ref="AC1:AF1"/>
    <mergeCell ref="AG1:AL1"/>
    <mergeCell ref="AM1:AS1"/>
    <mergeCell ref="AT1:AV1"/>
    <mergeCell ref="AW1:BB1"/>
    <mergeCell ref="BC1:BE1"/>
    <mergeCell ref="BF1:BK1"/>
    <mergeCell ref="C2:L2"/>
    <mergeCell ref="M2:AE2"/>
    <mergeCell ref="AF2:AX2"/>
    <mergeCell ref="AY2:BR2"/>
    <mergeCell ref="BS2:CX2"/>
    <mergeCell ref="CY2:DP2"/>
    <mergeCell ref="F3:G3"/>
    <mergeCell ref="K3:L3"/>
    <mergeCell ref="Q3:R3"/>
    <mergeCell ref="S3:T3"/>
    <mergeCell ref="A1:B3"/>
    <mergeCell ref="D1:H1"/>
    <mergeCell ref="I1:L1"/>
    <mergeCell ref="M1:N1"/>
    <mergeCell ref="O1:R1"/>
    <mergeCell ref="S1:Y1"/>
    <mergeCell ref="Z1:AB1"/>
    <mergeCell ref="AC3:AD3"/>
    <mergeCell ref="CY3:CZ3"/>
    <mergeCell ref="DA3:DB3"/>
    <mergeCell ref="DC3:DE3"/>
    <mergeCell ref="DG3:DH3"/>
    <mergeCell ref="DI3:DL3"/>
    <mergeCell ref="DM3:DP3"/>
    <mergeCell ref="U3:V3"/>
    <mergeCell ref="W3:X3"/>
    <mergeCell ref="AH3:AJ3"/>
    <mergeCell ref="AK3:AL3"/>
    <mergeCell ref="AM3:AN3"/>
    <mergeCell ref="AO3:AP3"/>
    <mergeCell ref="AQ3:AR3"/>
    <mergeCell ref="AZ3:BA3"/>
    <mergeCell ref="BH3:BI3"/>
    <mergeCell ref="BJ3:BK3"/>
    <mergeCell ref="BL3:BM3"/>
    <mergeCell ref="BO3:BP3"/>
    <mergeCell ref="BQ3:BR3"/>
    <mergeCell ref="BS3:BV3"/>
    <mergeCell ref="AJ5:AN5"/>
    <mergeCell ref="AO5:AR5"/>
    <mergeCell ref="AS5:AY5"/>
    <mergeCell ref="AZ5:BG5"/>
    <mergeCell ref="BW5:CD5"/>
    <mergeCell ref="A6:B6"/>
    <mergeCell ref="C6:G6"/>
    <mergeCell ref="H6:I6"/>
    <mergeCell ref="J6:J9"/>
    <mergeCell ref="K6:N6"/>
    <mergeCell ref="R6:U6"/>
    <mergeCell ref="AS8:AT8"/>
    <mergeCell ref="AV8:AW8"/>
    <mergeCell ref="AX8:AY8"/>
    <mergeCell ref="AZ8:BC8"/>
    <mergeCell ref="CB16:CH16"/>
    <mergeCell ref="CJ16:CO16"/>
    <mergeCell ref="CP16:CU16"/>
    <mergeCell ref="CW16:DH16"/>
    <mergeCell ref="CW17:DI17"/>
    <mergeCell ref="DJ17:DM17"/>
    <mergeCell ref="BL15:CS15"/>
    <mergeCell ref="CT15:DK15"/>
    <mergeCell ref="DL15:DM15"/>
    <mergeCell ref="BO16:BR16"/>
    <mergeCell ref="BS16:BU16"/>
    <mergeCell ref="BV16:BY16"/>
    <mergeCell ref="BZ16:CA16"/>
    <mergeCell ref="DJ16:DM16"/>
    <mergeCell ref="CB6:CD6"/>
    <mergeCell ref="CB8:CD8"/>
    <mergeCell ref="CE8:CI8"/>
    <mergeCell ref="CJ8:CO8"/>
    <mergeCell ref="CQ8:CV8"/>
    <mergeCell ref="CW8:DE8"/>
    <mergeCell ref="DG8:DM8"/>
    <mergeCell ref="AX9:AY9"/>
    <mergeCell ref="AZ9:BC9"/>
    <mergeCell ref="CA6:CA9"/>
    <mergeCell ref="CB9:CD9"/>
    <mergeCell ref="AX6:AY6"/>
    <mergeCell ref="AZ6:BC6"/>
    <mergeCell ref="BD6:BD9"/>
    <mergeCell ref="BF6:BG6"/>
    <mergeCell ref="CE6:CI6"/>
    <mergeCell ref="BF8:BG8"/>
    <mergeCell ref="BF9:BG9"/>
    <mergeCell ref="CE9:CI9"/>
    <mergeCell ref="CJ9:CO9"/>
    <mergeCell ref="CQ9:CV9"/>
    <mergeCell ref="CW9:DE9"/>
    <mergeCell ref="DG9:DM9"/>
    <mergeCell ref="CW10:DE10"/>
    <mergeCell ref="DG10:DM10"/>
    <mergeCell ref="CQ10:CV10"/>
    <mergeCell ref="CR11:CV11"/>
    <mergeCell ref="CW11:CY11"/>
    <mergeCell ref="CZ11:DE11"/>
    <mergeCell ref="DG11:DM11"/>
    <mergeCell ref="CQ12:CV12"/>
    <mergeCell ref="CW12:DE12"/>
    <mergeCell ref="C15:E16"/>
    <mergeCell ref="C17:E17"/>
    <mergeCell ref="K17:M17"/>
    <mergeCell ref="N17:P17"/>
    <mergeCell ref="Q17:W17"/>
    <mergeCell ref="X17:AA17"/>
    <mergeCell ref="F17:J17"/>
    <mergeCell ref="C18:E18"/>
    <mergeCell ref="F18:J18"/>
    <mergeCell ref="Q18:S18"/>
    <mergeCell ref="T18:W18"/>
    <mergeCell ref="X18:AA18"/>
    <mergeCell ref="A8:A13"/>
    <mergeCell ref="C10:G10"/>
    <mergeCell ref="C11:G11"/>
    <mergeCell ref="C12:G12"/>
    <mergeCell ref="A15:A19"/>
    <mergeCell ref="G15:J15"/>
    <mergeCell ref="F16:J16"/>
    <mergeCell ref="AS17:AY17"/>
    <mergeCell ref="AZ17:BD17"/>
    <mergeCell ref="BO17:BU17"/>
    <mergeCell ref="BV17:CA17"/>
    <mergeCell ref="CB17:CI17"/>
    <mergeCell ref="CJ17:CQ17"/>
    <mergeCell ref="CR17:CV17"/>
    <mergeCell ref="AB17:AI17"/>
    <mergeCell ref="AB18:AD18"/>
    <mergeCell ref="AE18:AI18"/>
    <mergeCell ref="AK18:AL18"/>
    <mergeCell ref="AN18:AO18"/>
    <mergeCell ref="AK19:AL19"/>
    <mergeCell ref="BL16:BM19"/>
    <mergeCell ref="BN18:BN19"/>
    <mergeCell ref="BO19:BT19"/>
    <mergeCell ref="AJ15:AU15"/>
    <mergeCell ref="AM16:AP16"/>
    <mergeCell ref="AR16:BD16"/>
    <mergeCell ref="BE16:BK16"/>
    <mergeCell ref="AK17:AL17"/>
    <mergeCell ref="BE17:BK17"/>
    <mergeCell ref="BE18:BK18"/>
    <mergeCell ref="AP18:AQ18"/>
    <mergeCell ref="AR18:AZ18"/>
    <mergeCell ref="BO18:BU18"/>
    <mergeCell ref="CD18:CH18"/>
    <mergeCell ref="CI18:CJ18"/>
    <mergeCell ref="CK18:CM18"/>
    <mergeCell ref="DG18:DM18"/>
    <mergeCell ref="DE25:DM25"/>
    <mergeCell ref="DK26:DM26"/>
    <mergeCell ref="DL28:DM28"/>
    <mergeCell ref="CS18:DF18"/>
    <mergeCell ref="CW19:DF19"/>
    <mergeCell ref="BO21:DM21"/>
    <mergeCell ref="CL22:DM22"/>
    <mergeCell ref="CO23:CY23"/>
    <mergeCell ref="CZ23:DM23"/>
    <mergeCell ref="CO24:DM24"/>
    <mergeCell ref="AJ8:AN8"/>
    <mergeCell ref="AO8:AR8"/>
    <mergeCell ref="AS9:AT9"/>
    <mergeCell ref="AV9:AW9"/>
    <mergeCell ref="AS10:AY10"/>
    <mergeCell ref="AZ10:BG10"/>
    <mergeCell ref="AB6:AD6"/>
    <mergeCell ref="AE6:AH6"/>
    <mergeCell ref="AJ6:AN6"/>
    <mergeCell ref="AO6:AR6"/>
    <mergeCell ref="AS6:AT6"/>
    <mergeCell ref="AU6:AU9"/>
    <mergeCell ref="AV6:AW6"/>
    <mergeCell ref="AV11:AW11"/>
    <mergeCell ref="AX11:AY11"/>
    <mergeCell ref="AZ11:BD11"/>
    <mergeCell ref="BE11:BG11"/>
    <mergeCell ref="AJ12:AN12"/>
    <mergeCell ref="AO12:AU12"/>
    <mergeCell ref="AV12:AW12"/>
    <mergeCell ref="AX12:AY12"/>
    <mergeCell ref="AZ12:BD12"/>
    <mergeCell ref="BE12:BG12"/>
    <mergeCell ref="AZ13:BD13"/>
    <mergeCell ref="AV15:BK15"/>
    <mergeCell ref="AJ9:AN9"/>
    <mergeCell ref="AO9:AR9"/>
    <mergeCell ref="AJ10:AN10"/>
    <mergeCell ref="AO10:AR10"/>
    <mergeCell ref="AK11:AN11"/>
    <mergeCell ref="AO11:AR11"/>
    <mergeCell ref="AS11:AU11"/>
    <mergeCell ref="AN17:AO17"/>
    <mergeCell ref="AP17:AQ17"/>
  </mergeCells>
  <conditionalFormatting sqref="B16:B19">
    <cfRule type="cellIs" dxfId="24" priority="1" operator="equal">
      <formula>"D66"</formula>
    </cfRule>
  </conditionalFormatting>
  <conditionalFormatting sqref="B16:B19">
    <cfRule type="cellIs" dxfId="18" priority="2" operator="equal">
      <formula>"MPN"</formula>
    </cfRule>
  </conditionalFormatting>
  <conditionalFormatting sqref="B16:B19">
    <cfRule type="cellIs" dxfId="25" priority="3" operator="equal">
      <formula>"S&amp;V"</formula>
    </cfRule>
  </conditionalFormatting>
  <conditionalFormatting sqref="B16:B19">
    <cfRule type="cellIs" dxfId="26" priority="4" operator="equal">
      <formula>"PVV"</formula>
    </cfRule>
  </conditionalFormatting>
  <conditionalFormatting sqref="B16:B19">
    <cfRule type="cellIs" dxfId="27" priority="5" operator="equal">
      <formula>"VVD"</formula>
    </cfRule>
  </conditionalFormatting>
  <conditionalFormatting sqref="B16:B19">
    <cfRule type="cellIs" dxfId="28" priority="6" operator="equal">
      <formula>"GL"</formula>
    </cfRule>
  </conditionalFormatting>
  <conditionalFormatting sqref="B16:B19">
    <cfRule type="cellIs" dxfId="29" priority="7" operator="equal">
      <formula>"PP"</formula>
    </cfRule>
  </conditionalFormatting>
  <conditionalFormatting sqref="B16:B19">
    <cfRule type="cellIs" dxfId="30" priority="8" operator="equal">
      <formula>"CDA"</formula>
    </cfRule>
  </conditionalFormatting>
  <drawing r:id="rId2"/>
  <legacy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14.43"/>
    <col customWidth="1" min="2" max="7" width="13.0"/>
    <col customWidth="1" min="8" max="8" width="7.29"/>
    <col customWidth="1" min="9" max="12" width="13.0"/>
    <col customWidth="1" min="13" max="14" width="7.29"/>
    <col customWidth="1" min="15" max="16" width="13.0"/>
    <col customWidth="1" min="17" max="18" width="3.71"/>
    <col customWidth="1" min="19" max="20" width="13.0"/>
    <col customWidth="1" min="21" max="22" width="6.57"/>
    <col customWidth="1" min="23" max="24" width="3.71"/>
    <col customWidth="1" min="25" max="25" width="13.0"/>
    <col customWidth="1" min="26" max="28" width="25.86"/>
    <col customWidth="1" min="29" max="30" width="7.29"/>
    <col customWidth="1" min="31" max="32" width="13.0"/>
    <col customWidth="1" min="33" max="33" width="25.86"/>
    <col customWidth="1" min="34" max="35" width="3.71"/>
    <col customWidth="1" min="36" max="39" width="13.0"/>
    <col customWidth="1" min="40" max="41" width="25.86"/>
    <col customWidth="1" min="42" max="43" width="7.29"/>
    <col customWidth="1" min="44" max="44" width="13.0"/>
    <col customWidth="1" min="45" max="46" width="6.57"/>
    <col customWidth="1" min="47" max="47" width="13.0"/>
    <col customWidth="1" min="48" max="49" width="6.57"/>
    <col customWidth="1" min="50" max="51" width="13.0"/>
    <col customWidth="1" hidden="1" min="52" max="53" width="13.0"/>
  </cols>
  <sheetData>
    <row r="1" ht="24.0" customHeight="1">
      <c r="A1" s="1206" t="s">
        <v>1255</v>
      </c>
      <c r="B1" s="1207" t="s">
        <v>498</v>
      </c>
      <c r="G1" s="1208"/>
      <c r="H1" s="1209"/>
      <c r="I1" s="1207" t="s">
        <v>1256</v>
      </c>
      <c r="M1" s="1210" t="s">
        <v>1257</v>
      </c>
      <c r="N1" s="20"/>
      <c r="O1" s="1207" t="s">
        <v>1084</v>
      </c>
      <c r="Q1" s="1210"/>
      <c r="R1" s="20"/>
      <c r="S1" s="1207" t="s">
        <v>632</v>
      </c>
      <c r="W1" s="1210"/>
      <c r="X1" s="20"/>
      <c r="Y1" s="1207" t="s">
        <v>441</v>
      </c>
      <c r="AC1" s="1210" t="s">
        <v>1258</v>
      </c>
      <c r="AD1" s="20"/>
      <c r="AE1" s="1207" t="s">
        <v>716</v>
      </c>
      <c r="AH1" s="1210"/>
      <c r="AI1" s="20"/>
      <c r="AJ1" s="1207" t="s">
        <v>745</v>
      </c>
      <c r="AP1" s="1210" t="s">
        <v>1259</v>
      </c>
      <c r="AQ1" s="20"/>
      <c r="AR1" s="1207" t="s">
        <v>1085</v>
      </c>
    </row>
    <row r="2">
      <c r="A2" s="21"/>
      <c r="B2" s="1211">
        <v>43422.0</v>
      </c>
      <c r="D2" s="1211">
        <v>43452.0</v>
      </c>
      <c r="F2" s="1211">
        <v>43119.0</v>
      </c>
      <c r="H2" s="21"/>
      <c r="I2" s="1211">
        <v>43515.0</v>
      </c>
      <c r="K2" s="1211">
        <v>43543.0</v>
      </c>
      <c r="M2" s="26"/>
      <c r="N2" s="27"/>
      <c r="O2" s="1212">
        <v>43574.0</v>
      </c>
      <c r="Q2" s="26"/>
      <c r="R2" s="27"/>
      <c r="S2" s="1213">
        <v>43604.0</v>
      </c>
      <c r="U2" s="141" t="s">
        <v>1260</v>
      </c>
      <c r="W2" s="26"/>
      <c r="X2" s="27"/>
      <c r="Y2" s="141" t="s">
        <v>1261</v>
      </c>
      <c r="Z2" s="1214">
        <v>43665.0</v>
      </c>
      <c r="AA2" s="1212">
        <v>43696.0</v>
      </c>
      <c r="AB2" s="1212">
        <v>43727.0</v>
      </c>
      <c r="AC2" s="26"/>
      <c r="AD2" s="27"/>
      <c r="AE2" s="1212">
        <v>43757.0</v>
      </c>
      <c r="AG2" s="1212">
        <v>43788.0</v>
      </c>
      <c r="AH2" s="26"/>
      <c r="AI2" s="27"/>
      <c r="AJ2" s="1212">
        <v>43818.0</v>
      </c>
      <c r="AL2" s="1212">
        <v>43485.0</v>
      </c>
      <c r="AN2" s="1212">
        <v>43151.0</v>
      </c>
      <c r="AO2" s="1212">
        <v>42814.0</v>
      </c>
      <c r="AP2" s="26"/>
      <c r="AQ2" s="27"/>
      <c r="AR2" s="1212">
        <v>43941.0</v>
      </c>
      <c r="AU2" s="1215">
        <v>43971.0</v>
      </c>
      <c r="AX2" s="1213">
        <v>44002.0</v>
      </c>
      <c r="AZ2" s="1212">
        <v>43666.0</v>
      </c>
    </row>
    <row r="3">
      <c r="A3" s="1216" t="s">
        <v>21</v>
      </c>
      <c r="B3" s="1217" t="s">
        <v>1262</v>
      </c>
      <c r="H3" s="1216" t="s">
        <v>547</v>
      </c>
      <c r="I3" s="1217" t="s">
        <v>1262</v>
      </c>
      <c r="M3" s="1218" t="s">
        <v>21</v>
      </c>
      <c r="N3" s="17"/>
      <c r="O3" s="1217" t="s">
        <v>1263</v>
      </c>
      <c r="Q3" s="1218" t="s">
        <v>547</v>
      </c>
      <c r="R3" s="17"/>
      <c r="S3" s="1217" t="s">
        <v>1263</v>
      </c>
      <c r="W3" s="1218" t="s">
        <v>547</v>
      </c>
      <c r="X3" s="17"/>
      <c r="Y3" s="1217" t="s">
        <v>1263</v>
      </c>
      <c r="AC3" s="1218" t="s">
        <v>21</v>
      </c>
      <c r="AD3" s="17"/>
      <c r="AE3" s="1217" t="s">
        <v>1263</v>
      </c>
      <c r="AH3" s="1218" t="s">
        <v>547</v>
      </c>
      <c r="AI3" s="17"/>
      <c r="AJ3" s="1217" t="s">
        <v>1263</v>
      </c>
      <c r="AP3" s="1218" t="s">
        <v>21</v>
      </c>
      <c r="AQ3" s="17"/>
      <c r="AR3" s="1217" t="s">
        <v>1263</v>
      </c>
    </row>
    <row r="4">
      <c r="A4" s="1219" t="s">
        <v>518</v>
      </c>
      <c r="B4" s="1220" t="s">
        <v>1264</v>
      </c>
      <c r="H4" s="1221" t="s">
        <v>440</v>
      </c>
      <c r="I4" s="1222" t="s">
        <v>397</v>
      </c>
      <c r="M4" s="1221" t="s">
        <v>440</v>
      </c>
      <c r="N4" s="115"/>
      <c r="O4" s="1223" t="s">
        <v>578</v>
      </c>
      <c r="P4" s="1224"/>
      <c r="Q4" s="1221" t="s">
        <v>440</v>
      </c>
      <c r="R4" s="115"/>
      <c r="S4" s="1223" t="s">
        <v>578</v>
      </c>
      <c r="T4" s="1224"/>
      <c r="U4" s="1224"/>
      <c r="V4" s="1224"/>
      <c r="W4" s="1221" t="s">
        <v>440</v>
      </c>
      <c r="X4" s="115"/>
      <c r="Y4" s="1223" t="s">
        <v>578</v>
      </c>
      <c r="Z4" s="1224"/>
      <c r="AA4" s="1224"/>
      <c r="AB4" s="1224"/>
      <c r="AC4" s="1225" t="s">
        <v>36</v>
      </c>
      <c r="AD4" s="115"/>
      <c r="AE4" s="1226" t="s">
        <v>157</v>
      </c>
      <c r="AF4" s="1224"/>
      <c r="AG4" s="1227"/>
      <c r="AH4" s="1225" t="s">
        <v>36</v>
      </c>
      <c r="AI4" s="115"/>
      <c r="AJ4" s="1226" t="s">
        <v>157</v>
      </c>
      <c r="AK4" s="1224"/>
      <c r="AL4" s="1224"/>
      <c r="AM4" s="1228" t="s">
        <v>176</v>
      </c>
      <c r="AN4" s="1224"/>
      <c r="AO4" s="1227"/>
      <c r="AP4" s="1229" t="s">
        <v>15</v>
      </c>
      <c r="AQ4" s="115"/>
      <c r="AR4" s="1230" t="s">
        <v>107</v>
      </c>
      <c r="AS4" s="1224"/>
      <c r="AT4" s="1224"/>
      <c r="AU4" s="1224"/>
      <c r="AV4" s="1224"/>
      <c r="AW4" s="1224"/>
      <c r="AX4" s="1224"/>
      <c r="AY4" s="1224"/>
      <c r="AZ4" s="1224"/>
      <c r="BA4" s="1224"/>
    </row>
    <row r="5">
      <c r="A5" s="644"/>
      <c r="B5" s="1231" t="s">
        <v>1265</v>
      </c>
      <c r="G5" s="1232" t="s">
        <v>662</v>
      </c>
      <c r="H5" s="43"/>
      <c r="I5" s="1233" t="s">
        <v>578</v>
      </c>
      <c r="M5" s="43"/>
      <c r="N5" s="115"/>
      <c r="O5" s="1234" t="s">
        <v>120</v>
      </c>
      <c r="Q5" s="43"/>
      <c r="R5" s="115"/>
      <c r="S5" s="1234" t="s">
        <v>120</v>
      </c>
      <c r="W5" s="43"/>
      <c r="X5" s="115"/>
      <c r="Y5" s="1234" t="s">
        <v>120</v>
      </c>
      <c r="AC5" s="43"/>
      <c r="AD5" s="115"/>
      <c r="AE5" s="1235" t="s">
        <v>118</v>
      </c>
      <c r="AG5" s="115"/>
      <c r="AH5" s="43"/>
      <c r="AI5" s="115"/>
      <c r="AJ5" s="1235" t="s">
        <v>118</v>
      </c>
      <c r="AO5" s="115"/>
      <c r="AP5" s="43"/>
      <c r="AQ5" s="115"/>
      <c r="AR5" s="1236" t="s">
        <v>766</v>
      </c>
    </row>
    <row r="6">
      <c r="A6" s="644"/>
      <c r="B6" s="1231" t="s">
        <v>1266</v>
      </c>
      <c r="F6" s="1237" t="s">
        <v>1267</v>
      </c>
      <c r="H6" s="43"/>
      <c r="I6" s="1233" t="s">
        <v>116</v>
      </c>
      <c r="M6" s="43"/>
      <c r="N6" s="115"/>
      <c r="O6" s="1234" t="s">
        <v>116</v>
      </c>
      <c r="Q6" s="43"/>
      <c r="R6" s="115"/>
      <c r="S6" s="1234" t="s">
        <v>116</v>
      </c>
      <c r="W6" s="43"/>
      <c r="X6" s="115"/>
      <c r="Y6" s="1234" t="s">
        <v>116</v>
      </c>
      <c r="AC6" s="43"/>
      <c r="AD6" s="115"/>
      <c r="AE6" s="1238" t="s">
        <v>153</v>
      </c>
      <c r="AH6" s="43"/>
      <c r="AI6" s="115"/>
      <c r="AJ6" s="1238" t="s">
        <v>153</v>
      </c>
      <c r="AO6" s="115"/>
      <c r="AP6" s="43"/>
      <c r="AQ6" s="115"/>
      <c r="AR6" s="1236" t="s">
        <v>115</v>
      </c>
    </row>
    <row r="7">
      <c r="A7" s="644"/>
      <c r="B7" s="1231" t="s">
        <v>1268</v>
      </c>
      <c r="H7" s="43"/>
      <c r="I7" s="1233" t="s">
        <v>1269</v>
      </c>
      <c r="M7" s="43"/>
      <c r="N7" s="115"/>
      <c r="O7" s="1234" t="s">
        <v>1269</v>
      </c>
      <c r="Q7" s="43"/>
      <c r="R7" s="115"/>
      <c r="S7" s="1234" t="s">
        <v>1269</v>
      </c>
      <c r="W7" s="43"/>
      <c r="X7" s="115"/>
      <c r="Y7" s="1234" t="s">
        <v>1269</v>
      </c>
      <c r="AC7" s="43"/>
      <c r="AD7" s="115"/>
      <c r="AE7" s="1238" t="s">
        <v>1270</v>
      </c>
      <c r="AH7" s="43"/>
      <c r="AI7" s="115"/>
      <c r="AJ7" s="1238" t="s">
        <v>1270</v>
      </c>
      <c r="AO7" s="115"/>
      <c r="AP7" s="43"/>
      <c r="AQ7" s="115"/>
      <c r="AR7" s="1236" t="s">
        <v>116</v>
      </c>
    </row>
    <row r="8">
      <c r="A8" s="644"/>
      <c r="B8" s="1231" t="s">
        <v>621</v>
      </c>
      <c r="H8" s="43"/>
      <c r="I8" s="1233" t="s">
        <v>691</v>
      </c>
      <c r="M8" s="43"/>
      <c r="N8" s="115"/>
      <c r="O8" s="1239" t="s">
        <v>1271</v>
      </c>
      <c r="Q8" s="43"/>
      <c r="R8" s="115"/>
      <c r="S8" s="1239" t="s">
        <v>1271</v>
      </c>
      <c r="W8" s="43"/>
      <c r="X8" s="115"/>
      <c r="Y8" s="1240" t="s">
        <v>1128</v>
      </c>
      <c r="AB8" s="1240" t="s">
        <v>1272</v>
      </c>
      <c r="AC8" s="43"/>
      <c r="AD8" s="115"/>
      <c r="AE8" s="1238" t="s">
        <v>37</v>
      </c>
      <c r="AH8" s="43"/>
      <c r="AI8" s="115"/>
      <c r="AJ8" s="1238" t="s">
        <v>37</v>
      </c>
      <c r="AO8" s="115"/>
      <c r="AP8" s="43"/>
      <c r="AQ8" s="115"/>
      <c r="AR8" s="1236" t="s">
        <v>118</v>
      </c>
      <c r="AV8" s="1241" t="s">
        <v>1273</v>
      </c>
    </row>
    <row r="9">
      <c r="A9" s="1242" t="s">
        <v>519</v>
      </c>
      <c r="B9" s="1243" t="s">
        <v>1274</v>
      </c>
      <c r="G9" s="1243"/>
      <c r="H9" s="43"/>
      <c r="I9" s="1233" t="s">
        <v>107</v>
      </c>
      <c r="M9" s="43"/>
      <c r="N9" s="115"/>
      <c r="O9" s="1244" t="s">
        <v>122</v>
      </c>
      <c r="Q9" s="43"/>
      <c r="R9" s="115"/>
      <c r="S9" s="1244" t="s">
        <v>157</v>
      </c>
      <c r="W9" s="43"/>
      <c r="X9" s="115"/>
      <c r="Y9" s="1244" t="s">
        <v>157</v>
      </c>
      <c r="AC9" s="1245"/>
      <c r="AD9" s="110"/>
      <c r="AE9" s="1246" t="s">
        <v>691</v>
      </c>
      <c r="AF9" s="109"/>
      <c r="AG9" s="109"/>
      <c r="AH9" s="43"/>
      <c r="AI9" s="115"/>
      <c r="AJ9" s="1238" t="s">
        <v>691</v>
      </c>
      <c r="AO9" s="115"/>
      <c r="AP9" s="43"/>
      <c r="AQ9" s="115"/>
      <c r="AR9" s="1236" t="s">
        <v>120</v>
      </c>
    </row>
    <row r="10">
      <c r="A10" s="644"/>
      <c r="B10" s="1247" t="s">
        <v>1275</v>
      </c>
      <c r="G10" s="1247"/>
      <c r="H10" s="43"/>
      <c r="I10" s="1239" t="s">
        <v>1271</v>
      </c>
      <c r="M10" s="1245"/>
      <c r="N10" s="110"/>
      <c r="O10" s="1234" t="s">
        <v>397</v>
      </c>
      <c r="Q10" s="1245"/>
      <c r="R10" s="110"/>
      <c r="S10" s="1234" t="s">
        <v>397</v>
      </c>
      <c r="W10" s="1245"/>
      <c r="X10" s="110"/>
      <c r="Y10" s="1234" t="s">
        <v>397</v>
      </c>
      <c r="AC10" s="1248" t="s">
        <v>740</v>
      </c>
      <c r="AD10" s="1227"/>
      <c r="AE10" s="1249" t="s">
        <v>578</v>
      </c>
      <c r="AG10" s="115"/>
      <c r="AH10" s="1245"/>
      <c r="AI10" s="110"/>
      <c r="AJ10" s="1250" t="s">
        <v>1276</v>
      </c>
      <c r="AK10" s="109"/>
      <c r="AL10" s="109"/>
      <c r="AM10" s="109"/>
      <c r="AN10" s="109"/>
      <c r="AO10" s="110"/>
      <c r="AP10" s="43"/>
      <c r="AQ10" s="115"/>
      <c r="AR10" s="1236" t="s">
        <v>121</v>
      </c>
    </row>
    <row r="11">
      <c r="A11" s="644"/>
      <c r="B11" s="1247" t="s">
        <v>617</v>
      </c>
      <c r="G11" s="1247"/>
      <c r="H11" s="1245"/>
      <c r="I11" s="1251" t="s">
        <v>515</v>
      </c>
      <c r="M11" s="1252" t="s">
        <v>31</v>
      </c>
      <c r="N11" s="1227"/>
      <c r="O11" s="1253" t="s">
        <v>32</v>
      </c>
      <c r="P11" s="1224"/>
      <c r="Q11" s="1252" t="s">
        <v>31</v>
      </c>
      <c r="R11" s="1227"/>
      <c r="S11" s="1254" t="s">
        <v>32</v>
      </c>
      <c r="T11" s="1224"/>
      <c r="U11" s="1224"/>
      <c r="V11" s="1224"/>
      <c r="W11" s="1252" t="s">
        <v>31</v>
      </c>
      <c r="X11" s="1227"/>
      <c r="Y11" s="1255" t="s">
        <v>148</v>
      </c>
      <c r="Z11" s="1224"/>
      <c r="AA11" s="1224"/>
      <c r="AB11" s="1224"/>
      <c r="AC11" s="43"/>
      <c r="AD11" s="115"/>
      <c r="AE11" s="1256" t="s">
        <v>122</v>
      </c>
      <c r="AG11" s="115"/>
      <c r="AH11" s="1252" t="s">
        <v>31</v>
      </c>
      <c r="AI11" s="1227"/>
      <c r="AJ11" s="1257" t="s">
        <v>32</v>
      </c>
      <c r="AO11" s="115"/>
      <c r="AP11" s="1245"/>
      <c r="AQ11" s="110"/>
      <c r="AR11" s="1258" t="s">
        <v>122</v>
      </c>
      <c r="AS11" s="109"/>
      <c r="AT11" s="109"/>
      <c r="AU11" s="109"/>
      <c r="AV11" s="109"/>
      <c r="AW11" s="109"/>
      <c r="AX11" s="109"/>
      <c r="AY11" s="109"/>
      <c r="AZ11" s="109"/>
      <c r="BA11" s="109"/>
    </row>
    <row r="12">
      <c r="A12" s="644"/>
      <c r="B12" s="1247" t="s">
        <v>153</v>
      </c>
      <c r="G12" s="1247"/>
      <c r="H12" s="1259" t="s">
        <v>518</v>
      </c>
      <c r="I12" s="1260" t="s">
        <v>1264</v>
      </c>
      <c r="M12" s="43"/>
      <c r="N12" s="115"/>
      <c r="O12" s="1261" t="s">
        <v>1277</v>
      </c>
      <c r="Q12" s="43"/>
      <c r="R12" s="115"/>
      <c r="S12" s="1262" t="s">
        <v>650</v>
      </c>
      <c r="W12" s="43"/>
      <c r="X12" s="115"/>
      <c r="Y12" s="1263" t="s">
        <v>650</v>
      </c>
      <c r="AC12" s="43"/>
      <c r="AD12" s="115"/>
      <c r="AE12" s="1264" t="s">
        <v>617</v>
      </c>
      <c r="AG12" s="1264" t="s">
        <v>121</v>
      </c>
      <c r="AH12" s="43"/>
      <c r="AI12" s="115"/>
      <c r="AJ12" s="1265" t="s">
        <v>148</v>
      </c>
      <c r="AO12" s="115"/>
      <c r="AP12" s="1266" t="s">
        <v>24</v>
      </c>
      <c r="AQ12" s="1227"/>
      <c r="AR12" s="1267" t="s">
        <v>123</v>
      </c>
      <c r="AS12" s="1224"/>
      <c r="AT12" s="1224"/>
      <c r="AU12" s="1224"/>
      <c r="AV12" s="1224"/>
      <c r="AW12" s="1224"/>
      <c r="AX12" s="1224"/>
      <c r="AY12" s="1224"/>
      <c r="AZ12" s="1224"/>
      <c r="BA12" s="1224"/>
    </row>
    <row r="13">
      <c r="A13" s="644"/>
      <c r="B13" s="1268" t="s">
        <v>503</v>
      </c>
      <c r="G13" s="1268"/>
      <c r="H13" s="43"/>
      <c r="I13" s="1269" t="s">
        <v>662</v>
      </c>
      <c r="M13" s="43"/>
      <c r="N13" s="115"/>
      <c r="O13" s="1270" t="s">
        <v>1278</v>
      </c>
      <c r="Q13" s="43"/>
      <c r="R13" s="115"/>
      <c r="S13" s="1262" t="s">
        <v>148</v>
      </c>
      <c r="W13" s="43"/>
      <c r="X13" s="115"/>
      <c r="Y13" s="1271" t="s">
        <v>1279</v>
      </c>
      <c r="AC13" s="1245"/>
      <c r="AD13" s="110"/>
      <c r="AE13" s="1272" t="s">
        <v>1280</v>
      </c>
      <c r="AF13" s="109"/>
      <c r="AG13" s="110"/>
      <c r="AH13" s="43"/>
      <c r="AI13" s="115"/>
      <c r="AJ13" s="1265" t="s">
        <v>1281</v>
      </c>
      <c r="AO13" s="115"/>
      <c r="AP13" s="43"/>
      <c r="AQ13" s="115"/>
      <c r="AR13" s="1273" t="s">
        <v>866</v>
      </c>
    </row>
    <row r="14">
      <c r="A14" s="1274" t="s">
        <v>31</v>
      </c>
      <c r="B14" s="1275" t="s">
        <v>32</v>
      </c>
      <c r="G14" s="1276" t="s">
        <v>16</v>
      </c>
      <c r="H14" s="43"/>
      <c r="I14" s="1269" t="s">
        <v>1267</v>
      </c>
      <c r="M14" s="43"/>
      <c r="N14" s="115"/>
      <c r="O14" s="1261" t="s">
        <v>1282</v>
      </c>
      <c r="Q14" s="43"/>
      <c r="R14" s="115"/>
      <c r="S14" s="1262" t="s">
        <v>1282</v>
      </c>
      <c r="U14" s="1262" t="s">
        <v>1283</v>
      </c>
      <c r="W14" s="43"/>
      <c r="X14" s="115"/>
      <c r="Y14" s="1277" t="s">
        <v>629</v>
      </c>
      <c r="AA14" s="1261" t="s">
        <v>1284</v>
      </c>
      <c r="AC14" s="1278" t="s">
        <v>461</v>
      </c>
      <c r="AD14" s="1227"/>
      <c r="AE14" s="1279" t="s">
        <v>673</v>
      </c>
      <c r="AG14" s="115"/>
      <c r="AH14" s="43"/>
      <c r="AI14" s="115"/>
      <c r="AJ14" s="1280" t="s">
        <v>149</v>
      </c>
      <c r="AO14" s="115"/>
      <c r="AP14" s="43"/>
      <c r="AQ14" s="115"/>
      <c r="AR14" s="1273" t="s">
        <v>125</v>
      </c>
    </row>
    <row r="15">
      <c r="A15" s="147"/>
      <c r="B15" s="1281" t="s">
        <v>1285</v>
      </c>
      <c r="H15" s="43"/>
      <c r="I15" s="1269" t="s">
        <v>1268</v>
      </c>
      <c r="M15" s="43"/>
      <c r="N15" s="115"/>
      <c r="O15" s="1261" t="s">
        <v>1286</v>
      </c>
      <c r="Q15" s="43"/>
      <c r="R15" s="115"/>
      <c r="S15" s="1262" t="s">
        <v>1286</v>
      </c>
      <c r="U15" s="1262" t="s">
        <v>25</v>
      </c>
      <c r="W15" s="43"/>
      <c r="X15" s="115"/>
      <c r="Y15" s="1261" t="s">
        <v>25</v>
      </c>
      <c r="AA15" s="1261" t="s">
        <v>16</v>
      </c>
      <c r="AC15" s="43"/>
      <c r="AD15" s="115"/>
      <c r="AE15" s="1282" t="s">
        <v>662</v>
      </c>
      <c r="AG15" s="115"/>
      <c r="AH15" s="1245"/>
      <c r="AI15" s="110"/>
      <c r="AJ15" s="1283" t="s">
        <v>1285</v>
      </c>
      <c r="AK15" s="109"/>
      <c r="AL15" s="109"/>
      <c r="AM15" s="109"/>
      <c r="AN15" s="109"/>
      <c r="AO15" s="110"/>
      <c r="AP15" s="43"/>
      <c r="AQ15" s="115"/>
      <c r="AR15" s="1273" t="s">
        <v>126</v>
      </c>
      <c r="AW15" s="1273" t="s">
        <v>25</v>
      </c>
    </row>
    <row r="16">
      <c r="A16" s="147"/>
      <c r="B16" s="1281" t="s">
        <v>148</v>
      </c>
      <c r="H16" s="43"/>
      <c r="I16" s="1284" t="s">
        <v>621</v>
      </c>
      <c r="M16" s="1245"/>
      <c r="N16" s="110"/>
      <c r="O16" s="1285" t="s">
        <v>1285</v>
      </c>
      <c r="P16" s="109"/>
      <c r="Q16" s="1245"/>
      <c r="R16" s="110"/>
      <c r="S16" s="1286" t="s">
        <v>1285</v>
      </c>
      <c r="T16" s="109"/>
      <c r="U16" s="109"/>
      <c r="V16" s="109"/>
      <c r="W16" s="43"/>
      <c r="X16" s="115"/>
      <c r="Y16" s="1287" t="s">
        <v>1285</v>
      </c>
      <c r="AC16" s="43"/>
      <c r="AD16" s="115"/>
      <c r="AE16" s="1282" t="s">
        <v>1287</v>
      </c>
      <c r="AG16" s="115"/>
      <c r="AH16" s="1248" t="s">
        <v>740</v>
      </c>
      <c r="AI16" s="1227"/>
      <c r="AJ16" s="1249" t="s">
        <v>122</v>
      </c>
      <c r="AO16" s="115"/>
      <c r="AP16" s="43"/>
      <c r="AQ16" s="115"/>
      <c r="AR16" s="1288" t="s">
        <v>127</v>
      </c>
    </row>
    <row r="17">
      <c r="A17" s="147"/>
      <c r="B17" s="1281" t="s">
        <v>1288</v>
      </c>
      <c r="D17" s="1289" t="s">
        <v>1278</v>
      </c>
      <c r="H17" s="43"/>
      <c r="I17" s="1290" t="s">
        <v>153</v>
      </c>
      <c r="M17" s="1291" t="s">
        <v>446</v>
      </c>
      <c r="N17" s="1227"/>
      <c r="O17" s="1292" t="s">
        <v>617</v>
      </c>
      <c r="P17" s="1224"/>
      <c r="Q17" s="1291" t="s">
        <v>446</v>
      </c>
      <c r="R17" s="1227"/>
      <c r="S17" s="1293" t="s">
        <v>153</v>
      </c>
      <c r="W17" s="1245"/>
      <c r="X17" s="110"/>
      <c r="Y17" s="1287" t="s">
        <v>662</v>
      </c>
      <c r="AC17" s="1245"/>
      <c r="AD17" s="110"/>
      <c r="AE17" s="1294" t="s">
        <v>1289</v>
      </c>
      <c r="AF17" s="109"/>
      <c r="AG17" s="110"/>
      <c r="AH17" s="43"/>
      <c r="AI17" s="115"/>
      <c r="AJ17" s="1256" t="s">
        <v>16</v>
      </c>
      <c r="AO17" s="115"/>
      <c r="AP17" s="1245"/>
      <c r="AQ17" s="110"/>
      <c r="AR17" s="1295" t="s">
        <v>128</v>
      </c>
      <c r="AS17" s="109"/>
      <c r="AT17" s="109"/>
      <c r="AU17" s="1295" t="s">
        <v>129</v>
      </c>
      <c r="AV17" s="109"/>
      <c r="AW17" s="109"/>
      <c r="AX17" s="109"/>
      <c r="AY17" s="109"/>
      <c r="AZ17" s="109"/>
      <c r="BA17" s="109"/>
    </row>
    <row r="18">
      <c r="A18" s="1296" t="s">
        <v>520</v>
      </c>
      <c r="B18" s="1297" t="s">
        <v>378</v>
      </c>
      <c r="F18" s="1298" t="s">
        <v>122</v>
      </c>
      <c r="H18" s="1245"/>
      <c r="I18" s="1290" t="s">
        <v>1275</v>
      </c>
      <c r="M18" s="43"/>
      <c r="N18" s="115"/>
      <c r="O18" s="1299" t="s">
        <v>153</v>
      </c>
      <c r="Q18" s="43"/>
      <c r="R18" s="115"/>
      <c r="S18" s="1300" t="s">
        <v>617</v>
      </c>
      <c r="W18" s="1291" t="s">
        <v>446</v>
      </c>
      <c r="X18" s="1227"/>
      <c r="Y18" s="1301" t="s">
        <v>122</v>
      </c>
      <c r="Z18" s="1224"/>
      <c r="AA18" s="1224"/>
      <c r="AB18" s="1224"/>
      <c r="AC18" s="1252" t="s">
        <v>31</v>
      </c>
      <c r="AD18" s="1227"/>
      <c r="AE18" s="1257" t="s">
        <v>32</v>
      </c>
      <c r="AH18" s="43"/>
      <c r="AI18" s="115"/>
      <c r="AJ18" s="1256" t="s">
        <v>121</v>
      </c>
      <c r="AO18" s="115"/>
      <c r="AP18" s="1252" t="s">
        <v>31</v>
      </c>
      <c r="AQ18" s="1227"/>
      <c r="AR18" s="1255" t="s">
        <v>32</v>
      </c>
      <c r="AS18" s="1224"/>
      <c r="AT18" s="1224"/>
      <c r="AU18" s="1224"/>
      <c r="AV18" s="1224"/>
      <c r="AW18" s="1224"/>
      <c r="AX18" s="1224"/>
      <c r="AY18" s="1224"/>
      <c r="AZ18" s="1224"/>
      <c r="BA18" s="1224"/>
    </row>
    <row r="19">
      <c r="A19" s="147"/>
      <c r="B19" s="1302" t="s">
        <v>1290</v>
      </c>
      <c r="E19" s="1303" t="s">
        <v>578</v>
      </c>
      <c r="H19" s="1252" t="s">
        <v>31</v>
      </c>
      <c r="I19" s="1304" t="s">
        <v>148</v>
      </c>
      <c r="M19" s="43"/>
      <c r="N19" s="115"/>
      <c r="O19" s="1305" t="s">
        <v>621</v>
      </c>
      <c r="Q19" s="43"/>
      <c r="R19" s="115"/>
      <c r="S19" s="1305" t="s">
        <v>621</v>
      </c>
      <c r="W19" s="43"/>
      <c r="X19" s="115"/>
      <c r="Y19" s="1299" t="s">
        <v>515</v>
      </c>
      <c r="AC19" s="43"/>
      <c r="AD19" s="115"/>
      <c r="AE19" s="1265" t="s">
        <v>148</v>
      </c>
      <c r="AH19" s="1245"/>
      <c r="AI19" s="110"/>
      <c r="AJ19" s="1256" t="s">
        <v>1291</v>
      </c>
      <c r="AO19" s="115"/>
      <c r="AP19" s="43"/>
      <c r="AQ19" s="115"/>
      <c r="AR19" s="1263" t="s">
        <v>148</v>
      </c>
    </row>
    <row r="20">
      <c r="A20" s="147"/>
      <c r="B20" s="1302" t="s">
        <v>120</v>
      </c>
      <c r="H20" s="43"/>
      <c r="I20" s="1306" t="s">
        <v>1285</v>
      </c>
      <c r="M20" s="43"/>
      <c r="N20" s="115"/>
      <c r="O20" s="1307" t="s">
        <v>1292</v>
      </c>
      <c r="Q20" s="43"/>
      <c r="R20" s="115"/>
      <c r="S20" s="1307" t="s">
        <v>1292</v>
      </c>
      <c r="W20" s="43"/>
      <c r="X20" s="115"/>
      <c r="Y20" s="1305" t="s">
        <v>621</v>
      </c>
      <c r="AC20" s="43"/>
      <c r="AD20" s="115"/>
      <c r="AE20" s="1265" t="s">
        <v>1281</v>
      </c>
      <c r="AH20" s="1308" t="s">
        <v>24</v>
      </c>
      <c r="AI20" s="1227"/>
      <c r="AJ20" s="1309" t="s">
        <v>25</v>
      </c>
      <c r="AO20" s="115"/>
      <c r="AP20" s="43"/>
      <c r="AQ20" s="115"/>
      <c r="AR20" s="1265" t="s">
        <v>149</v>
      </c>
    </row>
    <row r="21">
      <c r="A21" s="147"/>
      <c r="B21" s="1302" t="s">
        <v>116</v>
      </c>
      <c r="H21" s="43"/>
      <c r="I21" s="1306" t="s">
        <v>650</v>
      </c>
      <c r="M21" s="43"/>
      <c r="N21" s="115"/>
      <c r="O21" s="1300" t="s">
        <v>629</v>
      </c>
      <c r="Q21" s="43"/>
      <c r="R21" s="115"/>
      <c r="S21" s="1310" t="s">
        <v>629</v>
      </c>
      <c r="U21" s="1311" t="s">
        <v>1293</v>
      </c>
      <c r="W21" s="43"/>
      <c r="X21" s="115"/>
      <c r="Y21" s="1310" t="s">
        <v>1293</v>
      </c>
      <c r="AA21" s="1310" t="s">
        <v>691</v>
      </c>
      <c r="AC21" s="1245"/>
      <c r="AD21" s="110"/>
      <c r="AE21" s="1283" t="s">
        <v>149</v>
      </c>
      <c r="AF21" s="109"/>
      <c r="AG21" s="109"/>
      <c r="AH21" s="43"/>
      <c r="AI21" s="115"/>
      <c r="AJ21" s="1312" t="s">
        <v>866</v>
      </c>
      <c r="AO21" s="115"/>
      <c r="AP21" s="43"/>
      <c r="AQ21" s="115"/>
      <c r="AR21" s="1265" t="s">
        <v>150</v>
      </c>
    </row>
    <row r="22">
      <c r="A22" s="1313" t="s">
        <v>522</v>
      </c>
      <c r="B22" s="1314" t="s">
        <v>507</v>
      </c>
      <c r="D22" s="1314" t="s">
        <v>1225</v>
      </c>
      <c r="H22" s="1245"/>
      <c r="I22" s="1306" t="s">
        <v>16</v>
      </c>
      <c r="M22" s="1245"/>
      <c r="N22" s="110"/>
      <c r="O22" s="1315" t="s">
        <v>631</v>
      </c>
      <c r="P22" s="109"/>
      <c r="Q22" s="1245"/>
      <c r="R22" s="110"/>
      <c r="S22" s="1315" t="s">
        <v>631</v>
      </c>
      <c r="T22" s="109"/>
      <c r="U22" s="109"/>
      <c r="V22" s="109"/>
      <c r="W22" s="1245"/>
      <c r="X22" s="110"/>
      <c r="Y22" s="1310" t="s">
        <v>153</v>
      </c>
      <c r="AA22" s="1310" t="s">
        <v>115</v>
      </c>
      <c r="AB22" s="1316" t="s">
        <v>617</v>
      </c>
      <c r="AC22" s="1317" t="s">
        <v>449</v>
      </c>
      <c r="AD22" s="1227"/>
      <c r="AE22" s="1318" t="s">
        <v>154</v>
      </c>
      <c r="AH22" s="1245"/>
      <c r="AI22" s="110"/>
      <c r="AJ22" s="1319" t="s">
        <v>1294</v>
      </c>
      <c r="AK22" s="109"/>
      <c r="AL22" s="109"/>
      <c r="AM22" s="109"/>
      <c r="AN22" s="109"/>
      <c r="AO22" s="110"/>
      <c r="AP22" s="1245"/>
      <c r="AQ22" s="110"/>
      <c r="AR22" s="1283" t="s">
        <v>151</v>
      </c>
      <c r="AS22" s="109"/>
      <c r="AT22" s="109"/>
      <c r="AU22" s="109"/>
      <c r="AV22" s="109"/>
      <c r="AW22" s="109"/>
      <c r="AX22" s="109"/>
      <c r="AY22" s="109"/>
      <c r="AZ22" s="109"/>
      <c r="BA22" s="109"/>
    </row>
    <row r="23">
      <c r="A23" s="644"/>
      <c r="B23" s="1320" t="s">
        <v>1295</v>
      </c>
      <c r="E23" s="1320" t="s">
        <v>397</v>
      </c>
      <c r="H23" s="1321" t="s">
        <v>519</v>
      </c>
      <c r="I23" s="1322" t="s">
        <v>617</v>
      </c>
      <c r="J23" s="1323" t="s">
        <v>150</v>
      </c>
      <c r="M23" s="1324" t="s">
        <v>449</v>
      </c>
      <c r="N23" s="1227"/>
      <c r="O23" s="1325" t="s">
        <v>1267</v>
      </c>
      <c r="P23" s="1224"/>
      <c r="Q23" s="1324" t="s">
        <v>449</v>
      </c>
      <c r="R23" s="1227"/>
      <c r="S23" s="1326" t="s">
        <v>299</v>
      </c>
      <c r="W23" s="1324" t="s">
        <v>449</v>
      </c>
      <c r="X23" s="1227"/>
      <c r="Y23" s="1326" t="s">
        <v>299</v>
      </c>
      <c r="AB23" s="115"/>
      <c r="AC23" s="109"/>
      <c r="AD23" s="110"/>
      <c r="AE23" s="1327" t="s">
        <v>610</v>
      </c>
      <c r="AF23" s="1328" t="s">
        <v>44</v>
      </c>
      <c r="AG23" s="109"/>
      <c r="AH23" s="1329" t="s">
        <v>440</v>
      </c>
      <c r="AI23" s="1227"/>
      <c r="AJ23" s="1330" t="s">
        <v>1271</v>
      </c>
      <c r="AK23" s="1224"/>
      <c r="AL23" s="1224"/>
      <c r="AM23" s="1224"/>
      <c r="AN23" s="1330" t="s">
        <v>114</v>
      </c>
      <c r="AO23" s="1224"/>
      <c r="AP23" s="1331" t="s">
        <v>36</v>
      </c>
      <c r="AQ23" s="1227"/>
      <c r="AR23" s="1332" t="s">
        <v>152</v>
      </c>
      <c r="AS23" s="1224"/>
      <c r="AT23" s="1224"/>
      <c r="AU23" s="1224"/>
      <c r="AV23" s="1224"/>
      <c r="AW23" s="1224"/>
      <c r="AX23" s="1224"/>
      <c r="AY23" s="1224"/>
      <c r="AZ23" s="1224"/>
      <c r="BA23" s="1224"/>
    </row>
    <row r="24">
      <c r="A24" s="644"/>
      <c r="B24" s="1320" t="s">
        <v>107</v>
      </c>
      <c r="H24" s="1333"/>
      <c r="I24" s="1334" t="s">
        <v>1296</v>
      </c>
      <c r="M24" s="43"/>
      <c r="N24" s="115"/>
      <c r="O24" s="1335" t="s">
        <v>299</v>
      </c>
      <c r="Q24" s="43"/>
      <c r="R24" s="115"/>
      <c r="S24" s="1336" t="s">
        <v>44</v>
      </c>
      <c r="W24" s="43"/>
      <c r="X24" s="115"/>
      <c r="Y24" s="1335" t="s">
        <v>154</v>
      </c>
      <c r="AB24" s="115"/>
      <c r="AC24" s="1308" t="s">
        <v>698</v>
      </c>
      <c r="AD24" s="1227"/>
      <c r="AE24" s="1309" t="s">
        <v>25</v>
      </c>
      <c r="AH24" s="43"/>
      <c r="AI24" s="115"/>
      <c r="AJ24" s="1337" t="s">
        <v>107</v>
      </c>
      <c r="AO24" s="115"/>
      <c r="AP24" s="43"/>
      <c r="AQ24" s="115"/>
      <c r="AR24" s="1338" t="s">
        <v>37</v>
      </c>
    </row>
    <row r="25">
      <c r="A25" s="644"/>
      <c r="B25" s="1339" t="s">
        <v>118</v>
      </c>
      <c r="H25" s="1340"/>
      <c r="I25" s="1341" t="s">
        <v>503</v>
      </c>
      <c r="M25" s="1245"/>
      <c r="N25" s="110"/>
      <c r="O25" s="1335" t="s">
        <v>154</v>
      </c>
      <c r="Q25" s="1245"/>
      <c r="R25" s="110"/>
      <c r="S25" s="1335" t="s">
        <v>154</v>
      </c>
      <c r="W25" s="1245"/>
      <c r="X25" s="110"/>
      <c r="Y25" s="1335" t="s">
        <v>44</v>
      </c>
      <c r="AB25" s="115"/>
      <c r="AC25" s="1245"/>
      <c r="AD25" s="110"/>
      <c r="AE25" s="1319" t="s">
        <v>866</v>
      </c>
      <c r="AF25" s="109"/>
      <c r="AG25" s="109"/>
      <c r="AH25" s="1245"/>
      <c r="AI25" s="110"/>
      <c r="AJ25" s="1342" t="s">
        <v>115</v>
      </c>
      <c r="AK25" s="109"/>
      <c r="AL25" s="109"/>
      <c r="AM25" s="109"/>
      <c r="AN25" s="109"/>
      <c r="AO25" s="110"/>
      <c r="AP25" s="43"/>
      <c r="AQ25" s="115"/>
      <c r="AR25" s="1338" t="s">
        <v>153</v>
      </c>
    </row>
    <row r="26">
      <c r="A26" s="1343" t="s">
        <v>524</v>
      </c>
      <c r="B26" s="1344" t="s">
        <v>525</v>
      </c>
      <c r="G26" s="1345" t="s">
        <v>155</v>
      </c>
      <c r="H26" s="1346" t="s">
        <v>524</v>
      </c>
      <c r="I26" s="1345" t="s">
        <v>525</v>
      </c>
      <c r="M26" s="1347" t="s">
        <v>452</v>
      </c>
      <c r="N26" s="1348"/>
      <c r="O26" s="1349" t="s">
        <v>1245</v>
      </c>
      <c r="P26" s="1350"/>
      <c r="Q26" s="1347" t="s">
        <v>452</v>
      </c>
      <c r="R26" s="1348"/>
      <c r="S26" s="1349" t="s">
        <v>1245</v>
      </c>
      <c r="T26" s="1350"/>
      <c r="U26" s="1350"/>
      <c r="V26" s="1350"/>
      <c r="W26" s="1347" t="s">
        <v>452</v>
      </c>
      <c r="X26" s="1348"/>
      <c r="Y26" s="1349" t="s">
        <v>1245</v>
      </c>
      <c r="Z26" s="1350"/>
      <c r="AA26" s="1350"/>
      <c r="AB26" s="1350"/>
      <c r="AC26" s="1221" t="s">
        <v>440</v>
      </c>
      <c r="AD26" s="115"/>
      <c r="AE26" s="1351" t="s">
        <v>1272</v>
      </c>
      <c r="AH26" s="1324" t="s">
        <v>449</v>
      </c>
      <c r="AI26" s="1227"/>
      <c r="AJ26" s="1318" t="s">
        <v>154</v>
      </c>
      <c r="AP26" s="43"/>
      <c r="AQ26" s="115"/>
      <c r="AR26" s="1238" t="s">
        <v>154</v>
      </c>
      <c r="AV26" s="1238" t="s">
        <v>155</v>
      </c>
    </row>
    <row r="27">
      <c r="A27" s="644"/>
      <c r="B27" s="1352" t="s">
        <v>1297</v>
      </c>
      <c r="H27" s="1333"/>
      <c r="I27" s="1352" t="s">
        <v>1297</v>
      </c>
      <c r="M27" s="1353" t="s">
        <v>456</v>
      </c>
      <c r="N27" s="1348"/>
      <c r="O27" s="1354" t="s">
        <v>118</v>
      </c>
      <c r="P27" s="1350"/>
      <c r="Q27" s="1353" t="s">
        <v>456</v>
      </c>
      <c r="R27" s="1348"/>
      <c r="S27" s="1354" t="s">
        <v>118</v>
      </c>
      <c r="T27" s="1350"/>
      <c r="U27" s="1350"/>
      <c r="V27" s="1350"/>
      <c r="W27" s="1353" t="s">
        <v>456</v>
      </c>
      <c r="X27" s="1348"/>
      <c r="Y27" s="1354" t="s">
        <v>118</v>
      </c>
      <c r="Z27" s="1350"/>
      <c r="AA27" s="1350"/>
      <c r="AB27" s="1350"/>
      <c r="AC27" s="1245"/>
      <c r="AD27" s="110"/>
      <c r="AE27" s="1342" t="s">
        <v>107</v>
      </c>
      <c r="AF27" s="109"/>
      <c r="AG27" s="109"/>
      <c r="AH27" s="1245"/>
      <c r="AI27" s="110"/>
      <c r="AJ27" s="1327" t="s">
        <v>44</v>
      </c>
      <c r="AK27" s="109"/>
      <c r="AL27" s="109"/>
      <c r="AM27" s="109"/>
      <c r="AN27" s="109"/>
      <c r="AO27" s="109"/>
      <c r="AP27" s="1245"/>
      <c r="AQ27" s="110"/>
      <c r="AR27" s="1238" t="s">
        <v>156</v>
      </c>
      <c r="AS27" s="1238"/>
      <c r="AT27" s="1238" t="s">
        <v>44</v>
      </c>
      <c r="AV27" s="1238" t="s">
        <v>157</v>
      </c>
    </row>
    <row r="28">
      <c r="A28" s="644"/>
      <c r="B28" s="1352" t="s">
        <v>299</v>
      </c>
      <c r="H28" s="1340"/>
      <c r="I28" s="1352" t="s">
        <v>299</v>
      </c>
      <c r="M28" s="1355" t="s">
        <v>458</v>
      </c>
      <c r="N28" s="1348"/>
      <c r="O28" s="1356" t="s">
        <v>155</v>
      </c>
      <c r="P28" s="1350"/>
      <c r="Q28" s="1355" t="s">
        <v>458</v>
      </c>
      <c r="R28" s="1348"/>
      <c r="S28" s="1356" t="s">
        <v>155</v>
      </c>
      <c r="T28" s="1350"/>
      <c r="U28" s="1350"/>
      <c r="V28" s="1350"/>
      <c r="W28" s="1355" t="s">
        <v>458</v>
      </c>
      <c r="X28" s="1348"/>
      <c r="Y28" s="1356" t="s">
        <v>155</v>
      </c>
      <c r="Z28" s="1350"/>
      <c r="AA28" s="1350"/>
      <c r="AB28" s="1350"/>
      <c r="AC28" s="1357" t="s">
        <v>49</v>
      </c>
      <c r="AD28" s="1348"/>
      <c r="AE28" s="1358" t="s">
        <v>200</v>
      </c>
      <c r="AF28" s="109"/>
      <c r="AG28" s="109"/>
      <c r="AH28" s="1357" t="s">
        <v>49</v>
      </c>
      <c r="AI28" s="1348"/>
      <c r="AJ28" s="1358" t="s">
        <v>200</v>
      </c>
      <c r="AK28" s="109"/>
      <c r="AL28" s="109"/>
      <c r="AM28" s="109"/>
      <c r="AN28" s="109"/>
      <c r="AO28" s="109"/>
      <c r="AP28" s="1359" t="s">
        <v>43</v>
      </c>
      <c r="AQ28" s="1348"/>
      <c r="AR28" s="1241" t="s">
        <v>1298</v>
      </c>
      <c r="AV28" s="1360" t="s">
        <v>44</v>
      </c>
      <c r="AW28" s="1350"/>
      <c r="AX28" s="1350"/>
      <c r="AY28" s="1350"/>
      <c r="AZ28" s="1350"/>
      <c r="BA28" s="1350"/>
    </row>
    <row r="29">
      <c r="A29" s="1361" t="s">
        <v>526</v>
      </c>
      <c r="B29" s="1362" t="s">
        <v>527</v>
      </c>
      <c r="H29" s="1363" t="s">
        <v>526</v>
      </c>
      <c r="I29" s="1362" t="s">
        <v>527</v>
      </c>
      <c r="L29" s="44"/>
      <c r="M29" s="1364"/>
      <c r="N29" s="1052"/>
      <c r="O29" s="1052"/>
      <c r="P29" s="1052"/>
      <c r="Q29" s="1052"/>
      <c r="R29" s="1052"/>
      <c r="S29" s="1052"/>
      <c r="T29" s="1052"/>
      <c r="U29" s="1052"/>
      <c r="V29" s="1052"/>
      <c r="W29" s="1052"/>
      <c r="X29" s="1052"/>
      <c r="Y29" s="1052"/>
      <c r="Z29" s="1052"/>
      <c r="AA29" s="1052"/>
      <c r="AB29" s="1052"/>
      <c r="AC29" s="1052"/>
      <c r="AD29" s="1052"/>
      <c r="AE29" s="1052"/>
      <c r="AF29" s="1052"/>
      <c r="AG29" s="1052"/>
      <c r="AH29" s="1052"/>
      <c r="AI29" s="1052"/>
      <c r="AJ29" s="1052"/>
      <c r="AK29" s="1052"/>
      <c r="AL29" s="1052"/>
      <c r="AM29" s="1052"/>
      <c r="AN29" s="1052"/>
      <c r="AO29" s="1052"/>
      <c r="AP29" s="1357" t="s">
        <v>49</v>
      </c>
      <c r="AQ29" s="1348"/>
      <c r="AR29" s="1365" t="s">
        <v>200</v>
      </c>
      <c r="AS29" s="1350"/>
      <c r="AT29" s="1350"/>
      <c r="AU29" s="1350"/>
      <c r="AV29" s="1350"/>
      <c r="AW29" s="1350"/>
      <c r="AX29" s="1350"/>
      <c r="AY29" s="1350"/>
      <c r="AZ29" s="1350"/>
      <c r="BA29" s="1350"/>
    </row>
    <row r="30">
      <c r="A30" s="644"/>
      <c r="B30" s="1366" t="s">
        <v>605</v>
      </c>
      <c r="H30" s="1333"/>
      <c r="I30" s="1366" t="s">
        <v>605</v>
      </c>
      <c r="L30" s="44"/>
      <c r="M30" s="1367"/>
      <c r="N30" s="1053"/>
      <c r="O30" s="1367"/>
      <c r="P30" s="1053"/>
      <c r="Q30" s="1053"/>
      <c r="R30" s="1053"/>
      <c r="S30" s="1053"/>
      <c r="T30" s="1053"/>
      <c r="U30" s="1053"/>
      <c r="V30" s="1053"/>
      <c r="W30" s="1053"/>
      <c r="X30" s="1053"/>
      <c r="Y30" s="1053"/>
      <c r="Z30" s="1053"/>
      <c r="AA30" s="1053"/>
      <c r="AB30" s="1053"/>
      <c r="AC30" s="1053"/>
      <c r="AD30" s="1053"/>
      <c r="AE30" s="1053"/>
      <c r="AF30" s="1053"/>
      <c r="AG30" s="1053"/>
      <c r="AH30" s="1053"/>
      <c r="AI30" s="1053"/>
      <c r="AJ30" s="1053"/>
      <c r="AK30" s="1053"/>
      <c r="AL30" s="1053"/>
      <c r="AM30" s="1053"/>
      <c r="AN30" s="1053"/>
      <c r="AO30" s="1053"/>
      <c r="AP30" s="1053"/>
      <c r="AQ30" s="1053"/>
      <c r="AR30" s="1053"/>
      <c r="AS30" s="1053"/>
      <c r="AT30" s="1053"/>
      <c r="AU30" s="1053"/>
      <c r="AV30" s="1053"/>
      <c r="AW30" s="1053"/>
      <c r="AX30" s="1053"/>
      <c r="AY30" s="1053"/>
      <c r="AZ30" s="1053"/>
      <c r="BA30" s="1053"/>
    </row>
    <row r="31">
      <c r="A31" s="644"/>
      <c r="B31" s="1366" t="s">
        <v>1299</v>
      </c>
      <c r="H31" s="1340"/>
      <c r="I31" s="1366" t="s">
        <v>1299</v>
      </c>
      <c r="L31" s="44"/>
      <c r="M31" s="1367"/>
      <c r="N31" s="1053"/>
      <c r="O31" s="1053"/>
      <c r="P31" s="1053"/>
      <c r="Q31" s="1053"/>
      <c r="R31" s="1053"/>
      <c r="S31" s="1053"/>
      <c r="T31" s="1053"/>
      <c r="U31" s="1053"/>
      <c r="V31" s="1053"/>
      <c r="W31" s="1053"/>
      <c r="X31" s="1053"/>
      <c r="Y31" s="1053"/>
      <c r="Z31" s="1053"/>
      <c r="AA31" s="1053"/>
      <c r="AB31" s="1053"/>
      <c r="AC31" s="1053"/>
      <c r="AD31" s="1053"/>
      <c r="AE31" s="1053"/>
      <c r="AF31" s="1053"/>
      <c r="AG31" s="1053"/>
      <c r="AH31" s="1053"/>
      <c r="AI31" s="1053"/>
      <c r="AJ31" s="1053"/>
      <c r="AK31" s="1053"/>
      <c r="AL31" s="1053"/>
      <c r="AM31" s="1053"/>
      <c r="AN31" s="1053"/>
      <c r="AO31" s="1053"/>
      <c r="AP31" s="1053"/>
      <c r="AQ31" s="1053"/>
      <c r="AR31" s="1053"/>
      <c r="AS31" s="1053"/>
      <c r="AT31" s="1053"/>
      <c r="AU31" s="1053"/>
      <c r="AV31" s="1053"/>
      <c r="AW31" s="1053"/>
      <c r="AX31" s="1053"/>
      <c r="AY31" s="1053"/>
      <c r="AZ31" s="1053"/>
      <c r="BA31" s="1053"/>
    </row>
    <row r="32">
      <c r="A32" s="1368" t="s">
        <v>528</v>
      </c>
      <c r="B32" s="1369" t="s">
        <v>529</v>
      </c>
      <c r="D32" s="1369" t="s">
        <v>1201</v>
      </c>
      <c r="H32" s="1370" t="s">
        <v>528</v>
      </c>
      <c r="I32" s="1369" t="s">
        <v>1201</v>
      </c>
      <c r="L32" s="44"/>
      <c r="M32" s="1371" t="s">
        <v>29</v>
      </c>
      <c r="N32" s="1372"/>
      <c r="O32" s="1373" t="s">
        <v>1300</v>
      </c>
      <c r="P32" s="549"/>
      <c r="Q32" s="1371" t="s">
        <v>781</v>
      </c>
      <c r="R32" s="1372"/>
      <c r="S32" s="1373" t="s">
        <v>1300</v>
      </c>
      <c r="T32" s="549"/>
      <c r="U32" s="549"/>
      <c r="V32" s="549"/>
      <c r="W32" s="1371" t="s">
        <v>781</v>
      </c>
      <c r="X32" s="1372"/>
      <c r="Y32" s="1373" t="s">
        <v>1301</v>
      </c>
      <c r="Z32" s="549"/>
      <c r="AA32" s="549"/>
      <c r="AB32" s="549"/>
      <c r="AC32" s="1371" t="s">
        <v>29</v>
      </c>
      <c r="AD32" s="1372"/>
      <c r="AE32" s="1373" t="s">
        <v>1302</v>
      </c>
      <c r="AF32" s="549"/>
      <c r="AG32" s="549"/>
      <c r="AH32" s="1371" t="s">
        <v>781</v>
      </c>
      <c r="AI32" s="1372"/>
      <c r="AJ32" s="1373" t="s">
        <v>1301</v>
      </c>
      <c r="AK32" s="549"/>
      <c r="AL32" s="549"/>
      <c r="AM32" s="549"/>
      <c r="AN32" s="549"/>
      <c r="AO32" s="549"/>
      <c r="AP32" s="1374" t="s">
        <v>29</v>
      </c>
      <c r="AQ32" s="1375"/>
      <c r="AR32" s="1376" t="s">
        <v>1303</v>
      </c>
      <c r="AS32" s="1377"/>
      <c r="AT32" s="1377"/>
      <c r="AU32" s="1377"/>
      <c r="AV32" s="1377"/>
      <c r="AW32" s="1377"/>
      <c r="AX32" s="1377"/>
      <c r="AY32" s="1377"/>
      <c r="AZ32" s="1377"/>
      <c r="BA32" s="1377"/>
    </row>
    <row r="33">
      <c r="A33" s="115"/>
      <c r="B33" s="1378" t="s">
        <v>1304</v>
      </c>
      <c r="H33" s="1333"/>
      <c r="I33" s="1378" t="s">
        <v>1304</v>
      </c>
      <c r="L33" s="44"/>
      <c r="M33" s="1221" t="s">
        <v>440</v>
      </c>
      <c r="N33" s="115"/>
      <c r="O33" s="1379" t="s">
        <v>116</v>
      </c>
      <c r="P33" s="1350"/>
      <c r="Q33" s="1221" t="s">
        <v>440</v>
      </c>
      <c r="R33" s="115"/>
      <c r="S33" s="1379" t="s">
        <v>116</v>
      </c>
      <c r="T33" s="1350"/>
      <c r="U33" s="1350"/>
      <c r="V33" s="1350"/>
      <c r="W33" s="1221" t="s">
        <v>440</v>
      </c>
      <c r="X33" s="115"/>
      <c r="Y33" s="1380" t="s">
        <v>1305</v>
      </c>
      <c r="Z33" s="1224"/>
      <c r="AA33" s="1224"/>
      <c r="AB33" s="1224"/>
      <c r="AC33" s="1381" t="s">
        <v>36</v>
      </c>
      <c r="AD33" s="110"/>
      <c r="AE33" s="1382" t="s">
        <v>871</v>
      </c>
      <c r="AF33" s="109"/>
      <c r="AG33" s="109"/>
      <c r="AH33" s="1381" t="s">
        <v>36</v>
      </c>
      <c r="AI33" s="110"/>
      <c r="AJ33" s="1382" t="s">
        <v>871</v>
      </c>
      <c r="AK33" s="109"/>
      <c r="AL33" s="109"/>
      <c r="AM33" s="109"/>
      <c r="AN33" s="109"/>
      <c r="AO33" s="109"/>
      <c r="AP33" s="1383" t="s">
        <v>15</v>
      </c>
      <c r="AQ33" s="1348"/>
      <c r="AR33" s="1384" t="s">
        <v>121</v>
      </c>
      <c r="AS33" s="109"/>
      <c r="AT33" s="109"/>
      <c r="AU33" s="109"/>
      <c r="AV33" s="109"/>
      <c r="AW33" s="109"/>
      <c r="AX33" s="109"/>
      <c r="AY33" s="109"/>
      <c r="AZ33" s="109"/>
      <c r="BA33" s="109"/>
    </row>
    <row r="34">
      <c r="A34" s="115"/>
      <c r="B34" s="1378" t="s">
        <v>1306</v>
      </c>
      <c r="D34" s="1378" t="s">
        <v>1307</v>
      </c>
      <c r="H34" s="1340"/>
      <c r="I34" s="1378" t="s">
        <v>1307</v>
      </c>
      <c r="L34" s="44"/>
      <c r="M34" s="1385" t="s">
        <v>31</v>
      </c>
      <c r="N34" s="1348"/>
      <c r="O34" s="1386" t="s">
        <v>32</v>
      </c>
      <c r="P34" s="1350"/>
      <c r="Q34" s="1385" t="s">
        <v>31</v>
      </c>
      <c r="R34" s="1348"/>
      <c r="S34" s="1386" t="s">
        <v>16</v>
      </c>
      <c r="T34" s="1350"/>
      <c r="U34" s="1350"/>
      <c r="V34" s="1350"/>
      <c r="W34" s="1385" t="s">
        <v>31</v>
      </c>
      <c r="X34" s="1348"/>
      <c r="Y34" s="1387" t="s">
        <v>148</v>
      </c>
      <c r="AB34" s="1388" t="s">
        <v>1284</v>
      </c>
      <c r="AC34" s="1389" t="s">
        <v>740</v>
      </c>
      <c r="AD34" s="1348"/>
      <c r="AE34" s="1390" t="s">
        <v>122</v>
      </c>
      <c r="AF34" s="109"/>
      <c r="AG34" s="109"/>
      <c r="AH34" s="1391" t="s">
        <v>740</v>
      </c>
      <c r="AI34" s="1348"/>
      <c r="AJ34" s="1390" t="s">
        <v>121</v>
      </c>
      <c r="AK34" s="109"/>
      <c r="AL34" s="109"/>
      <c r="AM34" s="109"/>
      <c r="AN34" s="109"/>
      <c r="AO34" s="109"/>
      <c r="AP34" s="1392" t="s">
        <v>24</v>
      </c>
      <c r="AQ34" s="1348"/>
      <c r="AR34" s="1393" t="s">
        <v>25</v>
      </c>
      <c r="AS34" s="1350"/>
      <c r="AT34" s="1350"/>
      <c r="AU34" s="1350"/>
      <c r="AV34" s="1350"/>
      <c r="AW34" s="1393" t="s">
        <v>123</v>
      </c>
      <c r="AX34" s="1350"/>
      <c r="AY34" s="1350"/>
      <c r="AZ34" s="1350"/>
      <c r="BA34" s="1350"/>
    </row>
    <row r="35">
      <c r="A35" s="1394" t="s">
        <v>452</v>
      </c>
      <c r="B35" s="1395" t="s">
        <v>530</v>
      </c>
      <c r="H35" s="1396" t="s">
        <v>452</v>
      </c>
      <c r="I35" s="1395" t="s">
        <v>530</v>
      </c>
      <c r="L35" s="44"/>
      <c r="M35" s="1397" t="s">
        <v>446</v>
      </c>
      <c r="N35" s="1348"/>
      <c r="O35" s="1398" t="s">
        <v>515</v>
      </c>
      <c r="P35" s="1350"/>
      <c r="Q35" s="1397" t="s">
        <v>446</v>
      </c>
      <c r="R35" s="1348"/>
      <c r="S35" s="1398" t="s">
        <v>515</v>
      </c>
      <c r="T35" s="1350"/>
      <c r="U35" s="1350"/>
      <c r="V35" s="1350"/>
      <c r="W35" s="1291" t="s">
        <v>446</v>
      </c>
      <c r="X35" s="1227"/>
      <c r="Y35" s="1399" t="s">
        <v>515</v>
      </c>
      <c r="AC35" s="1400" t="s">
        <v>461</v>
      </c>
      <c r="AD35" s="1348"/>
      <c r="AE35" s="1294" t="s">
        <v>1289</v>
      </c>
      <c r="AF35" s="109"/>
      <c r="AG35" s="110"/>
      <c r="AH35" s="1401" t="s">
        <v>31</v>
      </c>
      <c r="AI35" s="1348"/>
      <c r="AJ35" s="1402" t="s">
        <v>1308</v>
      </c>
      <c r="AK35" s="1402" t="s">
        <v>150</v>
      </c>
      <c r="AL35" s="1350"/>
      <c r="AM35" s="1350"/>
      <c r="AN35" s="1350"/>
      <c r="AO35" s="1350"/>
      <c r="AP35" s="1401" t="s">
        <v>31</v>
      </c>
      <c r="AQ35" s="1348"/>
      <c r="AR35" s="1402" t="s">
        <v>175</v>
      </c>
      <c r="AS35" s="1350"/>
      <c r="AT35" s="1350"/>
      <c r="AU35" s="1350"/>
      <c r="AV35" s="1350"/>
      <c r="AW35" s="1350"/>
      <c r="AX35" s="1350"/>
      <c r="AY35" s="1350"/>
      <c r="AZ35" s="1350"/>
      <c r="BA35" s="1350"/>
    </row>
    <row r="36">
      <c r="A36" s="115"/>
      <c r="B36" s="1403" t="s">
        <v>1309</v>
      </c>
      <c r="H36" s="1340"/>
      <c r="I36" s="1403" t="s">
        <v>1309</v>
      </c>
      <c r="L36" s="44"/>
      <c r="M36" s="1404" t="s">
        <v>449</v>
      </c>
      <c r="N36" s="1348"/>
      <c r="O36" s="1405" t="s">
        <v>610</v>
      </c>
      <c r="P36" s="1350"/>
      <c r="Q36" s="1404" t="s">
        <v>449</v>
      </c>
      <c r="R36" s="1348"/>
      <c r="S36" s="1405" t="s">
        <v>610</v>
      </c>
      <c r="T36" s="1350"/>
      <c r="U36" s="1350"/>
      <c r="V36" s="1350"/>
      <c r="W36" s="1245"/>
      <c r="X36" s="110"/>
      <c r="Y36" s="1406" t="s">
        <v>153</v>
      </c>
      <c r="AA36" s="1406" t="s">
        <v>691</v>
      </c>
      <c r="AB36" s="1407" t="s">
        <v>122</v>
      </c>
      <c r="AC36" s="1408" t="s">
        <v>31</v>
      </c>
      <c r="AD36" s="1348"/>
      <c r="AE36" s="1409" t="s">
        <v>1310</v>
      </c>
      <c r="AF36" s="109"/>
      <c r="AG36" s="109"/>
      <c r="AH36" s="1404" t="s">
        <v>449</v>
      </c>
      <c r="AI36" s="1348"/>
      <c r="AJ36" s="1410" t="s">
        <v>610</v>
      </c>
      <c r="AK36" s="1350"/>
      <c r="AL36" s="1350"/>
      <c r="AM36" s="1350"/>
      <c r="AN36" s="1350"/>
      <c r="AO36" s="1350"/>
      <c r="AP36" s="1381" t="s">
        <v>36</v>
      </c>
      <c r="AQ36" s="110"/>
      <c r="AR36" s="1411" t="s">
        <v>176</v>
      </c>
      <c r="AS36" s="1350"/>
      <c r="AT36" s="1350"/>
      <c r="AU36" s="1350"/>
      <c r="AV36" s="1350"/>
      <c r="AW36" s="1350"/>
      <c r="AX36" s="1350"/>
      <c r="AY36" s="1350"/>
      <c r="AZ36" s="1350"/>
      <c r="BA36" s="1350"/>
    </row>
    <row r="37">
      <c r="A37" s="1412" t="s">
        <v>531</v>
      </c>
      <c r="B37" s="1413" t="s">
        <v>532</v>
      </c>
      <c r="H37" s="1414" t="s">
        <v>531</v>
      </c>
      <c r="I37" s="1413" t="s">
        <v>532</v>
      </c>
      <c r="L37" s="44"/>
      <c r="M37" s="1415" t="s">
        <v>452</v>
      </c>
      <c r="N37" s="1348"/>
      <c r="O37" s="1416" t="s">
        <v>1311</v>
      </c>
      <c r="P37" s="1350"/>
      <c r="Q37" s="1347" t="s">
        <v>452</v>
      </c>
      <c r="R37" s="1348"/>
      <c r="S37" s="1416" t="s">
        <v>1311</v>
      </c>
      <c r="T37" s="1350"/>
      <c r="U37" s="1350"/>
      <c r="V37" s="1350"/>
      <c r="W37" s="1404" t="s">
        <v>449</v>
      </c>
      <c r="X37" s="1348"/>
      <c r="Y37" s="1417" t="s">
        <v>610</v>
      </c>
      <c r="Z37" s="109"/>
      <c r="AA37" s="109"/>
      <c r="AB37" s="109"/>
      <c r="AC37" s="1404" t="s">
        <v>449</v>
      </c>
      <c r="AD37" s="1348"/>
      <c r="AE37" s="1418" t="s">
        <v>44</v>
      </c>
      <c r="AF37" s="1418" t="s">
        <v>610</v>
      </c>
      <c r="AG37" s="109"/>
      <c r="AH37" s="1392" t="s">
        <v>24</v>
      </c>
      <c r="AI37" s="1348"/>
      <c r="AJ37" s="1419" t="s">
        <v>125</v>
      </c>
      <c r="AK37" s="109"/>
      <c r="AL37" s="109"/>
      <c r="AM37" s="109"/>
      <c r="AN37" s="109"/>
      <c r="AO37" s="109"/>
      <c r="AP37" s="1420"/>
      <c r="AQ37" s="1053"/>
      <c r="AR37" s="1052"/>
      <c r="AS37" s="1052"/>
      <c r="AT37" s="1052"/>
      <c r="AU37" s="1052"/>
      <c r="AV37" s="1052"/>
      <c r="AW37" s="1052"/>
      <c r="AX37" s="1052"/>
      <c r="AY37" s="1052"/>
      <c r="AZ37" s="1052"/>
      <c r="BA37" s="1052"/>
    </row>
    <row r="38">
      <c r="A38" s="1421" t="s">
        <v>533</v>
      </c>
      <c r="B38" s="1422" t="s">
        <v>534</v>
      </c>
      <c r="E38" s="1422" t="s">
        <v>154</v>
      </c>
      <c r="H38" s="1423" t="s">
        <v>597</v>
      </c>
      <c r="I38" s="1424" t="s">
        <v>1290</v>
      </c>
      <c r="J38" s="1425" t="s">
        <v>1312</v>
      </c>
      <c r="L38" s="44"/>
      <c r="M38" s="1367"/>
      <c r="N38" s="1053"/>
      <c r="O38" s="1052"/>
      <c r="P38" s="1052"/>
      <c r="Q38" s="1053"/>
      <c r="R38" s="1053"/>
      <c r="S38" s="1053"/>
      <c r="T38" s="1053"/>
      <c r="U38" s="1053"/>
      <c r="V38" s="1053"/>
      <c r="W38" s="1347" t="s">
        <v>452</v>
      </c>
      <c r="X38" s="1348"/>
      <c r="Y38" s="1426" t="s">
        <v>530</v>
      </c>
      <c r="Z38" s="109"/>
      <c r="AA38" s="1426" t="s">
        <v>200</v>
      </c>
      <c r="AB38" s="1427"/>
      <c r="AC38" s="1392" t="s">
        <v>698</v>
      </c>
      <c r="AD38" s="1348"/>
      <c r="AE38" s="1419" t="s">
        <v>125</v>
      </c>
      <c r="AF38" s="109"/>
      <c r="AG38" s="109"/>
      <c r="AH38" s="1428" t="s">
        <v>440</v>
      </c>
      <c r="AI38" s="110"/>
      <c r="AJ38" s="1429" t="s">
        <v>120</v>
      </c>
      <c r="AK38" s="109"/>
      <c r="AL38" s="109"/>
      <c r="AM38" s="109"/>
      <c r="AN38" s="109"/>
      <c r="AO38" s="110"/>
      <c r="AP38" s="1420"/>
      <c r="AQ38" s="1053"/>
      <c r="AR38" s="1053"/>
      <c r="AS38" s="1053"/>
      <c r="AT38" s="1053"/>
      <c r="AU38" s="1053"/>
      <c r="AV38" s="1053"/>
      <c r="AW38" s="1053"/>
      <c r="AX38" s="1053"/>
      <c r="AY38" s="1053"/>
      <c r="AZ38" s="1053"/>
      <c r="BA38" s="1053"/>
    </row>
    <row r="39">
      <c r="A39" s="1430" t="s">
        <v>29</v>
      </c>
      <c r="B39" s="1431" t="s">
        <v>1313</v>
      </c>
      <c r="C39" s="112"/>
      <c r="D39" s="112"/>
      <c r="E39" s="112"/>
      <c r="F39" s="112"/>
      <c r="G39" s="112"/>
      <c r="H39" s="1430" t="s">
        <v>781</v>
      </c>
      <c r="I39" s="1431" t="s">
        <v>1314</v>
      </c>
      <c r="J39" s="112"/>
      <c r="K39" s="112"/>
      <c r="L39" s="112"/>
      <c r="M39" s="1367"/>
      <c r="N39" s="1053"/>
      <c r="O39" s="1053"/>
      <c r="P39" s="1053"/>
      <c r="Q39" s="1053"/>
      <c r="R39" s="1053"/>
      <c r="S39" s="1053"/>
      <c r="T39" s="1053"/>
      <c r="U39" s="1053"/>
      <c r="V39" s="1053"/>
      <c r="W39" s="1053"/>
      <c r="X39" s="1053"/>
      <c r="Y39" s="1052"/>
      <c r="Z39" s="1052"/>
      <c r="AA39" s="1052"/>
      <c r="AB39" s="1053"/>
      <c r="AC39" s="1428" t="s">
        <v>440</v>
      </c>
      <c r="AD39" s="110"/>
      <c r="AE39" s="1429" t="s">
        <v>120</v>
      </c>
      <c r="AF39" s="109"/>
      <c r="AG39" s="110"/>
      <c r="AH39" s="1432"/>
      <c r="AI39" s="1052"/>
      <c r="AJ39" s="1053"/>
      <c r="AK39" s="1053"/>
      <c r="AL39" s="1053"/>
      <c r="AM39" s="1053"/>
      <c r="AN39" s="1053"/>
      <c r="AO39" s="1053"/>
      <c r="AP39" s="1053"/>
      <c r="AQ39" s="1053"/>
      <c r="AR39" s="1053"/>
      <c r="AS39" s="1053"/>
      <c r="AT39" s="1053"/>
      <c r="AU39" s="1053"/>
      <c r="AV39" s="1053"/>
      <c r="AW39" s="1053"/>
      <c r="AX39" s="1053"/>
      <c r="AY39" s="1053"/>
      <c r="AZ39" s="1053"/>
      <c r="BA39" s="1053"/>
    </row>
    <row r="40">
      <c r="A40" s="1433" t="s">
        <v>518</v>
      </c>
      <c r="B40" s="1434" t="s">
        <v>1315</v>
      </c>
      <c r="H40" s="1435" t="s">
        <v>440</v>
      </c>
      <c r="I40" s="1436" t="s">
        <v>515</v>
      </c>
      <c r="M40" s="1367"/>
      <c r="N40" s="1053"/>
      <c r="O40" s="1053"/>
      <c r="P40" s="1053"/>
      <c r="Q40" s="1053"/>
      <c r="R40" s="1053"/>
      <c r="S40" s="1053"/>
      <c r="T40" s="1053"/>
      <c r="U40" s="1053"/>
      <c r="V40" s="1053"/>
      <c r="W40" s="1053"/>
      <c r="X40" s="1053"/>
      <c r="Y40" s="1053"/>
      <c r="Z40" s="1053"/>
      <c r="AA40" s="1053"/>
      <c r="AB40" s="1053"/>
      <c r="AC40" s="1053"/>
      <c r="AD40" s="1053"/>
      <c r="AE40" s="1053"/>
      <c r="AF40" s="1053"/>
      <c r="AG40" s="1053"/>
      <c r="AH40" s="1053"/>
      <c r="AI40" s="1053"/>
      <c r="AJ40" s="1053"/>
      <c r="AK40" s="1053"/>
      <c r="AL40" s="1053"/>
      <c r="AM40" s="1053"/>
      <c r="AN40" s="1053"/>
      <c r="AO40" s="1053"/>
      <c r="AP40" s="1053"/>
      <c r="AQ40" s="1053"/>
      <c r="AR40" s="1053"/>
      <c r="AS40" s="1053"/>
      <c r="AT40" s="1053"/>
      <c r="AU40" s="1053"/>
      <c r="AV40" s="1053"/>
      <c r="AW40" s="1053"/>
      <c r="AX40" s="1053"/>
      <c r="AY40" s="1053"/>
      <c r="AZ40" s="1053"/>
      <c r="BA40" s="1053"/>
    </row>
    <row r="41">
      <c r="A41" s="1437" t="s">
        <v>519</v>
      </c>
      <c r="B41" s="1243" t="s">
        <v>617</v>
      </c>
      <c r="H41" s="1438" t="s">
        <v>518</v>
      </c>
      <c r="I41" s="1434" t="s">
        <v>1315</v>
      </c>
      <c r="M41" s="1053"/>
      <c r="N41" s="1053"/>
      <c r="O41" s="1053"/>
      <c r="P41" s="1053"/>
      <c r="Q41" s="1053"/>
      <c r="R41" s="1053"/>
      <c r="S41" s="1053"/>
      <c r="T41" s="1053"/>
      <c r="U41" s="1053"/>
      <c r="V41" s="1053"/>
      <c r="W41" s="1053"/>
      <c r="X41" s="1053"/>
      <c r="Y41" s="1053"/>
      <c r="Z41" s="1053"/>
      <c r="AA41" s="1053"/>
      <c r="AB41" s="1053"/>
      <c r="AC41" s="1053"/>
      <c r="AD41" s="1053"/>
      <c r="AE41" s="1053"/>
      <c r="AF41" s="1053"/>
      <c r="AG41" s="1053"/>
      <c r="AH41" s="1053"/>
      <c r="AI41" s="1053"/>
      <c r="AJ41" s="1053"/>
      <c r="AK41" s="1053"/>
      <c r="AL41" s="1053"/>
      <c r="AM41" s="1053"/>
      <c r="AN41" s="1053"/>
      <c r="AO41" s="1053"/>
      <c r="AP41" s="1053"/>
      <c r="AQ41" s="1053"/>
      <c r="AR41" s="1053"/>
      <c r="AS41" s="1053"/>
      <c r="AT41" s="1053"/>
      <c r="AU41" s="1053"/>
      <c r="AV41" s="1053"/>
      <c r="AW41" s="1053"/>
      <c r="AX41" s="1053"/>
      <c r="AY41" s="1053"/>
      <c r="AZ41" s="1053"/>
      <c r="BA41" s="1053"/>
    </row>
    <row r="42">
      <c r="A42" s="873" t="s">
        <v>31</v>
      </c>
      <c r="B42" s="1439" t="s">
        <v>1278</v>
      </c>
      <c r="H42" s="1440" t="s">
        <v>31</v>
      </c>
      <c r="I42" s="1441" t="s">
        <v>32</v>
      </c>
      <c r="M42" s="1053"/>
      <c r="N42" s="1053"/>
      <c r="O42" s="1053"/>
      <c r="P42" s="1053"/>
      <c r="Q42" s="1053"/>
      <c r="R42" s="1053"/>
      <c r="S42" s="1053"/>
      <c r="T42" s="1053"/>
      <c r="U42" s="1053"/>
      <c r="V42" s="1053"/>
      <c r="W42" s="1053"/>
      <c r="X42" s="1053"/>
      <c r="Y42" s="1053"/>
      <c r="Z42" s="1053"/>
      <c r="AA42" s="1053"/>
      <c r="AB42" s="1053"/>
      <c r="AC42" s="1053"/>
      <c r="AD42" s="1053"/>
      <c r="AE42" s="1053"/>
      <c r="AF42" s="1053"/>
      <c r="AG42" s="1053"/>
      <c r="AH42" s="1053"/>
      <c r="AI42" s="1053"/>
      <c r="AJ42" s="1053"/>
      <c r="AK42" s="1053"/>
      <c r="AL42" s="1053"/>
      <c r="AM42" s="1053"/>
      <c r="AN42" s="1053"/>
      <c r="AO42" s="1053"/>
      <c r="AP42" s="1053"/>
      <c r="AQ42" s="1053"/>
      <c r="AR42" s="1053"/>
      <c r="AS42" s="1053"/>
      <c r="AT42" s="1053"/>
      <c r="AU42" s="1053"/>
      <c r="AV42" s="1053"/>
      <c r="AW42" s="1053"/>
      <c r="AX42" s="1053"/>
      <c r="AY42" s="1053"/>
      <c r="AZ42" s="1053"/>
      <c r="BA42" s="1053"/>
    </row>
    <row r="43">
      <c r="A43" s="1442" t="s">
        <v>520</v>
      </c>
      <c r="B43" s="1298" t="s">
        <v>515</v>
      </c>
      <c r="H43" s="1443" t="s">
        <v>519</v>
      </c>
      <c r="I43" s="1243" t="s">
        <v>617</v>
      </c>
      <c r="M43" s="1053"/>
      <c r="N43" s="1053"/>
      <c r="O43" s="1053"/>
      <c r="P43" s="1053"/>
      <c r="Q43" s="1053"/>
      <c r="R43" s="1053"/>
      <c r="S43" s="1053"/>
      <c r="T43" s="1053"/>
      <c r="U43" s="1053"/>
      <c r="V43" s="1053"/>
      <c r="W43" s="1053"/>
      <c r="X43" s="1053"/>
      <c r="Y43" s="1053"/>
      <c r="Z43" s="1053"/>
      <c r="AA43" s="1053"/>
      <c r="AB43" s="1053"/>
      <c r="AC43" s="1053"/>
      <c r="AD43" s="1053"/>
      <c r="AE43" s="1053"/>
      <c r="AF43" s="1053"/>
      <c r="AG43" s="1053"/>
      <c r="AH43" s="1053"/>
      <c r="AI43" s="1053"/>
      <c r="AJ43" s="1053"/>
      <c r="AK43" s="1053"/>
      <c r="AL43" s="1053"/>
      <c r="AM43" s="1053"/>
      <c r="AN43" s="1053"/>
      <c r="AO43" s="1053"/>
      <c r="AP43" s="1053"/>
      <c r="AQ43" s="1053"/>
      <c r="AR43" s="1053"/>
      <c r="AS43" s="1053"/>
      <c r="AT43" s="1053"/>
      <c r="AU43" s="1053"/>
      <c r="AV43" s="1053"/>
      <c r="AW43" s="1053"/>
      <c r="AX43" s="1053"/>
      <c r="AY43" s="1053"/>
      <c r="AZ43" s="1053"/>
      <c r="BA43" s="1053"/>
    </row>
    <row r="44">
      <c r="A44" s="1444" t="s">
        <v>522</v>
      </c>
      <c r="B44" s="1445" t="s">
        <v>1316</v>
      </c>
      <c r="H44" s="1446" t="s">
        <v>524</v>
      </c>
      <c r="I44" s="1447" t="s">
        <v>155</v>
      </c>
      <c r="J44" s="1345" t="s">
        <v>299</v>
      </c>
      <c r="L44" s="44"/>
      <c r="M44" s="1053"/>
      <c r="N44" s="1053"/>
      <c r="O44" s="1053"/>
      <c r="P44" s="1053"/>
      <c r="Q44" s="1053"/>
      <c r="R44" s="1053"/>
      <c r="S44" s="1053"/>
      <c r="T44" s="1053"/>
      <c r="U44" s="1053"/>
      <c r="V44" s="1053"/>
      <c r="W44" s="1053"/>
      <c r="X44" s="1053"/>
      <c r="Y44" s="1053"/>
      <c r="Z44" s="1053"/>
      <c r="AA44" s="1053"/>
      <c r="AB44" s="1053"/>
      <c r="AC44" s="1053"/>
      <c r="AD44" s="1053"/>
      <c r="AE44" s="1053"/>
      <c r="AF44" s="1053"/>
      <c r="AG44" s="1053"/>
      <c r="AH44" s="1053"/>
      <c r="AI44" s="1053"/>
      <c r="AJ44" s="1053"/>
      <c r="AK44" s="1053"/>
      <c r="AL44" s="1053"/>
      <c r="AM44" s="1053"/>
      <c r="AN44" s="1053"/>
      <c r="AO44" s="1053"/>
      <c r="AP44" s="1053"/>
      <c r="AQ44" s="1053"/>
      <c r="AR44" s="1053"/>
      <c r="AS44" s="1053"/>
      <c r="AT44" s="1053"/>
      <c r="AU44" s="1053"/>
      <c r="AV44" s="1053"/>
      <c r="AW44" s="1053"/>
      <c r="AX44" s="1053"/>
      <c r="AY44" s="1053"/>
      <c r="AZ44" s="1053"/>
      <c r="BA44" s="1053"/>
    </row>
    <row r="45">
      <c r="A45" s="865" t="s">
        <v>524</v>
      </c>
      <c r="B45" s="1345" t="s">
        <v>155</v>
      </c>
      <c r="H45" s="1448" t="s">
        <v>526</v>
      </c>
      <c r="I45" s="1449" t="s">
        <v>871</v>
      </c>
      <c r="L45" s="44"/>
      <c r="M45" s="1053"/>
      <c r="N45" s="1053"/>
      <c r="O45" s="1053"/>
      <c r="P45" s="1053"/>
      <c r="Q45" s="1053"/>
      <c r="R45" s="1053"/>
      <c r="S45" s="1053"/>
      <c r="T45" s="1053"/>
      <c r="U45" s="1053"/>
      <c r="V45" s="1053"/>
      <c r="W45" s="1053"/>
      <c r="X45" s="1053"/>
      <c r="Y45" s="1053"/>
      <c r="Z45" s="1053"/>
      <c r="AA45" s="1053"/>
      <c r="AB45" s="1053"/>
      <c r="AC45" s="1053"/>
      <c r="AD45" s="1053"/>
      <c r="AE45" s="1053"/>
      <c r="AF45" s="1053"/>
      <c r="AG45" s="1053"/>
      <c r="AH45" s="1053"/>
      <c r="AI45" s="1053"/>
      <c r="AJ45" s="1053"/>
      <c r="AK45" s="1053"/>
      <c r="AL45" s="1053"/>
      <c r="AM45" s="1053"/>
      <c r="AN45" s="1053"/>
      <c r="AO45" s="1053"/>
      <c r="AP45" s="1053"/>
      <c r="AQ45" s="1053"/>
      <c r="AR45" s="1053"/>
      <c r="AS45" s="1053"/>
      <c r="AT45" s="1053"/>
      <c r="AU45" s="1053"/>
      <c r="AV45" s="1053"/>
      <c r="AW45" s="1053"/>
      <c r="AX45" s="1053"/>
      <c r="AY45" s="1053"/>
      <c r="AZ45" s="1053"/>
      <c r="BA45" s="1053"/>
    </row>
    <row r="46">
      <c r="A46" s="1450" t="s">
        <v>526</v>
      </c>
      <c r="B46" s="1449" t="s">
        <v>871</v>
      </c>
      <c r="H46" s="1451" t="s">
        <v>528</v>
      </c>
      <c r="I46" s="1452" t="s">
        <v>513</v>
      </c>
      <c r="L46" s="44"/>
      <c r="M46" s="1053"/>
      <c r="N46" s="1053"/>
      <c r="O46" s="1053"/>
      <c r="P46" s="1053"/>
      <c r="Q46" s="1053"/>
      <c r="R46" s="1053"/>
      <c r="S46" s="1053"/>
      <c r="T46" s="1053"/>
      <c r="U46" s="1053"/>
      <c r="V46" s="1053"/>
      <c r="W46" s="1053"/>
      <c r="X46" s="1053"/>
      <c r="Y46" s="1053"/>
      <c r="Z46" s="1053"/>
      <c r="AA46" s="1053"/>
      <c r="AB46" s="1053"/>
      <c r="AC46" s="1053"/>
      <c r="AD46" s="1053"/>
      <c r="AE46" s="1053"/>
      <c r="AF46" s="1053"/>
      <c r="AG46" s="1053"/>
      <c r="AH46" s="1053"/>
      <c r="AI46" s="1053"/>
      <c r="AJ46" s="1053"/>
      <c r="AK46" s="1053"/>
      <c r="AL46" s="1053"/>
      <c r="AM46" s="1053"/>
      <c r="AN46" s="1053"/>
      <c r="AO46" s="1053"/>
      <c r="AP46" s="1053"/>
      <c r="AQ46" s="1053"/>
      <c r="AR46" s="1053"/>
      <c r="AS46" s="1053"/>
      <c r="AT46" s="1053"/>
      <c r="AU46" s="1053"/>
      <c r="AV46" s="1053"/>
      <c r="AW46" s="1053"/>
      <c r="AX46" s="1053"/>
      <c r="AY46" s="1053"/>
      <c r="AZ46" s="1053"/>
      <c r="BA46" s="1053"/>
    </row>
    <row r="47">
      <c r="A47" s="1453" t="s">
        <v>528</v>
      </c>
      <c r="B47" s="1452" t="s">
        <v>513</v>
      </c>
      <c r="H47" s="1454" t="s">
        <v>452</v>
      </c>
      <c r="I47" s="1455" t="s">
        <v>1311</v>
      </c>
      <c r="L47" s="44"/>
      <c r="M47" s="1053"/>
      <c r="N47" s="1053"/>
      <c r="O47" s="1053"/>
      <c r="P47" s="1053"/>
      <c r="Q47" s="1053"/>
      <c r="R47" s="1053"/>
      <c r="S47" s="1053"/>
      <c r="T47" s="1053"/>
      <c r="U47" s="1053"/>
      <c r="V47" s="1053"/>
      <c r="W47" s="1053"/>
      <c r="X47" s="1053"/>
      <c r="Y47" s="1053"/>
      <c r="Z47" s="1053"/>
      <c r="AA47" s="1053"/>
      <c r="AB47" s="1053"/>
      <c r="AC47" s="1053"/>
      <c r="AD47" s="1053"/>
      <c r="AE47" s="1053"/>
      <c r="AF47" s="1053"/>
      <c r="AG47" s="1053"/>
      <c r="AH47" s="1053"/>
      <c r="AI47" s="1053"/>
      <c r="AJ47" s="1053"/>
      <c r="AK47" s="1053"/>
      <c r="AL47" s="1053"/>
      <c r="AM47" s="1053"/>
      <c r="AN47" s="1053"/>
      <c r="AO47" s="1053"/>
      <c r="AP47" s="1053"/>
      <c r="AQ47" s="1053"/>
      <c r="AR47" s="1053"/>
      <c r="AS47" s="1053"/>
      <c r="AT47" s="1053"/>
      <c r="AU47" s="1053"/>
      <c r="AV47" s="1053"/>
      <c r="AW47" s="1053"/>
      <c r="AX47" s="1053"/>
      <c r="AY47" s="1053"/>
      <c r="AZ47" s="1053"/>
      <c r="BA47" s="1053"/>
    </row>
    <row r="48">
      <c r="A48" s="1456" t="s">
        <v>452</v>
      </c>
      <c r="B48" s="1455" t="s">
        <v>1311</v>
      </c>
      <c r="H48" s="1457" t="s">
        <v>597</v>
      </c>
      <c r="I48" s="1458" t="s">
        <v>1317</v>
      </c>
      <c r="L48" s="44"/>
      <c r="M48" s="1053"/>
      <c r="N48" s="1053"/>
      <c r="O48" s="1053"/>
      <c r="P48" s="1053"/>
      <c r="Q48" s="1053"/>
      <c r="R48" s="1053"/>
      <c r="S48" s="1053"/>
      <c r="T48" s="1053"/>
      <c r="U48" s="1053"/>
      <c r="V48" s="1053"/>
      <c r="W48" s="1053"/>
      <c r="X48" s="1053"/>
      <c r="Y48" s="1053"/>
      <c r="Z48" s="1053"/>
      <c r="AA48" s="1053"/>
      <c r="AB48" s="1053"/>
      <c r="AC48" s="1053"/>
      <c r="AD48" s="1053"/>
      <c r="AE48" s="1053"/>
      <c r="AF48" s="1053"/>
      <c r="AG48" s="1053"/>
      <c r="AH48" s="1053"/>
      <c r="AI48" s="1053"/>
      <c r="AJ48" s="1053"/>
      <c r="AK48" s="1053"/>
      <c r="AL48" s="1053"/>
      <c r="AM48" s="1053"/>
      <c r="AN48" s="1053"/>
      <c r="AO48" s="1053"/>
      <c r="AP48" s="1053"/>
      <c r="AQ48" s="1053"/>
      <c r="AR48" s="1053"/>
      <c r="AS48" s="1053"/>
      <c r="AT48" s="1053"/>
      <c r="AU48" s="1053"/>
      <c r="AV48" s="1053"/>
      <c r="AW48" s="1053"/>
      <c r="AX48" s="1053"/>
      <c r="AY48" s="1053"/>
      <c r="AZ48" s="1053"/>
      <c r="BA48" s="1053"/>
    </row>
    <row r="49">
      <c r="A49" s="1459" t="s">
        <v>533</v>
      </c>
      <c r="B49" s="1460" t="s">
        <v>1318</v>
      </c>
      <c r="G49" s="44"/>
      <c r="H49" s="1367"/>
      <c r="I49" s="1053"/>
      <c r="J49" s="1053"/>
      <c r="K49" s="1053"/>
      <c r="L49" s="1053"/>
      <c r="M49" s="1053"/>
      <c r="N49" s="1053"/>
      <c r="O49" s="1053"/>
      <c r="P49" s="1053"/>
      <c r="Q49" s="1053"/>
      <c r="R49" s="1053"/>
      <c r="S49" s="1053"/>
      <c r="T49" s="1053"/>
      <c r="U49" s="1053"/>
      <c r="V49" s="1053"/>
      <c r="W49" s="1053"/>
      <c r="X49" s="1053"/>
      <c r="Y49" s="1053"/>
      <c r="Z49" s="1053"/>
      <c r="AA49" s="1053"/>
      <c r="AB49" s="1053"/>
      <c r="AC49" s="1053"/>
      <c r="AD49" s="1053"/>
      <c r="AE49" s="1053"/>
      <c r="AF49" s="1053"/>
      <c r="AG49" s="1053"/>
      <c r="AH49" s="1053"/>
      <c r="AI49" s="1053"/>
      <c r="AJ49" s="1053"/>
      <c r="AK49" s="1053"/>
      <c r="AL49" s="1053"/>
      <c r="AM49" s="1053"/>
      <c r="AN49" s="1053"/>
      <c r="AO49" s="1053"/>
      <c r="AP49" s="1053"/>
      <c r="AQ49" s="1053"/>
      <c r="AR49" s="1053"/>
      <c r="AS49" s="1053"/>
      <c r="AT49" s="1053"/>
      <c r="AU49" s="1053"/>
      <c r="AV49" s="1053"/>
      <c r="AW49" s="1053"/>
      <c r="AX49" s="1053"/>
      <c r="AY49" s="1053"/>
      <c r="AZ49" s="1053"/>
      <c r="BA49" s="1053"/>
    </row>
  </sheetData>
  <mergeCells count="448">
    <mergeCell ref="AJ8:AO8"/>
    <mergeCell ref="AJ9:AO9"/>
    <mergeCell ref="Y11:AB11"/>
    <mergeCell ref="AE11:AG11"/>
    <mergeCell ref="W4:X10"/>
    <mergeCell ref="AC4:AD9"/>
    <mergeCell ref="AH4:AI10"/>
    <mergeCell ref="AP4:AQ11"/>
    <mergeCell ref="Y5:AB5"/>
    <mergeCell ref="AJ5:AO5"/>
    <mergeCell ref="Y10:AB10"/>
    <mergeCell ref="AJ11:AO11"/>
    <mergeCell ref="AE7:AG7"/>
    <mergeCell ref="AE8:AG8"/>
    <mergeCell ref="AE9:AG9"/>
    <mergeCell ref="AE10:AG10"/>
    <mergeCell ref="AE12:AF12"/>
    <mergeCell ref="AE13:AG13"/>
    <mergeCell ref="AE14:AG14"/>
    <mergeCell ref="AE15:AG15"/>
    <mergeCell ref="AE16:AG16"/>
    <mergeCell ref="AJ6:AO6"/>
    <mergeCell ref="AJ7:AO7"/>
    <mergeCell ref="AJ12:AO12"/>
    <mergeCell ref="AP12:AQ17"/>
    <mergeCell ref="AJ13:AO13"/>
    <mergeCell ref="AJ14:AO14"/>
    <mergeCell ref="AJ15:AO15"/>
    <mergeCell ref="AJ16:AO16"/>
    <mergeCell ref="AJ17:AO17"/>
    <mergeCell ref="AJ18:AO18"/>
    <mergeCell ref="AP18:AQ22"/>
    <mergeCell ref="AJ19:AO19"/>
    <mergeCell ref="AJ20:AO20"/>
    <mergeCell ref="AJ21:AO21"/>
    <mergeCell ref="AJ22:AO22"/>
    <mergeCell ref="AJ23:AM23"/>
    <mergeCell ref="AN23:AO23"/>
    <mergeCell ref="AP23:AQ27"/>
    <mergeCell ref="AJ24:AO24"/>
    <mergeCell ref="AJ25:AO25"/>
    <mergeCell ref="AJ26:AO26"/>
    <mergeCell ref="AJ27:AO27"/>
    <mergeCell ref="AJ28:AO28"/>
    <mergeCell ref="AP28:AQ28"/>
    <mergeCell ref="AP29:AQ29"/>
    <mergeCell ref="AJ32:AO32"/>
    <mergeCell ref="AP32:AQ32"/>
    <mergeCell ref="AP33:AQ33"/>
    <mergeCell ref="AJ37:AO37"/>
    <mergeCell ref="AJ38:AO38"/>
    <mergeCell ref="AJ33:AO33"/>
    <mergeCell ref="AJ34:AO34"/>
    <mergeCell ref="AP34:AQ34"/>
    <mergeCell ref="AK35:AO35"/>
    <mergeCell ref="AP35:AQ35"/>
    <mergeCell ref="AJ36:AO36"/>
    <mergeCell ref="AP36:AQ36"/>
    <mergeCell ref="AE5:AG5"/>
    <mergeCell ref="AE6:AG6"/>
    <mergeCell ref="Y6:AB6"/>
    <mergeCell ref="Y7:AB7"/>
    <mergeCell ref="S5:V5"/>
    <mergeCell ref="S6:V6"/>
    <mergeCell ref="S7:V7"/>
    <mergeCell ref="S8:V8"/>
    <mergeCell ref="S9:V9"/>
    <mergeCell ref="S10:V10"/>
    <mergeCell ref="S11:V11"/>
    <mergeCell ref="AH11:AI15"/>
    <mergeCell ref="AH16:AI19"/>
    <mergeCell ref="AH20:AI22"/>
    <mergeCell ref="S12:V12"/>
    <mergeCell ref="S13:V13"/>
    <mergeCell ref="S14:T14"/>
    <mergeCell ref="U14:V14"/>
    <mergeCell ref="S15:T15"/>
    <mergeCell ref="Y15:Z15"/>
    <mergeCell ref="AA15:AB15"/>
    <mergeCell ref="O19:P19"/>
    <mergeCell ref="O20:P20"/>
    <mergeCell ref="Y19:AB19"/>
    <mergeCell ref="Y20:AB20"/>
    <mergeCell ref="Y22:Z22"/>
    <mergeCell ref="U15:V15"/>
    <mergeCell ref="S16:V16"/>
    <mergeCell ref="M17:N22"/>
    <mergeCell ref="O17:P17"/>
    <mergeCell ref="Q17:R22"/>
    <mergeCell ref="S17:V17"/>
    <mergeCell ref="O18:P18"/>
    <mergeCell ref="O21:P21"/>
    <mergeCell ref="O22:P22"/>
    <mergeCell ref="O23:P23"/>
    <mergeCell ref="Q23:R25"/>
    <mergeCell ref="O24:P24"/>
    <mergeCell ref="O25:P25"/>
    <mergeCell ref="M26:N26"/>
    <mergeCell ref="W18:X22"/>
    <mergeCell ref="W23:X25"/>
    <mergeCell ref="W32:X32"/>
    <mergeCell ref="W33:X33"/>
    <mergeCell ref="W34:X34"/>
    <mergeCell ref="W35:X36"/>
    <mergeCell ref="W37:X37"/>
    <mergeCell ref="W38:X38"/>
    <mergeCell ref="S24:V24"/>
    <mergeCell ref="S25:V25"/>
    <mergeCell ref="S32:V32"/>
    <mergeCell ref="S33:V33"/>
    <mergeCell ref="S34:V34"/>
    <mergeCell ref="S35:V35"/>
    <mergeCell ref="S37:V37"/>
    <mergeCell ref="S18:V18"/>
    <mergeCell ref="S19:V19"/>
    <mergeCell ref="S20:V20"/>
    <mergeCell ref="S21:T21"/>
    <mergeCell ref="U21:V21"/>
    <mergeCell ref="S22:V22"/>
    <mergeCell ref="S23:V23"/>
    <mergeCell ref="O26:P26"/>
    <mergeCell ref="Q26:R26"/>
    <mergeCell ref="S26:V26"/>
    <mergeCell ref="W26:X26"/>
    <mergeCell ref="M27:N27"/>
    <mergeCell ref="O27:P27"/>
    <mergeCell ref="Q27:R27"/>
    <mergeCell ref="S27:V27"/>
    <mergeCell ref="W27:X27"/>
    <mergeCell ref="O28:P28"/>
    <mergeCell ref="Q28:R28"/>
    <mergeCell ref="S28:V28"/>
    <mergeCell ref="W28:X28"/>
    <mergeCell ref="M36:N36"/>
    <mergeCell ref="O36:P36"/>
    <mergeCell ref="Q36:R36"/>
    <mergeCell ref="S36:V36"/>
    <mergeCell ref="Y37:AB37"/>
    <mergeCell ref="Y38:Z38"/>
    <mergeCell ref="AA38:AB38"/>
    <mergeCell ref="Y27:AB27"/>
    <mergeCell ref="Y28:AB28"/>
    <mergeCell ref="Y32:AB32"/>
    <mergeCell ref="Y33:AB33"/>
    <mergeCell ref="Y34:AA34"/>
    <mergeCell ref="Y35:AB35"/>
    <mergeCell ref="Y36:Z36"/>
    <mergeCell ref="Y16:AB16"/>
    <mergeCell ref="Y17:AB17"/>
    <mergeCell ref="AE17:AG17"/>
    <mergeCell ref="AE18:AG18"/>
    <mergeCell ref="AE19:AG19"/>
    <mergeCell ref="AE20:AG20"/>
    <mergeCell ref="AE21:AG21"/>
    <mergeCell ref="Y18:AB18"/>
    <mergeCell ref="Y21:Z21"/>
    <mergeCell ref="AA21:AB21"/>
    <mergeCell ref="Y23:AB23"/>
    <mergeCell ref="Y24:AB24"/>
    <mergeCell ref="Y25:AB25"/>
    <mergeCell ref="Y26:AB26"/>
    <mergeCell ref="AE22:AG22"/>
    <mergeCell ref="AF23:AG23"/>
    <mergeCell ref="AH23:AI25"/>
    <mergeCell ref="AE24:AG24"/>
    <mergeCell ref="AE25:AG25"/>
    <mergeCell ref="AE26:AG26"/>
    <mergeCell ref="AH26:AI27"/>
    <mergeCell ref="AE27:AG27"/>
    <mergeCell ref="AE28:AG28"/>
    <mergeCell ref="AH28:AI28"/>
    <mergeCell ref="AE32:AG32"/>
    <mergeCell ref="AH32:AI32"/>
    <mergeCell ref="AE33:AG33"/>
    <mergeCell ref="AH33:AI33"/>
    <mergeCell ref="AC34:AD34"/>
    <mergeCell ref="AC35:AD35"/>
    <mergeCell ref="AC36:AD36"/>
    <mergeCell ref="AC37:AD37"/>
    <mergeCell ref="AC38:AD38"/>
    <mergeCell ref="AC39:AD39"/>
    <mergeCell ref="AC18:AD21"/>
    <mergeCell ref="AC22:AD23"/>
    <mergeCell ref="AC24:AD25"/>
    <mergeCell ref="AC26:AD27"/>
    <mergeCell ref="AC28:AD28"/>
    <mergeCell ref="AC32:AD32"/>
    <mergeCell ref="AC33:AD33"/>
    <mergeCell ref="AF37:AG37"/>
    <mergeCell ref="AE38:AG38"/>
    <mergeCell ref="AH38:AI38"/>
    <mergeCell ref="AE39:AG39"/>
    <mergeCell ref="AE34:AG34"/>
    <mergeCell ref="AH34:AI34"/>
    <mergeCell ref="AE35:AG35"/>
    <mergeCell ref="AH35:AI35"/>
    <mergeCell ref="AE36:AG36"/>
    <mergeCell ref="AH36:AI36"/>
    <mergeCell ref="AH37:AI37"/>
    <mergeCell ref="B29:G29"/>
    <mergeCell ref="B30:G30"/>
    <mergeCell ref="B22:C22"/>
    <mergeCell ref="D22:G22"/>
    <mergeCell ref="B23:D23"/>
    <mergeCell ref="E23:G23"/>
    <mergeCell ref="B26:F26"/>
    <mergeCell ref="B27:G27"/>
    <mergeCell ref="B28:G28"/>
    <mergeCell ref="B31:G31"/>
    <mergeCell ref="B32:C32"/>
    <mergeCell ref="D32:G32"/>
    <mergeCell ref="B33:G33"/>
    <mergeCell ref="B34:C34"/>
    <mergeCell ref="D34:G34"/>
    <mergeCell ref="B35:G35"/>
    <mergeCell ref="B42:G42"/>
    <mergeCell ref="B43:G43"/>
    <mergeCell ref="B44:G44"/>
    <mergeCell ref="B45:G45"/>
    <mergeCell ref="B46:G46"/>
    <mergeCell ref="B47:G47"/>
    <mergeCell ref="B48:G48"/>
    <mergeCell ref="B49:G49"/>
    <mergeCell ref="B36:G36"/>
    <mergeCell ref="B37:G37"/>
    <mergeCell ref="B38:D38"/>
    <mergeCell ref="E38:G38"/>
    <mergeCell ref="B39:G39"/>
    <mergeCell ref="B40:G40"/>
    <mergeCell ref="B41:G41"/>
    <mergeCell ref="B6:E6"/>
    <mergeCell ref="F6:G6"/>
    <mergeCell ref="B7:G7"/>
    <mergeCell ref="B8:G8"/>
    <mergeCell ref="B5:F5"/>
    <mergeCell ref="B9:F9"/>
    <mergeCell ref="H4:H11"/>
    <mergeCell ref="H12:H18"/>
    <mergeCell ref="H19:H22"/>
    <mergeCell ref="H23:H25"/>
    <mergeCell ref="H26:H28"/>
    <mergeCell ref="H29:H31"/>
    <mergeCell ref="H32:H34"/>
    <mergeCell ref="H35:H36"/>
    <mergeCell ref="A9:A13"/>
    <mergeCell ref="A14:A17"/>
    <mergeCell ref="A18:A21"/>
    <mergeCell ref="A22:A25"/>
    <mergeCell ref="A26:A28"/>
    <mergeCell ref="A29:A31"/>
    <mergeCell ref="A32:A34"/>
    <mergeCell ref="A35:A36"/>
    <mergeCell ref="B2:C2"/>
    <mergeCell ref="D2:E2"/>
    <mergeCell ref="B3:G3"/>
    <mergeCell ref="A4:A8"/>
    <mergeCell ref="B4:G4"/>
    <mergeCell ref="B12:F12"/>
    <mergeCell ref="B13:F13"/>
    <mergeCell ref="B17:C17"/>
    <mergeCell ref="B18:E18"/>
    <mergeCell ref="F18:G18"/>
    <mergeCell ref="B19:D19"/>
    <mergeCell ref="E19:G19"/>
    <mergeCell ref="B20:G20"/>
    <mergeCell ref="B21:G21"/>
    <mergeCell ref="I32:L32"/>
    <mergeCell ref="M32:N32"/>
    <mergeCell ref="O32:P32"/>
    <mergeCell ref="Q32:R32"/>
    <mergeCell ref="M33:N33"/>
    <mergeCell ref="O33:P33"/>
    <mergeCell ref="Q33:R33"/>
    <mergeCell ref="I33:L33"/>
    <mergeCell ref="I34:L34"/>
    <mergeCell ref="M34:N34"/>
    <mergeCell ref="O34:P34"/>
    <mergeCell ref="Q34:R34"/>
    <mergeCell ref="I35:L35"/>
    <mergeCell ref="M35:N35"/>
    <mergeCell ref="I47:L47"/>
    <mergeCell ref="I48:L48"/>
    <mergeCell ref="I40:L40"/>
    <mergeCell ref="I41:L41"/>
    <mergeCell ref="I42:L42"/>
    <mergeCell ref="I43:L43"/>
    <mergeCell ref="J44:L44"/>
    <mergeCell ref="I45:L45"/>
    <mergeCell ref="I46:L46"/>
    <mergeCell ref="B10:F10"/>
    <mergeCell ref="B11:F11"/>
    <mergeCell ref="I11:L11"/>
    <mergeCell ref="I12:L12"/>
    <mergeCell ref="I13:L13"/>
    <mergeCell ref="I14:L14"/>
    <mergeCell ref="B14:F14"/>
    <mergeCell ref="B15:G15"/>
    <mergeCell ref="I15:L15"/>
    <mergeCell ref="B16:G16"/>
    <mergeCell ref="I16:L16"/>
    <mergeCell ref="D17:G17"/>
    <mergeCell ref="I17:L17"/>
    <mergeCell ref="B24:G24"/>
    <mergeCell ref="I24:L24"/>
    <mergeCell ref="B25:G25"/>
    <mergeCell ref="I25:L25"/>
    <mergeCell ref="I18:L18"/>
    <mergeCell ref="I19:L19"/>
    <mergeCell ref="I20:L20"/>
    <mergeCell ref="I21:L21"/>
    <mergeCell ref="I22:L22"/>
    <mergeCell ref="J23:L23"/>
    <mergeCell ref="M23:N25"/>
    <mergeCell ref="I26:L26"/>
    <mergeCell ref="I27:L27"/>
    <mergeCell ref="I28:L28"/>
    <mergeCell ref="M28:N28"/>
    <mergeCell ref="I29:L29"/>
    <mergeCell ref="I30:L30"/>
    <mergeCell ref="I31:L31"/>
    <mergeCell ref="O35:P35"/>
    <mergeCell ref="Q35:R35"/>
    <mergeCell ref="I36:L36"/>
    <mergeCell ref="I37:L37"/>
    <mergeCell ref="M37:N37"/>
    <mergeCell ref="O37:P37"/>
    <mergeCell ref="Q37:R37"/>
    <mergeCell ref="J38:L38"/>
    <mergeCell ref="I39:L39"/>
    <mergeCell ref="AH1:AI2"/>
    <mergeCell ref="AJ2:AK2"/>
    <mergeCell ref="S1:V1"/>
    <mergeCell ref="W1:X2"/>
    <mergeCell ref="Y1:AB1"/>
    <mergeCell ref="AC1:AD2"/>
    <mergeCell ref="AE1:AG1"/>
    <mergeCell ref="AE2:AF2"/>
    <mergeCell ref="AL2:AM2"/>
    <mergeCell ref="Y3:AB3"/>
    <mergeCell ref="Y4:AB4"/>
    <mergeCell ref="S2:T2"/>
    <mergeCell ref="U2:V2"/>
    <mergeCell ref="S3:V3"/>
    <mergeCell ref="W3:X3"/>
    <mergeCell ref="AC3:AD3"/>
    <mergeCell ref="AE3:AG3"/>
    <mergeCell ref="S4:V4"/>
    <mergeCell ref="AE4:AG4"/>
    <mergeCell ref="O5:P5"/>
    <mergeCell ref="O6:P6"/>
    <mergeCell ref="F2:G2"/>
    <mergeCell ref="I2:J2"/>
    <mergeCell ref="I3:L3"/>
    <mergeCell ref="M3:N3"/>
    <mergeCell ref="I4:L4"/>
    <mergeCell ref="I5:L5"/>
    <mergeCell ref="I6:L6"/>
    <mergeCell ref="O1:P1"/>
    <mergeCell ref="O2:P2"/>
    <mergeCell ref="O3:P3"/>
    <mergeCell ref="Q3:R3"/>
    <mergeCell ref="M4:N10"/>
    <mergeCell ref="O4:P4"/>
    <mergeCell ref="Q4:R10"/>
    <mergeCell ref="O14:P14"/>
    <mergeCell ref="O15:P15"/>
    <mergeCell ref="O9:P9"/>
    <mergeCell ref="O10:P10"/>
    <mergeCell ref="M11:N16"/>
    <mergeCell ref="O11:P11"/>
    <mergeCell ref="Q11:R16"/>
    <mergeCell ref="O12:P12"/>
    <mergeCell ref="O13:P13"/>
    <mergeCell ref="O16:P16"/>
    <mergeCell ref="AC10:AD13"/>
    <mergeCell ref="AC14:AD17"/>
    <mergeCell ref="Y8:AA8"/>
    <mergeCell ref="Y9:AB9"/>
    <mergeCell ref="W11:X17"/>
    <mergeCell ref="Y12:AB12"/>
    <mergeCell ref="Y13:AB13"/>
    <mergeCell ref="Y14:Z14"/>
    <mergeCell ref="AA14:AB14"/>
    <mergeCell ref="AR10:BA10"/>
    <mergeCell ref="AR11:BA11"/>
    <mergeCell ref="AR12:BA12"/>
    <mergeCell ref="AR13:BA13"/>
    <mergeCell ref="AR14:BA14"/>
    <mergeCell ref="AR15:AV15"/>
    <mergeCell ref="AW15:BA15"/>
    <mergeCell ref="AR16:BA16"/>
    <mergeCell ref="AR17:AT17"/>
    <mergeCell ref="AU17:BA17"/>
    <mergeCell ref="AR18:BA18"/>
    <mergeCell ref="AR19:BA19"/>
    <mergeCell ref="AR20:BA20"/>
    <mergeCell ref="AR21:BA21"/>
    <mergeCell ref="AT27:AU27"/>
    <mergeCell ref="AR28:AU28"/>
    <mergeCell ref="AV28:BA28"/>
    <mergeCell ref="AR29:BA29"/>
    <mergeCell ref="AR32:BA32"/>
    <mergeCell ref="AR33:BA33"/>
    <mergeCell ref="AR34:AV34"/>
    <mergeCell ref="AW34:BA34"/>
    <mergeCell ref="AR35:BA35"/>
    <mergeCell ref="AR36:BA36"/>
    <mergeCell ref="AR22:BA22"/>
    <mergeCell ref="AR23:BA23"/>
    <mergeCell ref="AR24:BA24"/>
    <mergeCell ref="AR25:BA25"/>
    <mergeCell ref="AR26:AU26"/>
    <mergeCell ref="AV26:BA26"/>
    <mergeCell ref="AV27:BA27"/>
    <mergeCell ref="AJ1:AO1"/>
    <mergeCell ref="AR1:BA1"/>
    <mergeCell ref="A1:A2"/>
    <mergeCell ref="B1:G1"/>
    <mergeCell ref="H1:H2"/>
    <mergeCell ref="I1:L1"/>
    <mergeCell ref="M1:N2"/>
    <mergeCell ref="Q1:R2"/>
    <mergeCell ref="K2:L2"/>
    <mergeCell ref="AP1:AQ2"/>
    <mergeCell ref="AR2:AT2"/>
    <mergeCell ref="AU2:AW2"/>
    <mergeCell ref="AX2:AY2"/>
    <mergeCell ref="AZ2:BA2"/>
    <mergeCell ref="AH3:AI3"/>
    <mergeCell ref="AJ3:AO3"/>
    <mergeCell ref="AP3:AQ3"/>
    <mergeCell ref="AR3:BA3"/>
    <mergeCell ref="AJ4:AL4"/>
    <mergeCell ref="AM4:AO4"/>
    <mergeCell ref="AR4:BA4"/>
    <mergeCell ref="I7:L7"/>
    <mergeCell ref="I8:L8"/>
    <mergeCell ref="I9:L9"/>
    <mergeCell ref="I10:L10"/>
    <mergeCell ref="O7:P7"/>
    <mergeCell ref="O8:P8"/>
    <mergeCell ref="AR5:BA5"/>
    <mergeCell ref="AR6:BA6"/>
    <mergeCell ref="AR7:BA7"/>
    <mergeCell ref="AR8:AU8"/>
    <mergeCell ref="AV8:BA8"/>
    <mergeCell ref="AR9:BA9"/>
    <mergeCell ref="AJ10:AO10"/>
  </mergeCells>
  <conditionalFormatting sqref="Y33 AJ38:AK38 AE39:AF39">
    <cfRule type="containsText" dxfId="39" priority="1" operator="containsText" text="SO">
      <formula>NOT(ISERROR(SEARCH(("SO"),(Y33))))</formula>
    </cfRule>
  </conditionalFormatting>
  <conditionalFormatting sqref="Y33 AJ38:AK38 AE39:AF39">
    <cfRule type="containsText" dxfId="40" priority="2" operator="containsText" text="N.v.t.">
      <formula>NOT(ISERROR(SEARCH(("N.v.t."),(Y33))))</formula>
    </cfRule>
  </conditionalFormatting>
  <conditionalFormatting sqref="Y33 AJ38:AK38 AE39:AF39">
    <cfRule type="containsText" dxfId="23" priority="3" operator="containsText" text="Voor">
      <formula>NOT(ISERROR(SEARCH(("Voor"),(Y33))))</formula>
    </cfRule>
  </conditionalFormatting>
  <conditionalFormatting sqref="Y33 AJ38:AK38 AE39:AF39">
    <cfRule type="containsText" dxfId="41" priority="4" operator="containsText" text="Tegen">
      <formula>NOT(ISERROR(SEARCH(("Tegen"),(Y33))))</formula>
    </cfRule>
  </conditionalFormatting>
  <conditionalFormatting sqref="Y33 AJ38:AK38 AE39:AF39">
    <cfRule type="containsText" dxfId="42" priority="5" operator="containsText" text="N.v.t.">
      <formula>NOT(ISERROR(SEARCH(("N.v.t."),(Y33))))</formula>
    </cfRule>
  </conditionalFormatting>
  <conditionalFormatting sqref="Y33 AJ38:AK38 AE39:AF39">
    <cfRule type="cellIs" dxfId="39" priority="6" operator="equal">
      <formula>"SO"</formula>
    </cfRule>
  </conditionalFormatting>
  <conditionalFormatting sqref="Y33 AJ38:AK38 AE39:AF39">
    <cfRule type="cellIs" dxfId="43" priority="7" operator="equal">
      <formula>"NG"</formula>
    </cfRule>
  </conditionalFormatting>
  <conditionalFormatting sqref="Y33:Y36 AJ35:AK35 AE36:AF36 AJ38:AK38 AE39:AF39">
    <cfRule type="containsText" dxfId="0" priority="8" operator="containsText" text="voor">
      <formula>NOT(ISERROR(SEARCH(("voor"),(Y33))))</formula>
    </cfRule>
  </conditionalFormatting>
  <conditionalFormatting sqref="Y33:Y36 AJ35:AK35 AE36:AF36 AJ38:AK38 AE39:AF39">
    <cfRule type="containsText" dxfId="1" priority="9" operator="containsText" text="tegen">
      <formula>NOT(ISERROR(SEARCH(("tegen"),(Y33))))</formula>
    </cfRule>
  </conditionalFormatting>
  <conditionalFormatting sqref="Y33 AJ38:AK38 AE39:AF39">
    <cfRule type="containsText" dxfId="44" priority="10" operator="containsText" text="SO">
      <formula>NOT(ISERROR(SEARCH(("SO"),(Y33))))</formula>
    </cfRule>
  </conditionalFormatting>
  <conditionalFormatting sqref="Y33 AJ38:AK38 AE39:AF39">
    <cfRule type="containsText" dxfId="45" priority="11" operator="containsText" text="NG">
      <formula>NOT(ISERROR(SEARCH(("NG"),(Y33))))</formula>
    </cfRule>
  </conditionalFormatting>
  <conditionalFormatting sqref="Y21 Y33 AJ38:AK38 AE39:AF39">
    <cfRule type="containsText" dxfId="5" priority="12" operator="containsText" text="NG">
      <formula>NOT(ISERROR(SEARCH(("NG"),(Y21))))</formula>
    </cfRule>
  </conditionalFormatting>
  <conditionalFormatting sqref="AE4:AF9 AJ4:AK15 Y18:Y22 AE18:AF25 AJ20:AK22 Y25 AJ26:AK27 Y33 Y36 AJ38:AK38 AE39:AF39">
    <cfRule type="containsText" dxfId="2" priority="13" operator="containsText" text="SO">
      <formula>NOT(ISERROR(SEARCH(("SO"),(AE4))))</formula>
    </cfRule>
  </conditionalFormatting>
  <conditionalFormatting sqref="AE4:AF9 AJ4:AK15 Y18:Y22 AE18:AF25 AJ20:AK22 Y25 AJ26:AK27 Y36">
    <cfRule type="containsText" dxfId="3" priority="14" operator="containsText" text="tegen">
      <formula>NOT(ISERROR(SEARCH(("tegen"),(AE4))))</formula>
    </cfRule>
  </conditionalFormatting>
  <conditionalFormatting sqref="AE4:AF9 AJ4:AK15 Y18:Y22 AE18:AF25 AJ20:AK22 Y25 AJ26:AK27 Y33 Y36 AJ38:AK38 AE39:AF39">
    <cfRule type="containsText" dxfId="4" priority="15" operator="containsText" text="voor">
      <formula>NOT(ISERROR(SEARCH(("voor"),(AE4))))</formula>
    </cfRule>
  </conditionalFormatting>
  <conditionalFormatting sqref="AE4:AF9 AJ4:AK15 Y18:Y22 AE18:AF25 AJ20:AK22 Y25 AJ26:AK27 Y36">
    <cfRule type="cellIs" dxfId="5" priority="16" operator="equal">
      <formula>"NG"</formula>
    </cfRule>
  </conditionalFormatting>
  <conditionalFormatting sqref="AE4:AF9 AJ4:AK15 Y18:Y22 AE18:AF25 AJ20:AK22 Y25 AJ26:AK27 Y33 Y36 AJ38:AK38 AE39:AF39">
    <cfRule type="containsText" dxfId="6" priority="17" operator="containsText" text="NVT">
      <formula>NOT(ISERROR(SEARCH(("NVT"),(AE4))))</formula>
    </cfRule>
  </conditionalFormatting>
  <drawing r:id="rId2"/>
  <legacy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showGridLines="0" workbookViewId="0"/>
  </sheetViews>
  <sheetFormatPr customHeight="1" defaultColWidth="14.43" defaultRowHeight="15.75"/>
  <cols>
    <col customWidth="1" min="1" max="1" width="5.57"/>
    <col customWidth="1" min="2" max="2" width="0.57"/>
    <col customWidth="1" min="3" max="3" width="5.57"/>
    <col customWidth="1" min="4" max="4" width="0.57"/>
    <col customWidth="1" min="5" max="5" width="5.57"/>
    <col customWidth="1" min="6" max="6" width="0.57"/>
    <col customWidth="1" min="7" max="7" width="5.57"/>
    <col customWidth="1" min="8" max="8" width="0.57"/>
    <col customWidth="1" min="9" max="9" width="5.57"/>
    <col customWidth="1" min="10" max="10" width="0.57"/>
    <col customWidth="1" min="11" max="11" width="5.57"/>
    <col customWidth="1" min="12" max="12" width="0.57"/>
    <col customWidth="1" min="13" max="13" width="5.57"/>
    <col customWidth="1" min="14" max="14" width="0.57"/>
    <col customWidth="1" min="15" max="15" width="5.57"/>
    <col customWidth="1" min="16" max="16" width="0.57"/>
    <col customWidth="1" min="17" max="17" width="5.57"/>
    <col customWidth="1" min="18" max="18" width="0.57"/>
    <col customWidth="1" min="19" max="19" width="5.57"/>
    <col customWidth="1" min="20" max="20" width="0.57"/>
    <col customWidth="1" min="21" max="21" width="5.57"/>
    <col customWidth="1" min="22" max="22" width="0.57"/>
    <col customWidth="1" min="23" max="23" width="5.57"/>
    <col customWidth="1" min="24" max="24" width="0.57"/>
    <col customWidth="1" min="25" max="25" width="5.57"/>
    <col customWidth="1" min="26" max="26" width="0.57"/>
    <col customWidth="1" min="27" max="27" width="5.57"/>
    <col customWidth="1" min="28" max="28" width="0.57"/>
    <col customWidth="1" min="29" max="29" width="5.57"/>
    <col customWidth="1" min="30" max="30" width="0.57"/>
    <col customWidth="1" min="31" max="31" width="5.57"/>
    <col customWidth="1" min="32" max="32" width="0.57"/>
    <col customWidth="1" min="33" max="33" width="5.57"/>
    <col customWidth="1" min="34" max="34" width="0.57"/>
    <col customWidth="1" min="35" max="35" width="5.57"/>
    <col customWidth="1" min="36" max="36" width="0.57"/>
    <col customWidth="1" min="37" max="37" width="5.57"/>
    <col customWidth="1" min="38" max="38" width="0.57"/>
    <col customWidth="1" min="39" max="39" width="5.57"/>
    <col customWidth="1" min="40" max="40" width="0.57"/>
    <col customWidth="1" min="41" max="41" width="5.57"/>
    <col customWidth="1" min="42" max="42" width="0.57"/>
    <col customWidth="1" min="43" max="43" width="5.57"/>
    <col customWidth="1" min="44" max="44" width="0.57"/>
    <col customWidth="1" min="45" max="45" width="5.57"/>
    <col customWidth="1" min="46" max="46" width="0.57"/>
    <col customWidth="1" min="47" max="47" width="5.57"/>
    <col customWidth="1" min="48" max="48" width="0.57"/>
    <col customWidth="1" min="49" max="49" width="5.57"/>
    <col customWidth="1" min="50" max="50" width="0.57"/>
    <col customWidth="1" min="51" max="51" width="5.57"/>
    <col customWidth="1" min="52" max="52" width="0.57"/>
    <col customWidth="1" min="53" max="53" width="5.57"/>
    <col customWidth="1" min="54" max="54" width="0.57"/>
    <col customWidth="1" min="55" max="55" width="5.57"/>
    <col customWidth="1" min="56" max="56" width="0.57"/>
  </cols>
  <sheetData>
    <row r="1" ht="7.5" customHeight="1">
      <c r="A1" s="1461"/>
      <c r="B1" s="1461"/>
      <c r="C1" s="1461"/>
      <c r="D1" s="1461"/>
      <c r="E1" s="1461"/>
      <c r="F1" s="1461"/>
      <c r="G1" s="1461"/>
      <c r="H1" s="1461"/>
      <c r="I1" s="1461"/>
      <c r="J1" s="1461"/>
      <c r="K1" s="1461"/>
      <c r="L1" s="1461"/>
      <c r="M1" s="1461"/>
      <c r="N1" s="1461"/>
      <c r="O1" s="1461"/>
      <c r="P1" s="1461"/>
      <c r="Q1" s="1461"/>
      <c r="R1" s="1461"/>
      <c r="S1" s="1461"/>
      <c r="T1" s="1461"/>
      <c r="U1" s="1461"/>
      <c r="V1" s="1461"/>
      <c r="W1" s="1461"/>
      <c r="X1" s="1461"/>
      <c r="Y1" s="1461"/>
      <c r="Z1" s="1461"/>
      <c r="AA1" s="1461"/>
      <c r="AB1" s="1461"/>
      <c r="AC1" s="1461"/>
      <c r="AD1" s="1461"/>
      <c r="AE1" s="1461"/>
      <c r="AF1" s="1461"/>
      <c r="AG1" s="1462"/>
      <c r="AH1" s="1463"/>
      <c r="AI1" s="1463"/>
      <c r="AJ1" s="1463"/>
      <c r="AK1" s="1464" t="s">
        <v>479</v>
      </c>
      <c r="AL1" s="549"/>
      <c r="AM1" s="549"/>
      <c r="AN1" s="549"/>
      <c r="AO1" s="549"/>
      <c r="AP1" s="549"/>
      <c r="AQ1" s="549"/>
      <c r="AR1" s="549"/>
      <c r="AS1" s="549"/>
      <c r="AT1" s="549"/>
      <c r="AU1" s="549"/>
      <c r="AV1" s="549"/>
      <c r="AW1" s="549"/>
      <c r="AX1" s="549"/>
      <c r="AY1" s="549"/>
      <c r="AZ1" s="549"/>
      <c r="BA1" s="549"/>
      <c r="BB1" s="1463"/>
      <c r="BC1" s="1463"/>
      <c r="BD1" s="1465"/>
    </row>
    <row r="2" ht="2.25" customHeight="1">
      <c r="A2" s="1466"/>
      <c r="B2" s="1466"/>
      <c r="C2" s="1466"/>
      <c r="D2" s="1467"/>
      <c r="E2" s="1468"/>
      <c r="F2" s="1468"/>
      <c r="G2" s="1468"/>
      <c r="H2" s="1468"/>
      <c r="I2" s="1468"/>
      <c r="J2" s="1468"/>
      <c r="K2" s="1468"/>
      <c r="L2" s="1468"/>
      <c r="M2" s="1468"/>
      <c r="N2" s="1469"/>
      <c r="O2" s="1466"/>
      <c r="P2" s="1466"/>
      <c r="Q2" s="1466"/>
      <c r="R2" s="1466"/>
      <c r="S2" s="1466"/>
      <c r="T2" s="1466"/>
      <c r="U2" s="1466"/>
      <c r="V2" s="1466"/>
      <c r="W2" s="1466"/>
      <c r="X2" s="1466"/>
      <c r="Y2" s="1466"/>
      <c r="Z2" s="1466"/>
      <c r="AA2" s="1466"/>
      <c r="AB2" s="1466"/>
      <c r="AC2" s="1466"/>
      <c r="AD2" s="1466"/>
      <c r="AE2" s="1466"/>
      <c r="AF2" s="1466"/>
      <c r="AG2" s="1470"/>
      <c r="AH2" s="1471"/>
      <c r="AI2" s="1471"/>
      <c r="AJ2" s="1471"/>
      <c r="BB2" s="1471"/>
      <c r="BC2" s="1471"/>
      <c r="BD2" s="1472"/>
    </row>
    <row r="3" ht="28.5" customHeight="1">
      <c r="A3" s="1466"/>
      <c r="B3" s="1466"/>
      <c r="C3" s="1466"/>
      <c r="D3" s="1473"/>
      <c r="E3" s="1474" t="s">
        <v>1319</v>
      </c>
      <c r="N3" s="1475"/>
      <c r="O3" s="1466"/>
      <c r="P3" s="1466"/>
      <c r="Q3" s="888"/>
      <c r="R3" s="1466"/>
      <c r="S3" s="1466"/>
      <c r="T3" s="1476"/>
      <c r="U3" s="1476"/>
      <c r="V3" s="1476"/>
      <c r="W3" s="1476"/>
      <c r="X3" s="1476"/>
      <c r="Y3" s="1476"/>
      <c r="Z3" s="1476"/>
      <c r="AA3" s="1476"/>
      <c r="AB3" s="1476"/>
      <c r="AC3" s="1476"/>
      <c r="AD3" s="1476"/>
      <c r="AE3" s="1466"/>
      <c r="AF3" s="1466"/>
      <c r="AG3" s="1470"/>
      <c r="AH3" s="1471"/>
      <c r="AI3" s="1471"/>
      <c r="AJ3" s="1471"/>
      <c r="BB3" s="1471"/>
      <c r="BC3" s="1471"/>
      <c r="BD3" s="1472"/>
    </row>
    <row r="4" ht="2.25" customHeight="1">
      <c r="A4" s="1466"/>
      <c r="B4" s="1466"/>
      <c r="C4" s="1466"/>
      <c r="D4" s="1473"/>
      <c r="N4" s="1475"/>
      <c r="O4" s="1466"/>
      <c r="P4" s="1466"/>
      <c r="Q4" s="888"/>
      <c r="R4" s="1466"/>
      <c r="S4" s="1466"/>
      <c r="T4" s="1467"/>
      <c r="U4" s="1468"/>
      <c r="V4" s="1468"/>
      <c r="W4" s="1468"/>
      <c r="X4" s="1468"/>
      <c r="Y4" s="1468"/>
      <c r="Z4" s="1468"/>
      <c r="AA4" s="1468"/>
      <c r="AB4" s="1468"/>
      <c r="AC4" s="1468"/>
      <c r="AD4" s="1469"/>
      <c r="AE4" s="1466"/>
      <c r="AF4" s="1466"/>
      <c r="AG4" s="1470"/>
      <c r="AH4" s="1471"/>
      <c r="AI4" s="1471"/>
      <c r="AJ4" s="1471"/>
      <c r="BB4" s="1471"/>
      <c r="BC4" s="1471"/>
      <c r="BD4" s="1472"/>
    </row>
    <row r="5" ht="28.5" customHeight="1">
      <c r="A5" s="1466"/>
      <c r="B5" s="1466"/>
      <c r="C5" s="1466"/>
      <c r="D5" s="1473"/>
      <c r="N5" s="1475"/>
      <c r="O5" s="1466"/>
      <c r="P5" s="1466"/>
      <c r="Q5" s="888"/>
      <c r="R5" s="1466"/>
      <c r="S5" s="1466"/>
      <c r="T5" s="1473"/>
      <c r="U5" s="1477"/>
      <c r="V5" s="1478"/>
      <c r="W5" s="1477"/>
      <c r="X5" s="1478"/>
      <c r="Y5" s="1479" t="s">
        <v>728</v>
      </c>
      <c r="Z5" s="1478"/>
      <c r="AA5" s="1480" t="s">
        <v>593</v>
      </c>
      <c r="AB5" s="1478"/>
      <c r="AC5" s="1477"/>
      <c r="AD5" s="1475"/>
      <c r="AE5" s="1466"/>
      <c r="AF5" s="1466"/>
      <c r="AG5" s="1470"/>
      <c r="AH5" s="1471"/>
      <c r="AI5" s="1471"/>
      <c r="AJ5" s="1471"/>
      <c r="BB5" s="1471"/>
      <c r="BC5" s="1471"/>
      <c r="BD5" s="1472"/>
    </row>
    <row r="6" ht="2.25" customHeight="1">
      <c r="A6" s="1466"/>
      <c r="B6" s="1466"/>
      <c r="C6" s="1466"/>
      <c r="D6" s="1473"/>
      <c r="E6" s="1481"/>
      <c r="F6" s="1481"/>
      <c r="G6" s="1481"/>
      <c r="H6" s="1481"/>
      <c r="I6" s="1481"/>
      <c r="J6" s="1481"/>
      <c r="K6" s="1481"/>
      <c r="L6" s="1481"/>
      <c r="M6" s="1481"/>
      <c r="N6" s="1475"/>
      <c r="O6" s="1466"/>
      <c r="P6" s="1466"/>
      <c r="Q6" s="1466"/>
      <c r="R6" s="1466"/>
      <c r="S6" s="1466"/>
      <c r="T6" s="1473"/>
      <c r="U6" s="1478"/>
      <c r="V6" s="1478"/>
      <c r="W6" s="1478"/>
      <c r="X6" s="1478"/>
      <c r="Y6" s="1478"/>
      <c r="Z6" s="1478"/>
      <c r="AA6" s="1478"/>
      <c r="AB6" s="1478"/>
      <c r="AC6" s="1478"/>
      <c r="AD6" s="1475"/>
      <c r="AE6" s="1466"/>
      <c r="AF6" s="1466"/>
      <c r="AG6" s="1466"/>
      <c r="AH6" s="1482"/>
      <c r="AI6" s="1471"/>
      <c r="AJ6" s="1471"/>
      <c r="BB6" s="1471"/>
      <c r="BC6" s="1471"/>
      <c r="BD6" s="1472"/>
    </row>
    <row r="7" ht="28.5" customHeight="1">
      <c r="A7" s="1466"/>
      <c r="B7" s="1466"/>
      <c r="C7" s="1466"/>
      <c r="D7" s="1473"/>
      <c r="E7" s="1483" t="s">
        <v>1320</v>
      </c>
      <c r="F7" s="1484"/>
      <c r="G7" s="1477"/>
      <c r="H7" s="1477"/>
      <c r="I7" s="1485" t="s">
        <v>1321</v>
      </c>
      <c r="J7" s="1481"/>
      <c r="K7" s="1486" t="s">
        <v>1321</v>
      </c>
      <c r="L7" s="1484"/>
      <c r="M7" s="1487" t="s">
        <v>1322</v>
      </c>
      <c r="N7" s="1475"/>
      <c r="O7" s="1466"/>
      <c r="P7" s="1466"/>
      <c r="Q7" s="1488"/>
      <c r="R7" s="1466"/>
      <c r="S7" s="1466"/>
      <c r="T7" s="1473"/>
      <c r="U7" s="1479" t="s">
        <v>624</v>
      </c>
      <c r="V7" s="1478"/>
      <c r="W7" s="34" t="s">
        <v>750</v>
      </c>
      <c r="X7" s="1478"/>
      <c r="Y7" s="34" t="s">
        <v>1323</v>
      </c>
      <c r="Z7" s="1478"/>
      <c r="AA7" s="1479" t="s">
        <v>723</v>
      </c>
      <c r="AB7" s="1478"/>
      <c r="AC7" s="34" t="s">
        <v>595</v>
      </c>
      <c r="AD7" s="1475"/>
      <c r="AE7" s="1466"/>
      <c r="AF7" s="1466"/>
      <c r="AG7" s="1466"/>
      <c r="AH7" s="1482"/>
      <c r="AI7" s="1489" t="s">
        <v>1324</v>
      </c>
      <c r="BD7" s="1472"/>
    </row>
    <row r="8" ht="2.25" customHeight="1">
      <c r="A8" s="1466"/>
      <c r="B8" s="1466"/>
      <c r="C8" s="1466"/>
      <c r="D8" s="1490"/>
      <c r="E8" s="1491"/>
      <c r="F8" s="1491"/>
      <c r="G8" s="1491"/>
      <c r="H8" s="1491"/>
      <c r="I8" s="1491"/>
      <c r="J8" s="1491"/>
      <c r="K8" s="1491"/>
      <c r="L8" s="1491"/>
      <c r="M8" s="1491"/>
      <c r="N8" s="1492"/>
      <c r="O8" s="1466"/>
      <c r="P8" s="1466"/>
      <c r="Q8" s="1466"/>
      <c r="R8" s="1466"/>
      <c r="S8" s="1466"/>
      <c r="T8" s="1490"/>
      <c r="U8" s="1491"/>
      <c r="V8" s="1491"/>
      <c r="W8" s="1491"/>
      <c r="X8" s="1491"/>
      <c r="Y8" s="1491"/>
      <c r="Z8" s="1491"/>
      <c r="AA8" s="1491"/>
      <c r="AB8" s="1491"/>
      <c r="AC8" s="1491"/>
      <c r="AD8" s="1492"/>
      <c r="AE8" s="1466"/>
      <c r="AF8" s="1466"/>
      <c r="AG8" s="1466"/>
      <c r="AH8" s="1482"/>
      <c r="BD8" s="1472"/>
    </row>
    <row r="9" ht="28.5" customHeight="1">
      <c r="A9" s="1466"/>
      <c r="B9" s="1466"/>
      <c r="C9" s="1493"/>
      <c r="D9" s="1493"/>
      <c r="E9" s="1493"/>
      <c r="F9" s="1493"/>
      <c r="G9" s="1493"/>
      <c r="H9" s="1493"/>
      <c r="I9" s="1493"/>
      <c r="J9" s="1493"/>
      <c r="K9" s="1494"/>
      <c r="N9" s="1466"/>
      <c r="O9" s="1466"/>
      <c r="P9" s="1466"/>
      <c r="Q9" s="1466"/>
      <c r="R9" s="1466"/>
      <c r="S9" s="1495" t="s">
        <v>1325</v>
      </c>
      <c r="AF9" s="1493"/>
      <c r="AG9" s="1496"/>
      <c r="AH9" s="1482"/>
      <c r="BD9" s="1472"/>
    </row>
    <row r="10" ht="1.5" customHeight="1">
      <c r="A10" s="1466"/>
      <c r="B10" s="1466"/>
      <c r="C10" s="1493"/>
      <c r="D10" s="1493"/>
      <c r="E10" s="1493"/>
      <c r="F10" s="1493"/>
      <c r="G10" s="1493"/>
      <c r="H10" s="1493"/>
      <c r="I10" s="1493"/>
      <c r="J10" s="1493"/>
      <c r="K10" s="1493"/>
      <c r="L10" s="1466"/>
      <c r="M10" s="1466"/>
      <c r="N10" s="1466"/>
      <c r="O10" s="1466"/>
      <c r="P10" s="1466"/>
      <c r="Q10" s="1466"/>
      <c r="R10" s="1466"/>
      <c r="S10" s="1466"/>
      <c r="T10" s="1466"/>
      <c r="U10" s="1466"/>
      <c r="V10" s="1466"/>
      <c r="W10" s="1466"/>
      <c r="X10" s="1466"/>
      <c r="Y10" s="1466"/>
      <c r="Z10" s="1466"/>
      <c r="AA10" s="1466"/>
      <c r="AB10" s="1466"/>
      <c r="AC10" s="1466"/>
      <c r="AD10" s="1466"/>
      <c r="AE10" s="1493"/>
      <c r="AF10" s="1493"/>
      <c r="AG10" s="1466"/>
      <c r="AH10" s="1497"/>
      <c r="AI10" s="1498"/>
      <c r="AJ10" s="1498"/>
      <c r="AK10" s="1498"/>
      <c r="AL10" s="1498"/>
      <c r="AM10" s="1498"/>
      <c r="AN10" s="1499"/>
      <c r="AO10" s="1498"/>
      <c r="AP10" s="1498"/>
      <c r="AQ10" s="1498"/>
      <c r="AR10" s="1498"/>
      <c r="AS10" s="1498"/>
      <c r="AT10" s="1498"/>
      <c r="AU10" s="1499"/>
      <c r="AV10" s="1499"/>
      <c r="AW10" s="1499"/>
      <c r="AX10" s="1499"/>
      <c r="AY10" s="1499"/>
      <c r="AZ10" s="1499"/>
      <c r="BA10" s="1499"/>
      <c r="BB10" s="1499"/>
      <c r="BC10" s="1499"/>
      <c r="BD10" s="8"/>
    </row>
    <row r="11" ht="28.5" customHeight="1">
      <c r="A11" s="1466"/>
      <c r="B11" s="1466"/>
      <c r="C11" s="1493"/>
      <c r="D11" s="1493"/>
      <c r="E11" s="1486" t="s">
        <v>36</v>
      </c>
      <c r="F11" s="1476"/>
      <c r="G11" s="1476"/>
      <c r="H11" s="1476"/>
      <c r="I11" s="1476"/>
      <c r="J11" s="1476"/>
      <c r="K11" s="1476"/>
      <c r="L11" s="1476"/>
      <c r="M11" s="1476"/>
      <c r="N11" s="1476"/>
      <c r="O11" s="1476"/>
      <c r="P11" s="1476"/>
      <c r="Q11" s="1476"/>
      <c r="R11" s="1476"/>
      <c r="S11" s="1476"/>
      <c r="T11" s="1476"/>
      <c r="U11" s="1476"/>
      <c r="V11" s="1476"/>
      <c r="W11" s="1476"/>
      <c r="X11" s="1476"/>
      <c r="Y11" s="1476"/>
      <c r="Z11" s="1476"/>
      <c r="AA11" s="1476"/>
      <c r="AB11" s="1500"/>
      <c r="AC11" s="1501" t="s">
        <v>24</v>
      </c>
      <c r="AD11" s="1493"/>
      <c r="AE11" s="1493"/>
      <c r="AF11" s="1493"/>
      <c r="AG11" s="1466"/>
      <c r="AH11" s="1502"/>
      <c r="AI11" s="1503" t="s">
        <v>1326</v>
      </c>
      <c r="AJ11" s="549"/>
      <c r="AK11" s="549"/>
      <c r="AL11" s="549"/>
      <c r="AM11" s="549"/>
      <c r="AN11" s="549"/>
      <c r="AO11" s="549"/>
      <c r="AP11" s="549"/>
      <c r="AQ11" s="549"/>
      <c r="AR11" s="549"/>
      <c r="AS11" s="549"/>
      <c r="AT11" s="549"/>
      <c r="AU11" s="549"/>
      <c r="AV11" s="1470"/>
      <c r="AW11" s="1504"/>
      <c r="BD11" s="1505"/>
    </row>
    <row r="12" ht="2.25" customHeight="1">
      <c r="A12" s="1466"/>
      <c r="B12" s="1466"/>
      <c r="C12" s="1493"/>
      <c r="D12" s="1493"/>
      <c r="E12" s="1476"/>
      <c r="F12" s="1476"/>
      <c r="G12" s="1476"/>
      <c r="H12" s="1476"/>
      <c r="I12" s="1506"/>
      <c r="J12" s="1476"/>
      <c r="K12" s="1476"/>
      <c r="L12" s="1476"/>
      <c r="M12" s="1476"/>
      <c r="N12" s="1476"/>
      <c r="O12" s="1476"/>
      <c r="P12" s="1507"/>
      <c r="Q12" s="1507"/>
      <c r="R12" s="1507"/>
      <c r="S12" s="1476"/>
      <c r="T12" s="1476"/>
      <c r="U12" s="1476"/>
      <c r="V12" s="1476"/>
      <c r="W12" s="1476"/>
      <c r="X12" s="1476"/>
      <c r="Y12" s="1506"/>
      <c r="Z12" s="1476"/>
      <c r="AA12" s="1476"/>
      <c r="AB12" s="1476"/>
      <c r="AC12" s="1476"/>
      <c r="AD12" s="1508"/>
      <c r="AE12" s="1508"/>
      <c r="AF12" s="1508"/>
      <c r="AG12" s="1466"/>
      <c r="AH12" s="1502"/>
      <c r="AI12" s="1466"/>
      <c r="AJ12" s="1466"/>
      <c r="AK12" s="1509"/>
      <c r="AL12" s="1468"/>
      <c r="AM12" s="1468"/>
      <c r="AN12" s="1468"/>
      <c r="AO12" s="1468"/>
      <c r="AP12" s="1468"/>
      <c r="AQ12" s="1468"/>
      <c r="AR12" s="1469"/>
      <c r="AS12" s="1466"/>
      <c r="AT12" s="1466"/>
      <c r="AU12" s="1466"/>
      <c r="AV12" s="1470"/>
      <c r="AW12" s="1510"/>
      <c r="AX12" s="1510"/>
      <c r="AY12" s="1510"/>
      <c r="AZ12" s="1510"/>
      <c r="BA12" s="1510"/>
      <c r="BB12" s="1510"/>
      <c r="BC12" s="1510"/>
      <c r="BD12" s="1505"/>
    </row>
    <row r="13" ht="28.5" customHeight="1">
      <c r="A13" s="1466"/>
      <c r="B13" s="1466"/>
      <c r="C13" s="1493"/>
      <c r="D13" s="1493"/>
      <c r="E13" s="1511"/>
      <c r="F13" s="1476"/>
      <c r="G13" s="1476"/>
      <c r="H13" s="1500"/>
      <c r="I13" s="1486" t="s">
        <v>36</v>
      </c>
      <c r="J13" s="1476"/>
      <c r="K13" s="1476"/>
      <c r="L13" s="1476"/>
      <c r="M13" s="1476"/>
      <c r="N13" s="1476"/>
      <c r="O13" s="1512"/>
      <c r="P13" s="1513"/>
      <c r="Q13" s="1513"/>
      <c r="R13" s="1514"/>
      <c r="S13" s="1511"/>
      <c r="T13" s="1476"/>
      <c r="U13" s="1476"/>
      <c r="V13" s="1476"/>
      <c r="W13" s="1476"/>
      <c r="X13" s="1500"/>
      <c r="Y13" s="1501" t="s">
        <v>24</v>
      </c>
      <c r="Z13" s="1476"/>
      <c r="AA13" s="1476"/>
      <c r="AB13" s="1476"/>
      <c r="AC13" s="1511"/>
      <c r="AD13" s="1493"/>
      <c r="AE13" s="1493"/>
      <c r="AF13" s="1493"/>
      <c r="AG13" s="1466"/>
      <c r="AH13" s="1502"/>
      <c r="AI13" s="1466"/>
      <c r="AJ13" s="1466"/>
      <c r="AK13" s="1515"/>
      <c r="AL13" s="1481"/>
      <c r="AM13" s="1483" t="s">
        <v>1320</v>
      </c>
      <c r="AN13" s="1484"/>
      <c r="AO13" s="1486" t="s">
        <v>1321</v>
      </c>
      <c r="AP13" s="1484"/>
      <c r="AQ13" s="1485" t="s">
        <v>1321</v>
      </c>
      <c r="AR13" s="1475"/>
      <c r="AS13" s="1516"/>
      <c r="AT13" s="1466"/>
      <c r="AU13" s="1466"/>
      <c r="AV13" s="1470"/>
      <c r="AW13" s="1517" t="s">
        <v>1327</v>
      </c>
      <c r="BD13" s="1505"/>
    </row>
    <row r="14" ht="2.25" customHeight="1">
      <c r="A14" s="1466"/>
      <c r="B14" s="1466"/>
      <c r="C14" s="1493"/>
      <c r="D14" s="1493"/>
      <c r="E14" s="1506"/>
      <c r="F14" s="1476"/>
      <c r="G14" s="1476"/>
      <c r="H14" s="1476"/>
      <c r="I14" s="1476"/>
      <c r="J14" s="1476"/>
      <c r="K14" s="1476"/>
      <c r="L14" s="1476"/>
      <c r="M14" s="1476"/>
      <c r="N14" s="1476"/>
      <c r="O14" s="1476"/>
      <c r="P14" s="1476"/>
      <c r="Q14" s="1476"/>
      <c r="R14" s="1476"/>
      <c r="S14" s="1476"/>
      <c r="T14" s="1476"/>
      <c r="U14" s="1476"/>
      <c r="V14" s="1476"/>
      <c r="W14" s="1476"/>
      <c r="X14" s="1476"/>
      <c r="Y14" s="1476"/>
      <c r="Z14" s="1476"/>
      <c r="AA14" s="1476"/>
      <c r="AB14" s="1476"/>
      <c r="AC14" s="1506"/>
      <c r="AD14" s="1493"/>
      <c r="AE14" s="1493"/>
      <c r="AF14" s="1493"/>
      <c r="AG14" s="1466"/>
      <c r="AH14" s="1502"/>
      <c r="AI14" s="1466"/>
      <c r="AJ14" s="1466"/>
      <c r="AK14" s="1509"/>
      <c r="AL14" s="1491"/>
      <c r="AM14" s="1518"/>
      <c r="AN14" s="1484"/>
      <c r="AO14" s="1484"/>
      <c r="AP14" s="1484"/>
      <c r="AQ14" s="1518"/>
      <c r="AR14" s="1492"/>
      <c r="AS14" s="1466"/>
      <c r="AT14" s="1466"/>
      <c r="AU14" s="1466"/>
      <c r="AV14" s="1470"/>
      <c r="AW14" s="1466"/>
      <c r="AX14" s="1466"/>
      <c r="AY14" s="1519"/>
      <c r="AZ14" s="1519"/>
      <c r="BA14" s="1519"/>
      <c r="BB14" s="1519"/>
      <c r="BC14" s="1466"/>
      <c r="BD14" s="1470"/>
    </row>
    <row r="15" ht="28.5" customHeight="1">
      <c r="A15" s="1466"/>
      <c r="B15" s="1466"/>
      <c r="C15" s="1493"/>
      <c r="D15" s="1493"/>
      <c r="E15" s="1486" t="s">
        <v>36</v>
      </c>
      <c r="F15" s="1476"/>
      <c r="G15" s="1476"/>
      <c r="H15" s="1476"/>
      <c r="I15" s="1511"/>
      <c r="J15" s="1476"/>
      <c r="K15" s="1476"/>
      <c r="L15" s="1476"/>
      <c r="M15" s="1476"/>
      <c r="N15" s="1476"/>
      <c r="O15" s="1476"/>
      <c r="P15" s="1476"/>
      <c r="Q15" s="1476"/>
      <c r="R15" s="1476"/>
      <c r="S15" s="1476"/>
      <c r="T15" s="1476"/>
      <c r="U15" s="1476"/>
      <c r="V15" s="1476"/>
      <c r="W15" s="1476"/>
      <c r="X15" s="1476"/>
      <c r="Y15" s="1511"/>
      <c r="Z15" s="1476"/>
      <c r="AA15" s="1476"/>
      <c r="AB15" s="1500"/>
      <c r="AC15" s="1501" t="s">
        <v>24</v>
      </c>
      <c r="AD15" s="1493"/>
      <c r="AE15" s="1493"/>
      <c r="AF15" s="1493"/>
      <c r="AG15" s="1466"/>
      <c r="AH15" s="1502"/>
      <c r="AI15" s="1508"/>
      <c r="AJ15" s="1508"/>
      <c r="AK15" s="1508"/>
      <c r="AL15" s="1508"/>
      <c r="AM15" s="1520"/>
      <c r="AN15" s="1521"/>
      <c r="AO15" s="1487" t="s">
        <v>1322</v>
      </c>
      <c r="AP15" s="1522"/>
      <c r="AQ15" s="1520"/>
      <c r="AR15" s="1508"/>
      <c r="AS15" s="1508"/>
      <c r="AT15" s="1466"/>
      <c r="AU15" s="1466"/>
      <c r="AV15" s="1470"/>
      <c r="AW15" s="1466"/>
      <c r="AX15" s="1466"/>
      <c r="AY15" s="34" t="s">
        <v>15</v>
      </c>
      <c r="AZ15" s="1519"/>
      <c r="BA15" s="1523" t="s">
        <v>1302</v>
      </c>
      <c r="BB15" s="1519"/>
      <c r="BC15" s="1466"/>
      <c r="BD15" s="1470"/>
    </row>
    <row r="16" ht="2.25" customHeight="1">
      <c r="A16" s="1466"/>
      <c r="B16" s="1466"/>
      <c r="C16" s="1493"/>
      <c r="D16" s="1493"/>
      <c r="E16" s="1476"/>
      <c r="F16" s="1476"/>
      <c r="G16" s="1476"/>
      <c r="H16" s="1476"/>
      <c r="I16" s="1506"/>
      <c r="J16" s="1476"/>
      <c r="K16" s="1476"/>
      <c r="L16" s="1476"/>
      <c r="M16" s="1476"/>
      <c r="N16" s="1476"/>
      <c r="O16" s="1476"/>
      <c r="P16" s="1476"/>
      <c r="Q16" s="1476"/>
      <c r="R16" s="1476"/>
      <c r="S16" s="1476"/>
      <c r="T16" s="1476"/>
      <c r="U16" s="1476"/>
      <c r="V16" s="1476"/>
      <c r="W16" s="1476"/>
      <c r="X16" s="1476"/>
      <c r="Y16" s="1506"/>
      <c r="Z16" s="1476"/>
      <c r="AA16" s="1476"/>
      <c r="AB16" s="1476"/>
      <c r="AC16" s="1476"/>
      <c r="AD16" s="1493"/>
      <c r="AE16" s="1493"/>
      <c r="AF16" s="1493"/>
      <c r="AG16" s="1466"/>
      <c r="AH16" s="1502"/>
      <c r="AI16" s="1508"/>
      <c r="AJ16" s="1508"/>
      <c r="AK16" s="1508"/>
      <c r="AL16" s="1508"/>
      <c r="AM16" s="1508"/>
      <c r="AN16" s="1524"/>
      <c r="AO16" s="1525"/>
      <c r="AP16" s="1526"/>
      <c r="AQ16" s="1508"/>
      <c r="AR16" s="1508"/>
      <c r="AS16" s="1508"/>
      <c r="AT16" s="1466"/>
      <c r="AU16" s="1466"/>
      <c r="AV16" s="1470"/>
      <c r="AW16" s="1466"/>
      <c r="AX16" s="1466"/>
      <c r="AY16" s="1527"/>
      <c r="AZ16" s="1519"/>
      <c r="BA16" s="1519"/>
      <c r="BB16" s="1519"/>
      <c r="BC16" s="1466"/>
      <c r="BD16" s="1470"/>
    </row>
    <row r="17" ht="28.5" customHeight="1">
      <c r="A17" s="1466"/>
      <c r="B17" s="1466"/>
      <c r="C17" s="1493"/>
      <c r="D17" s="1493"/>
      <c r="E17" s="1511"/>
      <c r="F17" s="1476"/>
      <c r="G17" s="1476"/>
      <c r="H17" s="1500"/>
      <c r="I17" s="1486" t="s">
        <v>36</v>
      </c>
      <c r="J17" s="1476"/>
      <c r="K17" s="1476"/>
      <c r="L17" s="1476"/>
      <c r="M17" s="1476"/>
      <c r="N17" s="1476"/>
      <c r="O17" s="1476"/>
      <c r="P17" s="1476"/>
      <c r="Q17" s="1476"/>
      <c r="R17" s="1476"/>
      <c r="S17" s="1476"/>
      <c r="T17" s="1476"/>
      <c r="U17" s="1476"/>
      <c r="V17" s="1476"/>
      <c r="W17" s="1476"/>
      <c r="X17" s="1500"/>
      <c r="Y17" s="1501" t="s">
        <v>24</v>
      </c>
      <c r="Z17" s="1476"/>
      <c r="AA17" s="1476"/>
      <c r="AB17" s="1476"/>
      <c r="AC17" s="1511"/>
      <c r="AD17" s="1493"/>
      <c r="AE17" s="1493"/>
      <c r="AF17" s="1493"/>
      <c r="AG17" s="1466"/>
      <c r="AH17" s="1502"/>
      <c r="AI17" s="1528"/>
      <c r="AJ17" s="1508"/>
      <c r="AK17" s="1527"/>
      <c r="AL17" s="1508"/>
      <c r="AM17" s="1508"/>
      <c r="AN17" s="1508"/>
      <c r="AO17" s="1529"/>
      <c r="AP17" s="1508"/>
      <c r="AQ17" s="1508"/>
      <c r="AR17" s="1508"/>
      <c r="AS17" s="1527"/>
      <c r="AT17" s="1466"/>
      <c r="AU17" s="1466"/>
      <c r="AV17" s="1470"/>
      <c r="AW17" s="1466"/>
      <c r="AX17" s="1466"/>
      <c r="AY17" s="1501" t="s">
        <v>24</v>
      </c>
      <c r="AZ17" s="1510"/>
      <c r="BA17" s="1523" t="s">
        <v>1301</v>
      </c>
      <c r="BB17" s="1519"/>
      <c r="BC17" s="1466"/>
      <c r="BD17" s="1470"/>
    </row>
    <row r="18" ht="2.25" customHeight="1">
      <c r="A18" s="1466"/>
      <c r="B18" s="1466"/>
      <c r="C18" s="1493"/>
      <c r="D18" s="1493"/>
      <c r="E18" s="1506"/>
      <c r="F18" s="1476"/>
      <c r="G18" s="1476"/>
      <c r="H18" s="1476"/>
      <c r="I18" s="1476"/>
      <c r="J18" s="1476"/>
      <c r="K18" s="1476"/>
      <c r="L18" s="1476"/>
      <c r="M18" s="1476"/>
      <c r="N18" s="1476"/>
      <c r="O18" s="1476"/>
      <c r="P18" s="1476"/>
      <c r="Q18" s="1476"/>
      <c r="R18" s="1476"/>
      <c r="S18" s="1476"/>
      <c r="T18" s="1476"/>
      <c r="U18" s="1476"/>
      <c r="V18" s="1476"/>
      <c r="W18" s="1476"/>
      <c r="X18" s="1476"/>
      <c r="Y18" s="1476"/>
      <c r="Z18" s="1476"/>
      <c r="AA18" s="1476"/>
      <c r="AB18" s="1476"/>
      <c r="AC18" s="1506"/>
      <c r="AD18" s="1493"/>
      <c r="AE18" s="1493"/>
      <c r="AF18" s="1493"/>
      <c r="AG18" s="1466"/>
      <c r="AH18" s="1502"/>
      <c r="AI18" s="1508"/>
      <c r="AJ18" s="1508"/>
      <c r="AK18" s="1527"/>
      <c r="AL18" s="1508"/>
      <c r="AM18" s="1508"/>
      <c r="AN18" s="1508"/>
      <c r="AO18" s="1508"/>
      <c r="AP18" s="1508"/>
      <c r="AQ18" s="1508"/>
      <c r="AR18" s="1508"/>
      <c r="AS18" s="1527"/>
      <c r="AT18" s="1466"/>
      <c r="AU18" s="1466"/>
      <c r="AV18" s="1470"/>
      <c r="AW18" s="1466"/>
      <c r="AX18" s="1466"/>
      <c r="AY18" s="1527"/>
      <c r="AZ18" s="1519"/>
      <c r="BA18" s="1519"/>
      <c r="BB18" s="1519"/>
      <c r="BC18" s="1466"/>
      <c r="BD18" s="1470"/>
    </row>
    <row r="19" ht="28.5" customHeight="1">
      <c r="A19" s="1466"/>
      <c r="B19" s="1466"/>
      <c r="C19" s="1493"/>
      <c r="D19" s="1493"/>
      <c r="E19" s="1486" t="s">
        <v>36</v>
      </c>
      <c r="F19" s="1476"/>
      <c r="G19" s="1476"/>
      <c r="H19" s="1476"/>
      <c r="I19" s="1511"/>
      <c r="J19" s="1476"/>
      <c r="K19" s="1476"/>
      <c r="L19" s="1476"/>
      <c r="M19" s="1476"/>
      <c r="N19" s="1476"/>
      <c r="O19" s="1511"/>
      <c r="P19" s="1476"/>
      <c r="Q19" s="1511"/>
      <c r="R19" s="1476"/>
      <c r="S19" s="1511"/>
      <c r="T19" s="1476"/>
      <c r="U19" s="1476"/>
      <c r="V19" s="1476"/>
      <c r="W19" s="1476"/>
      <c r="X19" s="1476"/>
      <c r="Y19" s="1511"/>
      <c r="Z19" s="1476"/>
      <c r="AA19" s="1476"/>
      <c r="AB19" s="1500"/>
      <c r="AC19" s="1501" t="s">
        <v>24</v>
      </c>
      <c r="AD19" s="1493"/>
      <c r="AE19" s="1493"/>
      <c r="AF19" s="1493"/>
      <c r="AG19" s="1466"/>
      <c r="AH19" s="1502"/>
      <c r="AI19" s="1508"/>
      <c r="AJ19" s="1508"/>
      <c r="AK19" s="1527"/>
      <c r="AL19" s="1527"/>
      <c r="AM19" s="1527"/>
      <c r="AN19" s="1530"/>
      <c r="AO19" s="1531"/>
      <c r="AP19" s="1527"/>
      <c r="AQ19" s="1527"/>
      <c r="AR19" s="1527"/>
      <c r="AS19" s="1527"/>
      <c r="AT19" s="1466"/>
      <c r="AU19" s="1466"/>
      <c r="AV19" s="1470"/>
      <c r="AW19" s="1466"/>
      <c r="AX19" s="1466"/>
      <c r="AY19" s="1519"/>
      <c r="AZ19" s="1519"/>
      <c r="BA19" s="1523"/>
      <c r="BB19" s="1466"/>
      <c r="BC19" s="1466"/>
      <c r="BD19" s="1470"/>
    </row>
    <row r="20" ht="2.25" customHeight="1">
      <c r="A20" s="1466"/>
      <c r="B20" s="1466"/>
      <c r="C20" s="1493"/>
      <c r="D20" s="1493"/>
      <c r="E20" s="1476"/>
      <c r="F20" s="1476"/>
      <c r="G20" s="1476"/>
      <c r="H20" s="1476"/>
      <c r="I20" s="1506"/>
      <c r="J20" s="1476"/>
      <c r="K20" s="1476"/>
      <c r="L20" s="1476"/>
      <c r="M20" s="1532"/>
      <c r="N20" s="1476"/>
      <c r="O20" s="1476"/>
      <c r="P20" s="1476"/>
      <c r="Q20" s="1476"/>
      <c r="R20" s="1476"/>
      <c r="S20" s="1476"/>
      <c r="T20" s="1532"/>
      <c r="U20" s="1476"/>
      <c r="V20" s="1476"/>
      <c r="W20" s="1476"/>
      <c r="X20" s="1476"/>
      <c r="Y20" s="1506"/>
      <c r="Z20" s="1476"/>
      <c r="AA20" s="1476"/>
      <c r="AB20" s="1476"/>
      <c r="AC20" s="1476"/>
      <c r="AD20" s="1493"/>
      <c r="AE20" s="1493"/>
      <c r="AF20" s="1493"/>
      <c r="AG20" s="1466"/>
      <c r="AH20" s="1502"/>
      <c r="AI20" s="1508"/>
      <c r="AJ20" s="1508"/>
      <c r="AK20" s="1527"/>
      <c r="AL20" s="1527"/>
      <c r="AM20" s="1527"/>
      <c r="AN20" s="1530"/>
      <c r="AO20" s="644"/>
      <c r="AP20" s="1527"/>
      <c r="AQ20" s="1527"/>
      <c r="AR20" s="1527"/>
      <c r="AS20" s="1527"/>
      <c r="AT20" s="1466"/>
      <c r="AU20" s="1466"/>
      <c r="AV20" s="1470"/>
      <c r="AW20" s="1466"/>
      <c r="AX20" s="1466"/>
      <c r="AY20" s="1466"/>
      <c r="AZ20" s="1466"/>
      <c r="BA20" s="1466"/>
      <c r="BB20" s="1466"/>
      <c r="BC20" s="1466"/>
      <c r="BD20" s="1470"/>
    </row>
    <row r="21" ht="28.5" customHeight="1">
      <c r="A21" s="1466"/>
      <c r="B21" s="1466"/>
      <c r="C21" s="1493"/>
      <c r="D21" s="1493"/>
      <c r="E21" s="1511"/>
      <c r="F21" s="1476"/>
      <c r="G21" s="1476"/>
      <c r="H21" s="1500"/>
      <c r="I21" s="1533" t="s">
        <v>49</v>
      </c>
      <c r="J21" s="1476"/>
      <c r="K21" s="1476"/>
      <c r="L21" s="1476"/>
      <c r="M21" s="1532"/>
      <c r="N21" s="1476"/>
      <c r="O21" s="1476"/>
      <c r="P21" s="1476"/>
      <c r="Q21" s="1511"/>
      <c r="R21" s="1476"/>
      <c r="S21" s="1476"/>
      <c r="T21" s="1532"/>
      <c r="U21" s="1476"/>
      <c r="V21" s="1476"/>
      <c r="W21" s="1476"/>
      <c r="X21" s="1500"/>
      <c r="Y21" s="1501" t="s">
        <v>24</v>
      </c>
      <c r="Z21" s="1476"/>
      <c r="AA21" s="1476"/>
      <c r="AB21" s="1476"/>
      <c r="AC21" s="1511"/>
      <c r="AD21" s="1493"/>
      <c r="AE21" s="1493"/>
      <c r="AF21" s="1493"/>
      <c r="AG21" s="1466"/>
      <c r="AH21" s="1502"/>
      <c r="AI21" s="1508"/>
      <c r="AJ21" s="1527"/>
      <c r="AK21" s="1534" t="s">
        <v>31</v>
      </c>
      <c r="AL21" s="1527"/>
      <c r="AM21" s="1535"/>
      <c r="AN21" s="1530"/>
      <c r="AO21" s="644"/>
      <c r="AP21" s="1527"/>
      <c r="AQ21" s="1527"/>
      <c r="AR21" s="1527"/>
      <c r="AS21" s="34" t="s">
        <v>15</v>
      </c>
      <c r="AT21" s="1466"/>
      <c r="AU21" s="1466"/>
      <c r="AV21" s="1470"/>
      <c r="AW21" s="1519"/>
      <c r="AX21" s="1519"/>
      <c r="AY21" s="1519"/>
      <c r="AZ21" s="1519"/>
      <c r="BA21" s="1519"/>
      <c r="BB21" s="1519"/>
      <c r="BC21" s="1519"/>
      <c r="BD21" s="1470"/>
    </row>
    <row r="22" ht="2.25" customHeight="1">
      <c r="A22" s="1466"/>
      <c r="B22" s="1466"/>
      <c r="C22" s="1493"/>
      <c r="D22" s="1493"/>
      <c r="E22" s="1506"/>
      <c r="F22" s="1476"/>
      <c r="G22" s="1476"/>
      <c r="H22" s="1476"/>
      <c r="I22" s="1476"/>
      <c r="J22" s="1476"/>
      <c r="K22" s="1476"/>
      <c r="L22" s="1476"/>
      <c r="M22" s="1532"/>
      <c r="N22" s="1536"/>
      <c r="O22" s="1536"/>
      <c r="P22" s="1536"/>
      <c r="Q22" s="1537"/>
      <c r="R22" s="1536"/>
      <c r="S22" s="1536"/>
      <c r="T22" s="1538"/>
      <c r="U22" s="1476"/>
      <c r="V22" s="1476"/>
      <c r="W22" s="1476"/>
      <c r="X22" s="1476"/>
      <c r="Y22" s="1476"/>
      <c r="Z22" s="1476"/>
      <c r="AA22" s="1476"/>
      <c r="AB22" s="1476"/>
      <c r="AC22" s="1506"/>
      <c r="AD22" s="1493"/>
      <c r="AE22" s="1493"/>
      <c r="AF22" s="1493"/>
      <c r="AG22" s="1466"/>
      <c r="AH22" s="1502"/>
      <c r="AI22" s="1508"/>
      <c r="AJ22" s="1508"/>
      <c r="AK22" s="1527"/>
      <c r="AL22" s="1527"/>
      <c r="AM22" s="1527"/>
      <c r="AN22" s="1527"/>
      <c r="AO22" s="644"/>
      <c r="AP22" s="1527"/>
      <c r="AQ22" s="1527"/>
      <c r="AR22" s="1527"/>
      <c r="AS22" s="1527"/>
      <c r="AT22" s="1466"/>
      <c r="AU22" s="1466"/>
      <c r="AV22" s="1470"/>
      <c r="AW22" s="1466"/>
      <c r="AX22" s="1466"/>
      <c r="AY22" s="1519"/>
      <c r="AZ22" s="1519"/>
      <c r="BA22" s="1539"/>
      <c r="BB22" s="1519"/>
      <c r="BC22" s="1466"/>
      <c r="BD22" s="1470"/>
    </row>
    <row r="23" ht="28.5" customHeight="1">
      <c r="A23" s="1466"/>
      <c r="B23" s="1466"/>
      <c r="C23" s="1493"/>
      <c r="D23" s="1493"/>
      <c r="E23" s="1487" t="s">
        <v>43</v>
      </c>
      <c r="F23" s="1476"/>
      <c r="G23" s="1476"/>
      <c r="H23" s="1476"/>
      <c r="I23" s="1511"/>
      <c r="J23" s="1476"/>
      <c r="K23" s="1476"/>
      <c r="L23" s="1476"/>
      <c r="M23" s="1476"/>
      <c r="N23" s="1476"/>
      <c r="O23" s="1476"/>
      <c r="P23" s="1476"/>
      <c r="Q23" s="1511"/>
      <c r="R23" s="1476"/>
      <c r="S23" s="1476"/>
      <c r="T23" s="1476"/>
      <c r="U23" s="1476"/>
      <c r="V23" s="1476"/>
      <c r="W23" s="1476"/>
      <c r="X23" s="1476"/>
      <c r="Y23" s="1511"/>
      <c r="Z23" s="1476"/>
      <c r="AA23" s="1476"/>
      <c r="AB23" s="1500"/>
      <c r="AC23" s="1534" t="s">
        <v>31</v>
      </c>
      <c r="AD23" s="1493"/>
      <c r="AE23" s="1493"/>
      <c r="AF23" s="1493"/>
      <c r="AG23" s="1466"/>
      <c r="AH23" s="1502"/>
      <c r="AI23" s="1508"/>
      <c r="AJ23" s="1508"/>
      <c r="AK23" s="1486" t="s">
        <v>36</v>
      </c>
      <c r="AL23" s="1527"/>
      <c r="AM23" s="1527"/>
      <c r="AN23" s="1527"/>
      <c r="AO23" s="644"/>
      <c r="AP23" s="1527"/>
      <c r="AQ23" s="1527"/>
      <c r="AR23" s="1527"/>
      <c r="AS23" s="1501" t="s">
        <v>24</v>
      </c>
      <c r="AT23" s="1466"/>
      <c r="AU23" s="1466"/>
      <c r="AV23" s="1470"/>
      <c r="AW23" s="1517" t="s">
        <v>1328</v>
      </c>
      <c r="BD23" s="1470"/>
    </row>
    <row r="24" ht="2.25" customHeight="1">
      <c r="A24" s="1466"/>
      <c r="B24" s="1466"/>
      <c r="C24" s="1493"/>
      <c r="D24" s="1493"/>
      <c r="E24" s="1476"/>
      <c r="F24" s="1476"/>
      <c r="G24" s="1476"/>
      <c r="H24" s="1476"/>
      <c r="I24" s="1506"/>
      <c r="J24" s="1476"/>
      <c r="K24" s="1476"/>
      <c r="L24" s="1476"/>
      <c r="M24" s="1476"/>
      <c r="N24" s="1476"/>
      <c r="O24" s="1476"/>
      <c r="P24" s="1476"/>
      <c r="Q24" s="1476"/>
      <c r="R24" s="1476"/>
      <c r="S24" s="1476"/>
      <c r="T24" s="1476"/>
      <c r="U24" s="1476"/>
      <c r="V24" s="1476"/>
      <c r="W24" s="1476"/>
      <c r="X24" s="1476"/>
      <c r="Y24" s="1506"/>
      <c r="Z24" s="1476"/>
      <c r="AA24" s="1476"/>
      <c r="AB24" s="1476"/>
      <c r="AC24" s="1476"/>
      <c r="AD24" s="1493"/>
      <c r="AE24" s="1493"/>
      <c r="AF24" s="1493"/>
      <c r="AG24" s="1466"/>
      <c r="AH24" s="1502"/>
      <c r="AI24" s="1508"/>
      <c r="AJ24" s="1508"/>
      <c r="AK24" s="1527"/>
      <c r="AL24" s="1527"/>
      <c r="AM24" s="1527"/>
      <c r="AN24" s="1527"/>
      <c r="AO24" s="644"/>
      <c r="AP24" s="1527"/>
      <c r="AQ24" s="1527"/>
      <c r="AR24" s="1527"/>
      <c r="AS24" s="1527"/>
      <c r="AT24" s="1466"/>
      <c r="AU24" s="1466"/>
      <c r="AV24" s="1470"/>
      <c r="AW24" s="1466"/>
      <c r="AX24" s="1466"/>
      <c r="AY24" s="1523"/>
      <c r="AZ24" s="1519"/>
      <c r="BA24" s="1539"/>
      <c r="BB24" s="1519"/>
      <c r="BC24" s="1466"/>
      <c r="BD24" s="1470"/>
    </row>
    <row r="25" ht="28.5" customHeight="1">
      <c r="A25" s="1466"/>
      <c r="B25" s="1466"/>
      <c r="C25" s="1493"/>
      <c r="D25" s="1493"/>
      <c r="E25" s="1511"/>
      <c r="F25" s="1476"/>
      <c r="G25" s="1476"/>
      <c r="H25" s="1500"/>
      <c r="I25" s="34" t="s">
        <v>15</v>
      </c>
      <c r="J25" s="1476"/>
      <c r="K25" s="1476"/>
      <c r="L25" s="1476"/>
      <c r="M25" s="1476"/>
      <c r="N25" s="1476"/>
      <c r="O25" s="1476"/>
      <c r="P25" s="1476"/>
      <c r="Q25" s="1540"/>
      <c r="R25" s="1540"/>
      <c r="S25" s="1540"/>
      <c r="T25" s="1540"/>
      <c r="U25" s="1540"/>
      <c r="V25" s="1540"/>
      <c r="W25" s="1540"/>
      <c r="X25" s="1541"/>
      <c r="Y25" s="1534" t="s">
        <v>31</v>
      </c>
      <c r="Z25" s="1540"/>
      <c r="AA25" s="1540"/>
      <c r="AB25" s="1476"/>
      <c r="AC25" s="1511"/>
      <c r="AD25" s="1493"/>
      <c r="AE25" s="1493"/>
      <c r="AF25" s="1493"/>
      <c r="AG25" s="1466"/>
      <c r="AH25" s="1502"/>
      <c r="AI25" s="1527"/>
      <c r="AJ25" s="1527"/>
      <c r="AK25" s="1527"/>
      <c r="AL25" s="1527"/>
      <c r="AM25" s="1527"/>
      <c r="AN25" s="1527"/>
      <c r="AO25" s="658"/>
      <c r="AP25" s="1527"/>
      <c r="AQ25" s="1527"/>
      <c r="AR25" s="1527"/>
      <c r="AS25" s="1527"/>
      <c r="AT25" s="1466"/>
      <c r="AU25" s="1466"/>
      <c r="AV25" s="1470"/>
      <c r="AW25" s="1466"/>
      <c r="AX25" s="1466"/>
      <c r="AY25" s="1534" t="s">
        <v>31</v>
      </c>
      <c r="AZ25" s="1519"/>
      <c r="BA25" s="1523" t="s">
        <v>1300</v>
      </c>
      <c r="BB25" s="1519"/>
      <c r="BC25" s="1466"/>
      <c r="BD25" s="1470"/>
    </row>
    <row r="26" ht="2.25" customHeight="1">
      <c r="A26" s="1466"/>
      <c r="B26" s="1466"/>
      <c r="C26" s="1493"/>
      <c r="D26" s="1493"/>
      <c r="E26" s="1476"/>
      <c r="F26" s="1476"/>
      <c r="G26" s="1476"/>
      <c r="H26" s="1476"/>
      <c r="I26" s="1476"/>
      <c r="J26" s="1476"/>
      <c r="K26" s="1476"/>
      <c r="L26" s="1476"/>
      <c r="M26" s="1506"/>
      <c r="N26" s="1476"/>
      <c r="O26" s="1476"/>
      <c r="P26" s="1476"/>
      <c r="Q26" s="1542"/>
      <c r="R26" s="1540"/>
      <c r="S26" s="1540"/>
      <c r="T26" s="1540"/>
      <c r="U26" s="1542"/>
      <c r="V26" s="1540"/>
      <c r="W26" s="1540"/>
      <c r="X26" s="1540"/>
      <c r="Y26" s="1540"/>
      <c r="Z26" s="1540"/>
      <c r="AA26" s="1540"/>
      <c r="AB26" s="1476"/>
      <c r="AC26" s="1476"/>
      <c r="AD26" s="1493"/>
      <c r="AE26" s="1493"/>
      <c r="AF26" s="1493"/>
      <c r="AG26" s="1466"/>
      <c r="AH26" s="1502"/>
      <c r="AI26" s="1508"/>
      <c r="AJ26" s="1508"/>
      <c r="AK26" s="1527"/>
      <c r="AL26" s="1527"/>
      <c r="AM26" s="1527"/>
      <c r="AN26" s="1527"/>
      <c r="AO26" s="1527"/>
      <c r="AP26" s="1527"/>
      <c r="AQ26" s="1527"/>
      <c r="AR26" s="1527"/>
      <c r="AS26" s="1527"/>
      <c r="AT26" s="1466"/>
      <c r="AU26" s="1466"/>
      <c r="AV26" s="1470"/>
      <c r="AW26" s="1466"/>
      <c r="AX26" s="1466"/>
      <c r="AY26" s="1527"/>
      <c r="AZ26" s="1519"/>
      <c r="BA26" s="1539"/>
      <c r="BB26" s="1519"/>
      <c r="BC26" s="1466"/>
      <c r="BD26" s="1470"/>
    </row>
    <row r="27" ht="28.5" customHeight="1">
      <c r="A27" s="1466"/>
      <c r="B27" s="1466"/>
      <c r="C27" s="1493"/>
      <c r="D27" s="1493"/>
      <c r="E27" s="1476"/>
      <c r="F27" s="1476"/>
      <c r="G27" s="1476"/>
      <c r="H27" s="1476"/>
      <c r="I27" s="1511"/>
      <c r="J27" s="1476"/>
      <c r="K27" s="1476"/>
      <c r="L27" s="1500"/>
      <c r="M27" s="34" t="s">
        <v>15</v>
      </c>
      <c r="N27" s="1476"/>
      <c r="O27" s="1476"/>
      <c r="P27" s="1500"/>
      <c r="Q27" s="34" t="s">
        <v>15</v>
      </c>
      <c r="R27" s="1540"/>
      <c r="S27" s="1540"/>
      <c r="T27" s="1541"/>
      <c r="U27" s="1534" t="s">
        <v>31</v>
      </c>
      <c r="V27" s="1540"/>
      <c r="W27" s="1540"/>
      <c r="X27" s="1540"/>
      <c r="Y27" s="1543"/>
      <c r="Z27" s="1540"/>
      <c r="AA27" s="1540"/>
      <c r="AB27" s="1476"/>
      <c r="AC27" s="1476"/>
      <c r="AD27" s="1493"/>
      <c r="AE27" s="1493"/>
      <c r="AF27" s="1493"/>
      <c r="AG27" s="1466"/>
      <c r="AH27" s="1502"/>
      <c r="AI27" s="1508"/>
      <c r="AJ27" s="1508"/>
      <c r="AK27" s="1527"/>
      <c r="AL27" s="1527"/>
      <c r="AM27" s="1527"/>
      <c r="AN27" s="1527"/>
      <c r="AO27" s="1508"/>
      <c r="AP27" s="1527"/>
      <c r="AQ27" s="1527"/>
      <c r="AR27" s="1527"/>
      <c r="AS27" s="1508"/>
      <c r="AT27" s="1508"/>
      <c r="AU27" s="1508"/>
      <c r="AV27" s="1470"/>
      <c r="AW27" s="1466"/>
      <c r="AX27" s="1466"/>
      <c r="AY27" s="1486" t="s">
        <v>36</v>
      </c>
      <c r="AZ27" s="1519"/>
      <c r="BA27" s="1523" t="s">
        <v>1300</v>
      </c>
      <c r="BB27" s="1519"/>
      <c r="BC27" s="1466"/>
      <c r="BD27" s="1470"/>
    </row>
    <row r="28" ht="2.25" customHeight="1">
      <c r="A28" s="1466"/>
      <c r="B28" s="1466"/>
      <c r="C28" s="1493"/>
      <c r="D28" s="1493"/>
      <c r="E28" s="1476"/>
      <c r="F28" s="1476"/>
      <c r="G28" s="1506"/>
      <c r="H28" s="1476"/>
      <c r="I28" s="1476"/>
      <c r="J28" s="1476"/>
      <c r="K28" s="1476"/>
      <c r="L28" s="1476"/>
      <c r="M28" s="1476"/>
      <c r="N28" s="1476"/>
      <c r="O28" s="1476"/>
      <c r="P28" s="1476"/>
      <c r="Q28" s="1540"/>
      <c r="R28" s="1540"/>
      <c r="S28" s="1540"/>
      <c r="T28" s="1540"/>
      <c r="U28" s="1540"/>
      <c r="V28" s="1540"/>
      <c r="W28" s="1540"/>
      <c r="X28" s="1540"/>
      <c r="Y28" s="1540"/>
      <c r="Z28" s="1540"/>
      <c r="AA28" s="1542"/>
      <c r="AB28" s="1476"/>
      <c r="AC28" s="1476"/>
      <c r="AD28" s="1493"/>
      <c r="AE28" s="1493"/>
      <c r="AF28" s="1493"/>
      <c r="AG28" s="1466"/>
      <c r="AH28" s="1502"/>
      <c r="AI28" s="1508"/>
      <c r="AJ28" s="1508"/>
      <c r="AK28" s="1508"/>
      <c r="AL28" s="1508"/>
      <c r="AM28" s="1508"/>
      <c r="AN28" s="1508"/>
      <c r="AO28" s="1508"/>
      <c r="AP28" s="1508"/>
      <c r="AQ28" s="1508"/>
      <c r="AR28" s="1508"/>
      <c r="AS28" s="1508"/>
      <c r="AT28" s="1508"/>
      <c r="AU28" s="1508"/>
      <c r="AV28" s="1470"/>
      <c r="AW28" s="1466"/>
      <c r="AX28" s="1466"/>
      <c r="AY28" s="1527"/>
      <c r="AZ28" s="1519"/>
      <c r="BA28" s="1523"/>
      <c r="BB28" s="1519"/>
      <c r="BC28" s="1466"/>
      <c r="BD28" s="1470"/>
    </row>
    <row r="29" ht="28.5" customHeight="1">
      <c r="A29" s="1466"/>
      <c r="B29" s="1466"/>
      <c r="C29" s="1493"/>
      <c r="D29" s="1493"/>
      <c r="E29" s="1476"/>
      <c r="F29" s="1500"/>
      <c r="G29" s="34" t="s">
        <v>15</v>
      </c>
      <c r="H29" s="1476"/>
      <c r="I29" s="1476"/>
      <c r="J29" s="1476"/>
      <c r="K29" s="1476"/>
      <c r="L29" s="1476"/>
      <c r="M29" s="1511"/>
      <c r="N29" s="1476"/>
      <c r="O29" s="1476"/>
      <c r="P29" s="1476"/>
      <c r="Q29" s="1543"/>
      <c r="R29" s="1540"/>
      <c r="S29" s="1540"/>
      <c r="T29" s="1540"/>
      <c r="U29" s="1543"/>
      <c r="V29" s="1540"/>
      <c r="W29" s="1540"/>
      <c r="X29" s="1540"/>
      <c r="Y29" s="1540"/>
      <c r="Z29" s="1541"/>
      <c r="AA29" s="1534" t="s">
        <v>31</v>
      </c>
      <c r="AB29" s="1476"/>
      <c r="AC29" s="1476"/>
      <c r="AD29" s="1493"/>
      <c r="AE29" s="1493"/>
      <c r="AF29" s="1493"/>
      <c r="AG29" s="1466"/>
      <c r="AH29" s="1502"/>
      <c r="AI29" s="1508"/>
      <c r="AJ29" s="1508"/>
      <c r="AK29" s="1508"/>
      <c r="AL29" s="1508"/>
      <c r="AM29" s="1508"/>
      <c r="AN29" s="1508"/>
      <c r="AO29" s="1508"/>
      <c r="AP29" s="1508"/>
      <c r="AQ29" s="1508"/>
      <c r="AR29" s="1508"/>
      <c r="AS29" s="1508"/>
      <c r="AT29" s="1508"/>
      <c r="AU29" s="1508"/>
      <c r="AV29" s="1470"/>
      <c r="AW29" s="1466"/>
      <c r="AX29" s="1544"/>
      <c r="AY29" s="1487" t="s">
        <v>43</v>
      </c>
      <c r="AZ29" s="1545"/>
      <c r="BA29" s="1523" t="s">
        <v>1329</v>
      </c>
      <c r="BB29" s="1519"/>
      <c r="BC29" s="1466"/>
      <c r="BD29" s="1470"/>
    </row>
    <row r="30" ht="2.25" customHeight="1">
      <c r="A30" s="1466"/>
      <c r="B30" s="1466"/>
      <c r="C30" s="1493"/>
      <c r="D30" s="1493"/>
      <c r="E30" s="1476"/>
      <c r="F30" s="1476"/>
      <c r="G30" s="1476"/>
      <c r="H30" s="1476"/>
      <c r="I30" s="1476"/>
      <c r="J30" s="1476"/>
      <c r="K30" s="1506"/>
      <c r="L30" s="1476"/>
      <c r="M30" s="1476"/>
      <c r="N30" s="1476"/>
      <c r="O30" s="1506"/>
      <c r="P30" s="1476"/>
      <c r="Q30" s="1540"/>
      <c r="R30" s="1540"/>
      <c r="S30" s="1542"/>
      <c r="T30" s="1540"/>
      <c r="U30" s="1540"/>
      <c r="V30" s="1540"/>
      <c r="W30" s="1542"/>
      <c r="X30" s="1540"/>
      <c r="Y30" s="1540"/>
      <c r="Z30" s="1540"/>
      <c r="AA30" s="1540"/>
      <c r="AB30" s="1476"/>
      <c r="AC30" s="1476"/>
      <c r="AD30" s="1493"/>
      <c r="AE30" s="1493"/>
      <c r="AF30" s="1493"/>
      <c r="AG30" s="1466"/>
      <c r="AH30" s="1502"/>
      <c r="AI30" s="1508"/>
      <c r="AJ30" s="1546"/>
      <c r="AK30" s="1547"/>
      <c r="AL30" s="1547"/>
      <c r="AM30" s="1547"/>
      <c r="AN30" s="1547"/>
      <c r="AO30" s="1547"/>
      <c r="AP30" s="1547"/>
      <c r="AQ30" s="1547"/>
      <c r="AR30" s="1547"/>
      <c r="AS30" s="1547"/>
      <c r="AT30" s="1469"/>
      <c r="AU30" s="1508"/>
      <c r="AV30" s="1470"/>
      <c r="AW30" s="1544"/>
      <c r="AX30" s="1544"/>
      <c r="AY30" s="1527"/>
      <c r="AZ30" s="1545"/>
      <c r="BA30" s="1548"/>
      <c r="BB30" s="1545"/>
      <c r="BC30" s="1544"/>
      <c r="BD30" s="1470"/>
    </row>
    <row r="31" ht="28.5" customHeight="1">
      <c r="A31" s="1466"/>
      <c r="B31" s="1466"/>
      <c r="C31" s="1493"/>
      <c r="D31" s="1493"/>
      <c r="E31" s="1476"/>
      <c r="F31" s="1476"/>
      <c r="G31" s="1511"/>
      <c r="H31" s="1476"/>
      <c r="I31" s="1476"/>
      <c r="J31" s="1500"/>
      <c r="K31" s="34" t="s">
        <v>15</v>
      </c>
      <c r="L31" s="1476"/>
      <c r="M31" s="1476"/>
      <c r="N31" s="1500"/>
      <c r="O31" s="34" t="s">
        <v>15</v>
      </c>
      <c r="P31" s="1476"/>
      <c r="Q31" s="1540"/>
      <c r="R31" s="1541"/>
      <c r="S31" s="34" t="s">
        <v>15</v>
      </c>
      <c r="T31" s="1540"/>
      <c r="U31" s="1540"/>
      <c r="V31" s="1541"/>
      <c r="W31" s="1534" t="s">
        <v>31</v>
      </c>
      <c r="X31" s="1540"/>
      <c r="Y31" s="1540"/>
      <c r="Z31" s="1540"/>
      <c r="AA31" s="1543"/>
      <c r="AB31" s="1476"/>
      <c r="AC31" s="1476"/>
      <c r="AD31" s="1493"/>
      <c r="AE31" s="1493"/>
      <c r="AF31" s="1493"/>
      <c r="AG31" s="1470"/>
      <c r="AH31" s="1502"/>
      <c r="AI31" s="1508"/>
      <c r="AJ31" s="1549"/>
      <c r="AK31" s="34" t="s">
        <v>15</v>
      </c>
      <c r="AL31" s="1550"/>
      <c r="AM31" s="1501" t="s">
        <v>24</v>
      </c>
      <c r="AN31" s="1550"/>
      <c r="AO31" s="34" t="s">
        <v>15</v>
      </c>
      <c r="AP31" s="1550"/>
      <c r="AQ31" s="1501" t="s">
        <v>24</v>
      </c>
      <c r="AR31" s="1550"/>
      <c r="AS31" s="34" t="s">
        <v>15</v>
      </c>
      <c r="AT31" s="1475"/>
      <c r="AU31" s="1466"/>
      <c r="AV31" s="1551"/>
      <c r="AW31" s="1544"/>
      <c r="AX31" s="1544"/>
      <c r="AY31" s="1533" t="s">
        <v>49</v>
      </c>
      <c r="AZ31" s="1545"/>
      <c r="BA31" s="1523" t="s">
        <v>1329</v>
      </c>
      <c r="BB31" s="1545"/>
      <c r="BC31" s="1544"/>
      <c r="BD31" s="1470"/>
    </row>
    <row r="32" ht="2.25" customHeight="1">
      <c r="A32" s="1493"/>
      <c r="B32" s="1466"/>
      <c r="C32" s="1493"/>
      <c r="D32" s="1493"/>
      <c r="E32" s="1493"/>
      <c r="F32" s="1493"/>
      <c r="G32" s="1493"/>
      <c r="H32" s="1493"/>
      <c r="I32" s="1493"/>
      <c r="J32" s="1493"/>
      <c r="K32" s="1493"/>
      <c r="L32" s="1493"/>
      <c r="M32" s="1493"/>
      <c r="N32" s="1493"/>
      <c r="O32" s="1493"/>
      <c r="P32" s="1493"/>
      <c r="Q32" s="1493"/>
      <c r="R32" s="1493"/>
      <c r="S32" s="1493"/>
      <c r="T32" s="1493"/>
      <c r="U32" s="1493"/>
      <c r="V32" s="1493"/>
      <c r="W32" s="1493"/>
      <c r="X32" s="1493"/>
      <c r="Y32" s="1493"/>
      <c r="Z32" s="1493"/>
      <c r="AA32" s="1493"/>
      <c r="AB32" s="1493"/>
      <c r="AC32" s="1493"/>
      <c r="AD32" s="1493"/>
      <c r="AE32" s="1493"/>
      <c r="AF32" s="1493"/>
      <c r="AG32" s="1470"/>
      <c r="AH32" s="1552"/>
      <c r="AI32" s="1508"/>
      <c r="AJ32" s="1553"/>
      <c r="AK32" s="1554"/>
      <c r="AL32" s="1554"/>
      <c r="AM32" s="1554"/>
      <c r="AN32" s="1554"/>
      <c r="AO32" s="1554"/>
      <c r="AP32" s="1554"/>
      <c r="AQ32" s="1554"/>
      <c r="AR32" s="1554"/>
      <c r="AS32" s="1554"/>
      <c r="AT32" s="1492"/>
      <c r="AU32" s="1466"/>
      <c r="AV32" s="1551"/>
      <c r="AW32" s="1519"/>
      <c r="AX32" s="1519"/>
      <c r="AY32" s="1519"/>
      <c r="AZ32" s="1519"/>
      <c r="BA32" s="1519"/>
      <c r="BB32" s="1519"/>
      <c r="BC32" s="1519"/>
      <c r="BD32" s="1470"/>
    </row>
    <row r="33" ht="28.5" customHeight="1">
      <c r="A33" s="1493"/>
      <c r="B33" s="1466"/>
      <c r="C33" s="1493"/>
      <c r="D33" s="1493"/>
      <c r="E33" s="1493"/>
      <c r="F33" s="1493"/>
      <c r="G33" s="1493"/>
      <c r="H33" s="1493"/>
      <c r="I33" s="1493"/>
      <c r="J33" s="1493"/>
      <c r="K33" s="1493"/>
      <c r="L33" s="1493"/>
      <c r="M33" s="1493"/>
      <c r="N33" s="1493"/>
      <c r="O33" s="1493"/>
      <c r="P33" s="1493"/>
      <c r="Q33" s="1493"/>
      <c r="R33" s="1493"/>
      <c r="S33" s="1493"/>
      <c r="T33" s="1493"/>
      <c r="U33" s="1493"/>
      <c r="V33" s="1493"/>
      <c r="W33" s="1493"/>
      <c r="X33" s="1493"/>
      <c r="Y33" s="1493"/>
      <c r="Z33" s="1493"/>
      <c r="AA33" s="1493"/>
      <c r="AB33" s="1493"/>
      <c r="AC33" s="1493"/>
      <c r="AD33" s="1493"/>
      <c r="AE33" s="1493"/>
      <c r="AF33" s="1493"/>
      <c r="AG33" s="1470"/>
      <c r="AH33" s="1552"/>
      <c r="AI33" s="1508"/>
      <c r="AJ33" s="1466"/>
      <c r="AK33" s="1495" t="s">
        <v>1325</v>
      </c>
      <c r="AT33" s="1466"/>
      <c r="AU33" s="1466"/>
      <c r="AV33" s="1551"/>
      <c r="AW33" s="1519"/>
      <c r="AX33" s="1519"/>
      <c r="AY33" s="1519"/>
      <c r="AZ33" s="1519"/>
      <c r="BA33" s="1519"/>
      <c r="BB33" s="1519"/>
      <c r="BC33" s="1519"/>
      <c r="BD33" s="1470"/>
    </row>
    <row r="34" ht="2.25" customHeight="1">
      <c r="A34" s="1520"/>
      <c r="B34" s="1466"/>
      <c r="C34" s="1520"/>
      <c r="D34" s="1520"/>
      <c r="E34" s="1520"/>
      <c r="F34" s="1520"/>
      <c r="G34" s="1466"/>
      <c r="H34" s="1466"/>
      <c r="I34" s="1466"/>
      <c r="J34" s="1466"/>
      <c r="K34" s="1466"/>
      <c r="L34" s="1466"/>
      <c r="M34" s="1466"/>
      <c r="N34" s="1466"/>
      <c r="O34" s="1466"/>
      <c r="P34" s="1466"/>
      <c r="Q34" s="1466"/>
      <c r="R34" s="1466"/>
      <c r="S34" s="1466"/>
      <c r="T34" s="1466"/>
      <c r="U34" s="1466"/>
      <c r="V34" s="1466"/>
      <c r="W34" s="1466"/>
      <c r="X34" s="1466"/>
      <c r="Y34" s="1466"/>
      <c r="Z34" s="1466"/>
      <c r="AA34" s="1466"/>
      <c r="AB34" s="1520"/>
      <c r="AC34" s="1520"/>
      <c r="AD34" s="1520"/>
      <c r="AE34" s="1520"/>
      <c r="AF34" s="1520"/>
      <c r="AG34" s="1470"/>
      <c r="AH34" s="1552"/>
      <c r="AI34" s="1508"/>
      <c r="AJ34" s="1508"/>
      <c r="AK34" s="1508"/>
      <c r="AL34" s="1508"/>
      <c r="AM34" s="1508"/>
      <c r="AN34" s="1508"/>
      <c r="AO34" s="1508"/>
      <c r="AP34" s="1508"/>
      <c r="AQ34" s="1508"/>
      <c r="AR34" s="1508"/>
      <c r="AS34" s="1508"/>
      <c r="AT34" s="1508"/>
      <c r="AU34" s="1466"/>
      <c r="AV34" s="1551"/>
      <c r="AW34" s="1544"/>
      <c r="AX34" s="1544"/>
      <c r="AY34" s="1545"/>
      <c r="AZ34" s="1545"/>
      <c r="BA34" s="1545"/>
      <c r="BB34" s="1545"/>
      <c r="BC34" s="1544"/>
      <c r="BD34" s="1470"/>
    </row>
    <row r="35" ht="28.5" customHeight="1">
      <c r="A35" s="1520"/>
      <c r="B35" s="1466"/>
      <c r="C35" s="1520"/>
      <c r="D35" s="1520"/>
      <c r="E35" s="1520"/>
      <c r="F35" s="1520"/>
      <c r="G35" s="1466"/>
      <c r="H35" s="1466"/>
      <c r="I35" s="1466"/>
      <c r="J35" s="1466"/>
      <c r="K35" s="1466"/>
      <c r="L35" s="1466"/>
      <c r="M35" s="1466"/>
      <c r="N35" s="1466"/>
      <c r="O35" s="1466"/>
      <c r="P35" s="1466"/>
      <c r="Q35" s="1466"/>
      <c r="R35" s="1466"/>
      <c r="S35" s="1466"/>
      <c r="T35" s="1466"/>
      <c r="U35" s="1466"/>
      <c r="V35" s="1466"/>
      <c r="W35" s="1466"/>
      <c r="X35" s="1466"/>
      <c r="Y35" s="1466"/>
      <c r="Z35" s="1466"/>
      <c r="AA35" s="1466"/>
      <c r="AB35" s="1520"/>
      <c r="AC35" s="1520"/>
      <c r="AD35" s="1520"/>
      <c r="AE35" s="1520"/>
      <c r="AF35" s="1520"/>
      <c r="AG35" s="1470"/>
      <c r="AH35" s="1552"/>
      <c r="AI35" s="1466"/>
      <c r="AJ35" s="1466"/>
      <c r="AK35" s="1466"/>
      <c r="AL35" s="1466"/>
      <c r="AM35" s="1508"/>
      <c r="AN35" s="1466"/>
      <c r="AO35" s="1508"/>
      <c r="AP35" s="1466"/>
      <c r="AQ35" s="1466"/>
      <c r="AR35" s="1466"/>
      <c r="AS35" s="1466"/>
      <c r="AT35" s="1466"/>
      <c r="AU35" s="1466"/>
      <c r="AV35" s="1551"/>
      <c r="AW35" s="1544"/>
      <c r="AX35" s="1544"/>
      <c r="AY35" s="1519"/>
      <c r="AZ35" s="1519"/>
      <c r="BA35" s="1519"/>
      <c r="BB35" s="1545"/>
      <c r="BC35" s="1544"/>
      <c r="BD35" s="1470"/>
    </row>
    <row r="36" ht="6.0" customHeight="1">
      <c r="A36" s="1466"/>
      <c r="B36" s="1466"/>
      <c r="C36" s="1466"/>
      <c r="D36" s="1466"/>
      <c r="E36" s="1466"/>
      <c r="F36" s="1466"/>
      <c r="G36" s="1466"/>
      <c r="H36" s="1466"/>
      <c r="I36" s="1466"/>
      <c r="J36" s="1466"/>
      <c r="K36" s="1466"/>
      <c r="L36" s="1466"/>
      <c r="M36" s="1466"/>
      <c r="N36" s="1466"/>
      <c r="O36" s="1466"/>
      <c r="P36" s="1466"/>
      <c r="Q36" s="1466"/>
      <c r="R36" s="1466"/>
      <c r="S36" s="1466"/>
      <c r="T36" s="1466"/>
      <c r="U36" s="1466"/>
      <c r="V36" s="1466"/>
      <c r="W36" s="1466"/>
      <c r="X36" s="1466"/>
      <c r="Y36" s="1466"/>
      <c r="Z36" s="1466"/>
      <c r="AA36" s="1466"/>
      <c r="AB36" s="1466"/>
      <c r="AC36" s="1466"/>
      <c r="AD36" s="1466"/>
      <c r="AE36" s="1466"/>
      <c r="AF36" s="1466"/>
      <c r="AG36" s="1470"/>
      <c r="AH36" s="1552"/>
      <c r="AI36" s="1552"/>
      <c r="AJ36" s="1552"/>
      <c r="AK36" s="1544"/>
      <c r="AL36" s="1544"/>
      <c r="AM36" s="1544"/>
      <c r="AN36" s="1544"/>
      <c r="AO36" s="1544"/>
      <c r="AP36" s="1544"/>
      <c r="AQ36" s="1544"/>
      <c r="AR36" s="1544"/>
      <c r="AS36" s="1544"/>
      <c r="AT36" s="1544"/>
      <c r="AU36" s="1544"/>
      <c r="AV36" s="1551"/>
      <c r="AW36" s="1555"/>
      <c r="AX36" s="1544"/>
      <c r="AY36" s="1544"/>
      <c r="AZ36" s="1466"/>
      <c r="BA36" s="1466"/>
      <c r="BB36" s="1466"/>
      <c r="BC36" s="1466"/>
      <c r="BD36" s="1470"/>
    </row>
    <row r="37" ht="3.0" customHeight="1">
      <c r="A37" s="1556"/>
      <c r="B37" s="1556"/>
      <c r="C37" s="1556"/>
      <c r="D37" s="1556"/>
      <c r="E37" s="1556"/>
      <c r="F37" s="1556"/>
      <c r="G37" s="1556"/>
      <c r="H37" s="1556"/>
      <c r="I37" s="1556"/>
      <c r="J37" s="1556"/>
      <c r="K37" s="1556"/>
      <c r="L37" s="1556"/>
      <c r="M37" s="1556"/>
      <c r="N37" s="1556"/>
      <c r="O37" s="1556"/>
      <c r="P37" s="1556"/>
      <c r="Q37" s="1556"/>
      <c r="R37" s="1556"/>
      <c r="S37" s="1556"/>
      <c r="T37" s="1556"/>
      <c r="U37" s="1556"/>
      <c r="V37" s="1556"/>
      <c r="W37" s="1556"/>
      <c r="X37" s="1556"/>
      <c r="Y37" s="1556"/>
      <c r="Z37" s="1556"/>
      <c r="AA37" s="1556"/>
      <c r="AB37" s="1556"/>
      <c r="AC37" s="1556"/>
      <c r="AD37" s="1556"/>
      <c r="AE37" s="1556"/>
      <c r="AF37" s="1556"/>
      <c r="AG37" s="1557"/>
      <c r="AH37" s="1558"/>
      <c r="AI37" s="1558"/>
      <c r="AJ37" s="1558"/>
      <c r="AK37" s="1559"/>
      <c r="AL37" s="1559"/>
      <c r="AM37" s="1559"/>
      <c r="AN37" s="1559"/>
      <c r="AO37" s="1559"/>
      <c r="AP37" s="1559"/>
      <c r="AQ37" s="1559"/>
      <c r="AR37" s="1559"/>
      <c r="AS37" s="1559"/>
      <c r="AT37" s="1559"/>
      <c r="AU37" s="1559"/>
      <c r="AV37" s="1560"/>
      <c r="AW37" s="1559"/>
      <c r="AX37" s="1559"/>
      <c r="AY37" s="1559"/>
      <c r="AZ37" s="1556"/>
      <c r="BA37" s="1556"/>
      <c r="BB37" s="1556"/>
      <c r="BC37" s="1556"/>
      <c r="BD37" s="1557"/>
    </row>
  </sheetData>
  <mergeCells count="12">
    <mergeCell ref="AW11:BC11"/>
    <mergeCell ref="AW13:BC13"/>
    <mergeCell ref="AO19:AO25"/>
    <mergeCell ref="AW23:BC23"/>
    <mergeCell ref="AK33:AS33"/>
    <mergeCell ref="AK1:BA6"/>
    <mergeCell ref="E3:M5"/>
    <mergeCell ref="AI7:BC9"/>
    <mergeCell ref="K9:M9"/>
    <mergeCell ref="S9:AE9"/>
    <mergeCell ref="BC10:BD10"/>
    <mergeCell ref="AI11:AU11"/>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4.71"/>
    <col customWidth="1" min="2" max="2" width="65.43"/>
    <col customWidth="1" min="3" max="3" width="9.57"/>
    <col customWidth="1" min="4" max="19" width="7.29"/>
  </cols>
  <sheetData>
    <row r="1" ht="54.0" customHeight="1">
      <c r="A1" s="1561" t="s">
        <v>1330</v>
      </c>
      <c r="B1" s="1562" t="s">
        <v>1331</v>
      </c>
      <c r="C1" s="1563" t="s">
        <v>12</v>
      </c>
      <c r="D1" s="1564" t="s">
        <v>1332</v>
      </c>
      <c r="E1" s="16"/>
      <c r="F1" s="16"/>
      <c r="G1" s="16"/>
      <c r="H1" s="16"/>
      <c r="I1" s="16"/>
      <c r="J1" s="16"/>
      <c r="K1" s="16"/>
      <c r="L1" s="16"/>
      <c r="M1" s="16"/>
      <c r="N1" s="16"/>
      <c r="O1" s="16"/>
      <c r="P1" s="16"/>
      <c r="Q1" s="16"/>
      <c r="R1" s="16"/>
      <c r="S1" s="17"/>
    </row>
    <row r="2" ht="30.0" customHeight="1">
      <c r="A2" s="1052"/>
      <c r="B2" s="1052"/>
      <c r="C2" s="1052"/>
      <c r="D2" s="1052"/>
      <c r="E2" s="1052"/>
      <c r="F2" s="1565"/>
      <c r="G2" s="1566"/>
      <c r="H2" s="1567"/>
      <c r="I2" s="1567"/>
      <c r="J2" s="1567"/>
      <c r="K2" s="1567"/>
      <c r="L2" s="1567"/>
      <c r="M2" s="1567"/>
      <c r="N2" s="1567"/>
      <c r="O2" s="1567"/>
      <c r="P2" s="1567"/>
      <c r="Q2" s="1567"/>
      <c r="R2" s="1567"/>
      <c r="S2" s="1567"/>
    </row>
    <row r="3" ht="4.5" customHeight="1">
      <c r="A3" s="1568"/>
      <c r="B3" s="501"/>
      <c r="C3" s="501"/>
      <c r="D3" s="501"/>
      <c r="E3" s="501"/>
      <c r="F3" s="501"/>
      <c r="G3" s="501"/>
      <c r="H3" s="501"/>
      <c r="I3" s="501"/>
      <c r="J3" s="501"/>
      <c r="K3" s="501"/>
      <c r="L3" s="501"/>
      <c r="M3" s="501"/>
      <c r="N3" s="501"/>
      <c r="O3" s="100"/>
      <c r="P3" s="1569"/>
      <c r="Q3" s="1567"/>
      <c r="R3" s="1567"/>
      <c r="S3" s="1567"/>
    </row>
    <row r="4" ht="17.25" customHeight="1">
      <c r="A4" s="1570" t="s">
        <v>1333</v>
      </c>
      <c r="B4" s="1571" t="s">
        <v>1334</v>
      </c>
      <c r="C4" s="112"/>
      <c r="D4" s="1572">
        <v>43922.0</v>
      </c>
      <c r="E4" s="112"/>
      <c r="F4" s="112"/>
      <c r="G4" s="20"/>
      <c r="H4" s="1572">
        <v>43953.0</v>
      </c>
      <c r="I4" s="112"/>
      <c r="J4" s="112"/>
      <c r="K4" s="20"/>
      <c r="L4" s="1572">
        <v>43983.0</v>
      </c>
      <c r="M4" s="112"/>
      <c r="N4" s="112"/>
      <c r="O4" s="20"/>
      <c r="P4" s="1573"/>
      <c r="Q4" s="1573"/>
      <c r="R4" s="1573"/>
      <c r="S4" s="1573"/>
    </row>
    <row r="5" ht="17.25" customHeight="1">
      <c r="B5" s="1574" t="str">
        <f>HYPERLINK("https://docs.google.com/document/d/1Nco4jlTJupbZhpSFRhZ6V2OsVg5mDs8M0mbqg24DeJ0/edit","[ regeerakkoord Samen voor de toekomst ]")</f>
        <v>[ regeerakkoord Samen voor de toekomst ]</v>
      </c>
      <c r="C5" s="1350"/>
      <c r="D5" s="43"/>
      <c r="G5" s="44"/>
      <c r="H5" s="43"/>
      <c r="K5" s="44"/>
      <c r="L5" s="43"/>
      <c r="O5" s="44"/>
      <c r="P5" s="1567"/>
      <c r="Q5" s="1573"/>
      <c r="R5" s="1567"/>
      <c r="S5" s="1567"/>
    </row>
    <row r="6" ht="4.5" customHeight="1">
      <c r="B6" s="1575"/>
      <c r="C6" s="1576"/>
      <c r="D6" s="26"/>
      <c r="E6" s="504"/>
      <c r="F6" s="504"/>
      <c r="G6" s="27"/>
      <c r="H6" s="26"/>
      <c r="I6" s="504"/>
      <c r="J6" s="504"/>
      <c r="K6" s="27"/>
      <c r="L6" s="26"/>
      <c r="M6" s="504"/>
      <c r="N6" s="504"/>
      <c r="O6" s="27"/>
      <c r="P6" s="1567"/>
      <c r="Q6" s="1565"/>
      <c r="R6" s="1567"/>
      <c r="S6" s="1567"/>
    </row>
    <row r="7" ht="17.25" customHeight="1">
      <c r="B7" s="1577" t="s">
        <v>1335</v>
      </c>
      <c r="C7" s="1578" t="s">
        <v>559</v>
      </c>
      <c r="D7" s="1579" t="s">
        <v>16</v>
      </c>
      <c r="L7" s="1129"/>
      <c r="M7" s="1580"/>
      <c r="N7" s="1566"/>
      <c r="O7" s="1580"/>
      <c r="P7" s="1580"/>
      <c r="Q7" s="1566"/>
      <c r="R7" s="1580"/>
      <c r="S7" s="1573"/>
    </row>
    <row r="8" ht="17.25" customHeight="1">
      <c r="B8" s="1581" t="s">
        <v>1336</v>
      </c>
      <c r="C8" s="1348"/>
      <c r="D8" s="1582" t="s">
        <v>123</v>
      </c>
      <c r="E8" s="1583"/>
      <c r="F8" s="1583"/>
      <c r="G8" s="1583"/>
      <c r="H8" s="1583"/>
      <c r="I8" s="1583"/>
      <c r="J8" s="1582" t="s">
        <v>25</v>
      </c>
      <c r="K8" s="1583"/>
      <c r="L8" s="1584"/>
      <c r="M8" s="1573"/>
      <c r="N8" s="1573"/>
      <c r="O8" s="1573"/>
      <c r="P8" s="1573"/>
      <c r="Q8" s="1573"/>
      <c r="R8" s="1573"/>
      <c r="S8" s="1573"/>
    </row>
    <row r="9" ht="4.5" customHeight="1">
      <c r="B9" s="1585"/>
      <c r="C9" s="1583"/>
      <c r="D9" s="1583"/>
      <c r="E9" s="1583"/>
      <c r="F9" s="1583"/>
      <c r="G9" s="1583"/>
      <c r="H9" s="1583"/>
      <c r="I9" s="1583"/>
      <c r="J9" s="1583"/>
      <c r="K9" s="1583"/>
      <c r="L9" s="1584"/>
      <c r="M9" s="1586"/>
      <c r="N9" s="1565"/>
      <c r="O9" s="1565"/>
      <c r="P9" s="1565"/>
      <c r="Q9" s="1565"/>
      <c r="R9" s="1565"/>
      <c r="S9" s="1565"/>
    </row>
    <row r="10" ht="17.25" customHeight="1">
      <c r="B10" s="1587" t="s">
        <v>1337</v>
      </c>
      <c r="C10" s="1588" t="s">
        <v>723</v>
      </c>
      <c r="D10" s="1589" t="s">
        <v>123</v>
      </c>
      <c r="E10" s="1224"/>
      <c r="F10" s="1224"/>
      <c r="G10" s="1224"/>
      <c r="H10" s="1224"/>
      <c r="I10" s="1224"/>
      <c r="J10" s="1582" t="s">
        <v>25</v>
      </c>
      <c r="K10" s="1583"/>
      <c r="L10" s="1584"/>
      <c r="M10" s="1573"/>
      <c r="N10" s="1573"/>
      <c r="O10" s="1573"/>
      <c r="P10" s="1573"/>
      <c r="Q10" s="1573"/>
      <c r="R10" s="1573"/>
      <c r="S10" s="1573"/>
    </row>
    <row r="11" ht="17.25" customHeight="1">
      <c r="B11" s="1590" t="s">
        <v>1338</v>
      </c>
      <c r="C11" s="1591" t="s">
        <v>750</v>
      </c>
      <c r="D11" s="1592" t="s">
        <v>766</v>
      </c>
      <c r="E11" s="1583"/>
      <c r="F11" s="1583"/>
      <c r="G11" s="1583"/>
      <c r="H11" s="1583"/>
      <c r="I11" s="1583"/>
      <c r="J11" s="1583"/>
      <c r="K11" s="1583"/>
      <c r="L11" s="1584"/>
      <c r="M11" s="1573"/>
      <c r="N11" s="1573"/>
      <c r="O11" s="1573"/>
      <c r="P11" s="1573"/>
      <c r="Q11" s="1573"/>
      <c r="R11" s="1573"/>
      <c r="S11" s="1573"/>
    </row>
    <row r="12" ht="17.25" customHeight="1">
      <c r="B12" s="1587" t="s">
        <v>1339</v>
      </c>
      <c r="C12" s="1588" t="s">
        <v>595</v>
      </c>
      <c r="D12" s="1592" t="s">
        <v>116</v>
      </c>
      <c r="E12" s="1583"/>
      <c r="F12" s="1583"/>
      <c r="G12" s="1583"/>
      <c r="H12" s="1583"/>
      <c r="I12" s="1583"/>
      <c r="J12" s="1583"/>
      <c r="K12" s="1583"/>
      <c r="L12" s="1584"/>
      <c r="M12" s="1565"/>
      <c r="N12" s="1565"/>
      <c r="O12" s="1565"/>
      <c r="P12" s="1565"/>
      <c r="Q12" s="1565"/>
      <c r="R12" s="1565"/>
      <c r="S12" s="1565"/>
    </row>
    <row r="13" ht="17.25" customHeight="1">
      <c r="B13" s="1587" t="s">
        <v>1340</v>
      </c>
      <c r="C13" s="1588" t="s">
        <v>624</v>
      </c>
      <c r="D13" s="1582" t="s">
        <v>124</v>
      </c>
      <c r="E13" s="1583"/>
      <c r="F13" s="1583"/>
      <c r="G13" s="1583"/>
      <c r="H13" s="1583"/>
      <c r="I13" s="1583"/>
      <c r="J13" s="1583"/>
      <c r="K13" s="1583"/>
      <c r="L13" s="1584"/>
      <c r="M13" s="1566"/>
      <c r="N13" s="1565"/>
      <c r="O13" s="1565"/>
      <c r="P13" s="1565"/>
      <c r="Q13" s="1565"/>
      <c r="R13" s="1565"/>
      <c r="S13" s="1565"/>
    </row>
    <row r="14" ht="17.25" customHeight="1">
      <c r="B14" s="1590" t="s">
        <v>1341</v>
      </c>
      <c r="C14" s="1591" t="s">
        <v>728</v>
      </c>
      <c r="D14" s="1582" t="s">
        <v>1290</v>
      </c>
      <c r="E14" s="1583"/>
      <c r="F14" s="1583"/>
      <c r="G14" s="1583"/>
      <c r="H14" s="1584"/>
      <c r="I14" s="1582" t="s">
        <v>397</v>
      </c>
      <c r="J14" s="1583"/>
      <c r="K14" s="1583"/>
      <c r="L14" s="1584"/>
      <c r="M14" s="1593"/>
      <c r="N14" s="1593"/>
      <c r="O14" s="1593"/>
      <c r="P14" s="1593"/>
      <c r="Q14" s="1593"/>
      <c r="R14" s="1593"/>
      <c r="S14" s="1593"/>
    </row>
    <row r="15" ht="17.25" customHeight="1">
      <c r="A15" s="504"/>
      <c r="B15" s="1594" t="s">
        <v>1342</v>
      </c>
      <c r="C15" s="1595" t="s">
        <v>593</v>
      </c>
      <c r="D15" s="1596" t="s">
        <v>118</v>
      </c>
      <c r="E15" s="1224"/>
      <c r="F15" s="1224"/>
      <c r="G15" s="1224"/>
      <c r="H15" s="1224"/>
      <c r="I15" s="1597"/>
      <c r="J15" s="1598" t="s">
        <v>118</v>
      </c>
      <c r="K15" s="1224"/>
      <c r="L15" s="1597"/>
      <c r="M15" s="1599"/>
      <c r="N15" s="1600"/>
      <c r="O15" s="1599"/>
      <c r="P15" s="1601"/>
      <c r="Q15" s="1602"/>
      <c r="R15" s="1601"/>
      <c r="S15" s="1601"/>
    </row>
    <row r="16" ht="4.5" customHeight="1">
      <c r="A16" s="1603"/>
      <c r="B16" s="16"/>
      <c r="C16" s="16"/>
      <c r="D16" s="16"/>
      <c r="E16" s="16"/>
      <c r="F16" s="16"/>
      <c r="G16" s="16"/>
      <c r="H16" s="16"/>
      <c r="I16" s="16"/>
      <c r="J16" s="16"/>
      <c r="K16" s="16"/>
      <c r="L16" s="16"/>
      <c r="M16" s="16"/>
      <c r="N16" s="16"/>
      <c r="O16" s="17"/>
      <c r="P16" s="1601"/>
      <c r="Q16" s="1602"/>
      <c r="R16" s="1601"/>
      <c r="S16" s="1601"/>
    </row>
    <row r="17" ht="30.0" customHeight="1">
      <c r="A17" s="1052"/>
      <c r="B17" s="1052"/>
      <c r="C17" s="1052"/>
      <c r="D17" s="1052"/>
      <c r="E17" s="1052"/>
      <c r="F17" s="1565"/>
      <c r="G17" s="1566"/>
      <c r="H17" s="1601"/>
      <c r="I17" s="1601"/>
      <c r="J17" s="1601"/>
      <c r="K17" s="1601"/>
      <c r="L17" s="1601"/>
      <c r="M17" s="1601"/>
      <c r="N17" s="1601"/>
      <c r="O17" s="1601"/>
      <c r="P17" s="1601"/>
      <c r="Q17" s="1601"/>
      <c r="R17" s="1601"/>
      <c r="S17" s="1601"/>
    </row>
    <row r="18" ht="4.5" customHeight="1">
      <c r="A18" s="1604"/>
      <c r="B18" s="1604"/>
      <c r="C18" s="1604"/>
      <c r="D18" s="1604"/>
      <c r="E18" s="1604"/>
      <c r="F18" s="1604"/>
      <c r="G18" s="1604"/>
      <c r="H18" s="1604"/>
      <c r="I18" s="1604"/>
      <c r="J18" s="1604"/>
      <c r="K18" s="1604"/>
      <c r="L18" s="1604"/>
      <c r="M18" s="1604"/>
      <c r="N18" s="1604"/>
      <c r="O18" s="1604"/>
      <c r="P18" s="1604"/>
      <c r="Q18" s="1604"/>
      <c r="R18" s="1604"/>
      <c r="S18" s="1605"/>
    </row>
    <row r="19" ht="17.25" customHeight="1">
      <c r="A19" s="1606" t="s">
        <v>1343</v>
      </c>
      <c r="B19" s="1607" t="s">
        <v>1344</v>
      </c>
      <c r="C19" s="112"/>
      <c r="D19" s="1572">
        <v>43800.0</v>
      </c>
      <c r="E19" s="112"/>
      <c r="F19" s="112"/>
      <c r="G19" s="20"/>
      <c r="H19" s="1572">
        <v>43831.0</v>
      </c>
      <c r="I19" s="112"/>
      <c r="J19" s="112"/>
      <c r="K19" s="20"/>
      <c r="L19" s="1572">
        <v>43862.0</v>
      </c>
      <c r="M19" s="112"/>
      <c r="N19" s="112"/>
      <c r="O19" s="20"/>
      <c r="P19" s="1572">
        <v>43891.0</v>
      </c>
      <c r="Q19" s="112"/>
      <c r="R19" s="112"/>
      <c r="S19" s="20"/>
    </row>
    <row r="20" ht="17.25" customHeight="1">
      <c r="B20" s="1574" t="str">
        <f>HYPERLINK("https://docs.google.com/document/d/1wcwFZyla7tfdvL5En_Gt0_j9NK7W5k06UXwBYdI3nhs/edit","[ regeerakkoord Vertrouwen in de Samenleving ]")</f>
        <v>[ regeerakkoord Vertrouwen in de Samenleving ]</v>
      </c>
      <c r="C20" s="1350"/>
      <c r="D20" s="43"/>
      <c r="G20" s="44"/>
      <c r="H20" s="43"/>
      <c r="K20" s="44"/>
      <c r="L20" s="43"/>
      <c r="O20" s="44"/>
      <c r="P20" s="43"/>
      <c r="S20" s="44"/>
    </row>
    <row r="21" ht="4.5" customHeight="1">
      <c r="B21" s="1575"/>
      <c r="C21" s="1576"/>
      <c r="D21" s="26"/>
      <c r="E21" s="504"/>
      <c r="F21" s="504"/>
      <c r="G21" s="27"/>
      <c r="H21" s="26"/>
      <c r="I21" s="504"/>
      <c r="J21" s="504"/>
      <c r="K21" s="27"/>
      <c r="L21" s="26"/>
      <c r="M21" s="504"/>
      <c r="N21" s="504"/>
      <c r="O21" s="27"/>
      <c r="P21" s="26"/>
      <c r="Q21" s="504"/>
      <c r="R21" s="504"/>
      <c r="S21" s="27"/>
    </row>
    <row r="22" ht="17.25" customHeight="1">
      <c r="B22" s="1577" t="s">
        <v>1335</v>
      </c>
      <c r="C22" s="1578" t="s">
        <v>559</v>
      </c>
      <c r="D22" s="1608" t="s">
        <v>123</v>
      </c>
      <c r="E22" s="1350"/>
      <c r="F22" s="1350"/>
      <c r="G22" s="1350"/>
      <c r="H22" s="1350"/>
      <c r="I22" s="1350"/>
      <c r="J22" s="1350"/>
      <c r="K22" s="1350"/>
      <c r="L22" s="1350"/>
      <c r="M22" s="1350"/>
      <c r="N22" s="1350"/>
      <c r="O22" s="1350"/>
      <c r="P22" s="1350"/>
      <c r="Q22" s="1350"/>
      <c r="R22" s="1609"/>
      <c r="S22" s="1569"/>
    </row>
    <row r="23" ht="17.25" customHeight="1">
      <c r="B23" s="1581" t="s">
        <v>1336</v>
      </c>
      <c r="C23" s="1348"/>
      <c r="D23" s="1610" t="s">
        <v>157</v>
      </c>
      <c r="E23" s="1350"/>
      <c r="F23" s="1350"/>
      <c r="G23" s="1350"/>
      <c r="H23" s="1350"/>
      <c r="I23" s="1348"/>
      <c r="J23" s="1610" t="s">
        <v>37</v>
      </c>
      <c r="K23" s="1350"/>
      <c r="L23" s="1350"/>
      <c r="M23" s="1350"/>
      <c r="N23" s="1350"/>
      <c r="O23" s="1350"/>
      <c r="P23" s="1350"/>
      <c r="Q23" s="1350"/>
      <c r="R23" s="1609"/>
      <c r="S23" s="1569"/>
    </row>
    <row r="24" ht="17.25" customHeight="1">
      <c r="B24" s="1581" t="s">
        <v>1345</v>
      </c>
      <c r="C24" s="1348"/>
      <c r="D24" s="1611" t="s">
        <v>122</v>
      </c>
      <c r="E24" s="1350"/>
      <c r="F24" s="1350"/>
      <c r="G24" s="1350"/>
      <c r="H24" s="1350"/>
      <c r="I24" s="1350"/>
      <c r="J24" s="1350"/>
      <c r="K24" s="1350"/>
      <c r="L24" s="1350"/>
      <c r="M24" s="1350"/>
      <c r="N24" s="1350"/>
      <c r="O24" s="1350"/>
      <c r="P24" s="1350"/>
      <c r="Q24" s="1350"/>
      <c r="R24" s="1609"/>
      <c r="S24" s="1569"/>
    </row>
    <row r="25" ht="4.5" customHeight="1">
      <c r="B25" s="1612"/>
      <c r="C25" s="1613"/>
      <c r="D25" s="1614"/>
      <c r="E25" s="1614"/>
      <c r="F25" s="1614"/>
      <c r="G25" s="1613"/>
      <c r="H25" s="1613"/>
      <c r="I25" s="1613"/>
      <c r="J25" s="1613"/>
      <c r="K25" s="1613"/>
      <c r="L25" s="1613"/>
      <c r="M25" s="1613"/>
      <c r="N25" s="1613"/>
      <c r="O25" s="1613"/>
      <c r="P25" s="1613"/>
      <c r="Q25" s="1613"/>
      <c r="R25" s="1615"/>
      <c r="S25" s="1569"/>
    </row>
    <row r="26" ht="17.25" customHeight="1">
      <c r="B26" s="1587" t="s">
        <v>1337</v>
      </c>
      <c r="C26" s="1588" t="s">
        <v>723</v>
      </c>
      <c r="D26" s="1610" t="s">
        <v>155</v>
      </c>
      <c r="E26" s="1350"/>
      <c r="F26" s="1350"/>
      <c r="G26" s="1350"/>
      <c r="H26" s="1350"/>
      <c r="I26" s="1350"/>
      <c r="J26" s="1350"/>
      <c r="K26" s="1350"/>
      <c r="L26" s="1350"/>
      <c r="M26" s="1350"/>
      <c r="N26" s="1350"/>
      <c r="O26" s="1350"/>
      <c r="P26" s="1350"/>
      <c r="Q26" s="1350"/>
      <c r="R26" s="1609"/>
      <c r="S26" s="1569"/>
    </row>
    <row r="27" ht="17.25" customHeight="1">
      <c r="B27" s="1590" t="s">
        <v>1338</v>
      </c>
      <c r="C27" s="1591" t="s">
        <v>750</v>
      </c>
      <c r="D27" s="1610" t="s">
        <v>157</v>
      </c>
      <c r="E27" s="1350"/>
      <c r="F27" s="1350"/>
      <c r="G27" s="1350"/>
      <c r="H27" s="1350"/>
      <c r="I27" s="1348"/>
      <c r="J27" s="1610" t="s">
        <v>153</v>
      </c>
      <c r="K27" s="1350"/>
      <c r="L27" s="1350"/>
      <c r="M27" s="1350"/>
      <c r="N27" s="1350"/>
      <c r="O27" s="1350"/>
      <c r="P27" s="1350"/>
      <c r="Q27" s="1350"/>
      <c r="R27" s="1609"/>
      <c r="S27" s="1569"/>
    </row>
    <row r="28" ht="17.25" customHeight="1">
      <c r="B28" s="1587" t="s">
        <v>1339</v>
      </c>
      <c r="C28" s="1588" t="s">
        <v>595</v>
      </c>
      <c r="D28" s="1611" t="s">
        <v>16</v>
      </c>
      <c r="E28" s="1350"/>
      <c r="F28" s="1350"/>
      <c r="G28" s="1350"/>
      <c r="H28" s="1350"/>
      <c r="I28" s="1350"/>
      <c r="J28" s="1350"/>
      <c r="K28" s="1350"/>
      <c r="L28" s="1350"/>
      <c r="M28" s="1350"/>
      <c r="N28" s="1350"/>
      <c r="O28" s="1350"/>
      <c r="P28" s="1350"/>
      <c r="Q28" s="1350"/>
      <c r="R28" s="1609"/>
      <c r="S28" s="1569"/>
    </row>
    <row r="29" ht="17.25" customHeight="1">
      <c r="B29" s="1587" t="s">
        <v>1340</v>
      </c>
      <c r="C29" s="1588" t="s">
        <v>624</v>
      </c>
      <c r="D29" s="1608" t="s">
        <v>25</v>
      </c>
      <c r="E29" s="1350"/>
      <c r="F29" s="1350"/>
      <c r="G29" s="1350"/>
      <c r="H29" s="1350"/>
      <c r="I29" s="1350"/>
      <c r="J29" s="1350"/>
      <c r="K29" s="1350"/>
      <c r="L29" s="1350"/>
      <c r="M29" s="1350"/>
      <c r="N29" s="1350"/>
      <c r="O29" s="1350"/>
      <c r="P29" s="1350"/>
      <c r="Q29" s="1350"/>
      <c r="R29" s="1609"/>
      <c r="S29" s="1569"/>
    </row>
    <row r="30" ht="17.25" customHeight="1">
      <c r="B30" s="1590" t="s">
        <v>1346</v>
      </c>
      <c r="C30" s="1591" t="s">
        <v>741</v>
      </c>
      <c r="D30" s="1616" t="s">
        <v>118</v>
      </c>
      <c r="E30" s="1610" t="s">
        <v>37</v>
      </c>
      <c r="F30" s="1350"/>
      <c r="G30" s="1350"/>
      <c r="H30" s="1350"/>
      <c r="I30" s="1350"/>
      <c r="J30" s="1350"/>
      <c r="K30" s="1350"/>
      <c r="L30" s="1350"/>
      <c r="M30" s="1350"/>
      <c r="N30" s="1350"/>
      <c r="O30" s="1350"/>
      <c r="P30" s="1350"/>
      <c r="Q30" s="1350"/>
      <c r="R30" s="1609"/>
      <c r="S30" s="1569"/>
    </row>
    <row r="31" ht="17.25" customHeight="1">
      <c r="A31" s="504"/>
      <c r="B31" s="1590" t="s">
        <v>1342</v>
      </c>
      <c r="C31" s="1588" t="s">
        <v>593</v>
      </c>
      <c r="D31" s="1611" t="s">
        <v>122</v>
      </c>
      <c r="E31" s="1350"/>
      <c r="F31" s="1350"/>
      <c r="G31" s="1350"/>
      <c r="H31" s="1350"/>
      <c r="I31" s="1350"/>
      <c r="J31" s="1350"/>
      <c r="K31" s="1350"/>
      <c r="L31" s="1350"/>
      <c r="M31" s="1350"/>
      <c r="N31" s="1350"/>
      <c r="O31" s="1350"/>
      <c r="P31" s="1350"/>
      <c r="Q31" s="1350"/>
      <c r="R31" s="1609"/>
      <c r="S31" s="1569"/>
    </row>
    <row r="32" ht="4.5" customHeight="1">
      <c r="A32" s="1604"/>
      <c r="B32" s="1604"/>
      <c r="C32" s="1604"/>
      <c r="D32" s="1617"/>
      <c r="E32" s="1617"/>
      <c r="F32" s="1617"/>
      <c r="G32" s="1617"/>
      <c r="H32" s="1617"/>
      <c r="I32" s="1617"/>
      <c r="J32" s="1617"/>
      <c r="K32" s="1617"/>
      <c r="L32" s="1617"/>
      <c r="M32" s="1617"/>
      <c r="N32" s="1617"/>
      <c r="O32" s="1617"/>
      <c r="P32" s="1604"/>
      <c r="Q32" s="1604"/>
      <c r="R32" s="1605"/>
      <c r="S32" s="1569"/>
    </row>
    <row r="33" ht="30.0" customHeight="1">
      <c r="A33" s="1052"/>
      <c r="B33" s="1052"/>
      <c r="C33" s="1052"/>
      <c r="D33" s="1052"/>
      <c r="E33" s="1052"/>
      <c r="F33" s="1565"/>
      <c r="G33" s="1566"/>
      <c r="H33" s="1367"/>
      <c r="I33" s="1367"/>
      <c r="J33" s="1367"/>
      <c r="K33" s="1367"/>
      <c r="L33" s="1367"/>
      <c r="M33" s="1367"/>
      <c r="N33" s="1367"/>
      <c r="O33" s="1367"/>
      <c r="P33" s="1367"/>
      <c r="Q33" s="1367"/>
      <c r="R33" s="1367"/>
      <c r="S33" s="1567"/>
    </row>
    <row r="34" ht="4.5" customHeight="1">
      <c r="A34" s="1604"/>
      <c r="B34" s="1604"/>
      <c r="C34" s="1604"/>
      <c r="D34" s="1604"/>
      <c r="E34" s="1604"/>
      <c r="F34" s="1604"/>
      <c r="G34" s="1604"/>
      <c r="H34" s="1604"/>
      <c r="I34" s="1604"/>
      <c r="J34" s="1604"/>
      <c r="K34" s="1605"/>
      <c r="L34" s="1367"/>
      <c r="M34" s="1367"/>
      <c r="N34" s="1367"/>
      <c r="O34" s="1367"/>
      <c r="P34" s="1367"/>
      <c r="Q34" s="1367"/>
      <c r="R34" s="1367"/>
      <c r="S34" s="1367"/>
    </row>
    <row r="35" ht="17.25" customHeight="1">
      <c r="A35" s="1618" t="s">
        <v>1347</v>
      </c>
      <c r="B35" s="1619" t="s">
        <v>1348</v>
      </c>
      <c r="C35" s="112"/>
      <c r="D35" s="1572">
        <v>43739.0</v>
      </c>
      <c r="E35" s="112"/>
      <c r="F35" s="112"/>
      <c r="G35" s="20"/>
      <c r="H35" s="1572">
        <v>43770.0</v>
      </c>
      <c r="I35" s="112"/>
      <c r="J35" s="112"/>
      <c r="K35" s="20"/>
      <c r="L35" s="1567"/>
      <c r="M35" s="1567"/>
      <c r="N35" s="1567"/>
      <c r="O35" s="1567"/>
      <c r="P35" s="1567"/>
      <c r="Q35" s="1367"/>
      <c r="R35" s="1367"/>
      <c r="S35" s="1367"/>
    </row>
    <row r="36" ht="17.25" customHeight="1">
      <c r="B36" s="1574" t="str">
        <f>HYPERLINK("https://drive.google.com/file/d/1XoJ5Mf0bC2kiWFm1wkd-iB0gBO-qm9_t/view","[ regeerakkoord Zorgvuldig Verdergaan ]")</f>
        <v>[ regeerakkoord Zorgvuldig Verdergaan ]</v>
      </c>
      <c r="C36" s="1350"/>
      <c r="D36" s="43"/>
      <c r="G36" s="44"/>
      <c r="H36" s="43"/>
      <c r="K36" s="44"/>
      <c r="L36" s="1567"/>
      <c r="M36" s="1567"/>
      <c r="N36" s="1567"/>
      <c r="O36" s="1567"/>
      <c r="P36" s="1567"/>
      <c r="Q36" s="1567"/>
      <c r="R36" s="1567"/>
      <c r="S36" s="1567"/>
    </row>
    <row r="37" ht="4.5" customHeight="1">
      <c r="B37" s="1575"/>
      <c r="C37" s="1576"/>
      <c r="D37" s="26"/>
      <c r="E37" s="504"/>
      <c r="F37" s="504"/>
      <c r="G37" s="27"/>
      <c r="H37" s="26"/>
      <c r="I37" s="504"/>
      <c r="J37" s="504"/>
      <c r="K37" s="27"/>
      <c r="L37" s="1573"/>
      <c r="M37" s="1573"/>
      <c r="N37" s="1573"/>
      <c r="O37" s="1573"/>
      <c r="P37" s="1573"/>
      <c r="Q37" s="1573"/>
      <c r="R37" s="1573"/>
      <c r="S37" s="1573"/>
    </row>
    <row r="38" ht="17.25" customHeight="1">
      <c r="B38" s="1577" t="s">
        <v>1335</v>
      </c>
      <c r="C38" s="1578" t="s">
        <v>559</v>
      </c>
      <c r="D38" s="1367"/>
      <c r="E38" s="1620" t="s">
        <v>16</v>
      </c>
      <c r="F38" s="1621"/>
      <c r="G38" s="1621"/>
      <c r="H38" s="1621"/>
      <c r="I38" s="1621"/>
      <c r="J38" s="1621"/>
      <c r="K38" s="1622"/>
      <c r="L38" s="1573"/>
      <c r="M38" s="1573"/>
      <c r="N38" s="1573"/>
      <c r="O38" s="1573"/>
      <c r="P38" s="1573"/>
      <c r="Q38" s="1573"/>
      <c r="R38" s="1573"/>
      <c r="S38" s="1573"/>
    </row>
    <row r="39" ht="17.25" customHeight="1">
      <c r="B39" s="1581" t="s">
        <v>1336</v>
      </c>
      <c r="C39" s="1348"/>
      <c r="D39" s="1367"/>
      <c r="E39" s="1623" t="s">
        <v>662</v>
      </c>
      <c r="F39" s="1624"/>
      <c r="G39" s="1623" t="s">
        <v>673</v>
      </c>
      <c r="H39" s="1624"/>
      <c r="I39" s="1625" t="s">
        <v>1349</v>
      </c>
      <c r="J39" s="1621"/>
      <c r="K39" s="1622"/>
      <c r="L39" s="1565"/>
      <c r="M39" s="1565"/>
      <c r="N39" s="1565"/>
      <c r="O39" s="1565"/>
      <c r="P39" s="1565"/>
      <c r="Q39" s="1565"/>
      <c r="R39" s="1565"/>
      <c r="S39" s="1565"/>
    </row>
    <row r="40" ht="17.25" customHeight="1">
      <c r="B40" s="1581" t="s">
        <v>1345</v>
      </c>
      <c r="C40" s="1348"/>
      <c r="D40" s="1367"/>
      <c r="E40" s="1626" t="s">
        <v>1350</v>
      </c>
      <c r="F40" s="1627"/>
      <c r="G40" s="1627"/>
      <c r="H40" s="1627"/>
      <c r="I40" s="1627"/>
      <c r="J40" s="1627"/>
      <c r="K40" s="1628"/>
      <c r="L40" s="1565"/>
      <c r="M40" s="1565"/>
      <c r="N40" s="1565"/>
      <c r="O40" s="1565"/>
      <c r="P40" s="1565"/>
      <c r="Q40" s="1565"/>
      <c r="R40" s="1565"/>
      <c r="S40" s="1565"/>
    </row>
    <row r="41" ht="4.5" customHeight="1">
      <c r="B41" s="1612"/>
      <c r="C41" s="1613"/>
      <c r="D41" s="1613"/>
      <c r="E41" s="1613"/>
      <c r="F41" s="1613"/>
      <c r="G41" s="1629"/>
      <c r="H41" s="1629"/>
      <c r="I41" s="1629"/>
      <c r="J41" s="1613"/>
      <c r="K41" s="1615"/>
      <c r="L41" s="1565"/>
      <c r="M41" s="1565"/>
      <c r="N41" s="1565"/>
      <c r="O41" s="1565"/>
      <c r="P41" s="1565"/>
      <c r="Q41" s="1565"/>
      <c r="R41" s="1565"/>
      <c r="S41" s="1565"/>
    </row>
    <row r="42" ht="17.25" customHeight="1">
      <c r="B42" s="1587" t="s">
        <v>1337</v>
      </c>
      <c r="C42" s="1588" t="s">
        <v>723</v>
      </c>
      <c r="D42" s="1367"/>
      <c r="E42" s="1630" t="s">
        <v>617</v>
      </c>
      <c r="F42" s="1624"/>
      <c r="G42" s="1631" t="s">
        <v>523</v>
      </c>
      <c r="H42" s="1632" t="s">
        <v>121</v>
      </c>
      <c r="I42" s="1621"/>
      <c r="J42" s="1621"/>
      <c r="K42" s="1622"/>
      <c r="L42" s="1565"/>
      <c r="M42" s="1565"/>
      <c r="N42" s="1565"/>
      <c r="O42" s="1565"/>
      <c r="P42" s="1565"/>
      <c r="Q42" s="1565"/>
      <c r="R42" s="1565"/>
      <c r="S42" s="1565"/>
    </row>
    <row r="43" ht="17.25" customHeight="1">
      <c r="B43" s="1590" t="s">
        <v>1351</v>
      </c>
      <c r="C43" s="1591" t="s">
        <v>726</v>
      </c>
      <c r="D43" s="1367"/>
      <c r="E43" s="1626" t="s">
        <v>1350</v>
      </c>
      <c r="F43" s="1627"/>
      <c r="G43" s="1627"/>
      <c r="H43" s="1627"/>
      <c r="I43" s="1627"/>
      <c r="J43" s="1627"/>
      <c r="K43" s="1628"/>
      <c r="L43" s="1565"/>
      <c r="M43" s="1565"/>
      <c r="N43" s="1565"/>
      <c r="O43" s="1565"/>
      <c r="P43" s="1565"/>
      <c r="Q43" s="1565"/>
      <c r="R43" s="1565"/>
      <c r="S43" s="1565"/>
    </row>
    <row r="44" ht="17.25" customHeight="1">
      <c r="B44" s="1590" t="s">
        <v>1352</v>
      </c>
      <c r="C44" s="1591" t="s">
        <v>718</v>
      </c>
      <c r="D44" s="1367"/>
      <c r="E44" s="1633" t="s">
        <v>578</v>
      </c>
      <c r="F44" s="1627"/>
      <c r="G44" s="1627"/>
      <c r="H44" s="1634"/>
      <c r="I44" s="1635" t="s">
        <v>1291</v>
      </c>
      <c r="J44" s="1621"/>
      <c r="K44" s="1622"/>
      <c r="L44" s="1565"/>
      <c r="M44" s="1565"/>
      <c r="N44" s="1565"/>
      <c r="O44" s="1565"/>
      <c r="P44" s="1565"/>
      <c r="Q44" s="1565"/>
      <c r="R44" s="1565"/>
      <c r="S44" s="1565"/>
    </row>
    <row r="45" ht="17.25" customHeight="1">
      <c r="B45" s="1587" t="s">
        <v>1353</v>
      </c>
      <c r="C45" s="1588" t="s">
        <v>721</v>
      </c>
      <c r="D45" s="1367"/>
      <c r="E45" s="1626" t="s">
        <v>1354</v>
      </c>
      <c r="F45" s="1627"/>
      <c r="G45" s="1627"/>
      <c r="H45" s="1627"/>
      <c r="I45" s="1627"/>
      <c r="J45" s="1627"/>
      <c r="K45" s="1628"/>
      <c r="L45" s="1565"/>
      <c r="M45" s="1565"/>
      <c r="N45" s="1565"/>
      <c r="O45" s="1565"/>
      <c r="P45" s="1565"/>
      <c r="Q45" s="1565"/>
      <c r="R45" s="1565"/>
      <c r="S45" s="1565"/>
    </row>
    <row r="46" ht="17.25" customHeight="1">
      <c r="B46" s="1587" t="s">
        <v>1341</v>
      </c>
      <c r="C46" s="1588" t="s">
        <v>728</v>
      </c>
      <c r="D46" s="1367"/>
      <c r="E46" s="1636" t="s">
        <v>115</v>
      </c>
      <c r="F46" s="1627"/>
      <c r="G46" s="1627"/>
      <c r="H46" s="1627"/>
      <c r="I46" s="1627"/>
      <c r="J46" s="1627"/>
      <c r="K46" s="1628"/>
      <c r="L46" s="1565"/>
      <c r="M46" s="1565"/>
      <c r="N46" s="1565"/>
      <c r="O46" s="1565"/>
      <c r="P46" s="1565"/>
      <c r="Q46" s="1565"/>
      <c r="R46" s="1565"/>
      <c r="S46" s="1565"/>
    </row>
    <row r="47" ht="17.25" customHeight="1">
      <c r="B47" s="1637" t="s">
        <v>1355</v>
      </c>
      <c r="C47" s="1638" t="s">
        <v>1356</v>
      </c>
      <c r="D47" s="1367"/>
      <c r="E47" s="1636" t="s">
        <v>1357</v>
      </c>
      <c r="F47" s="1627"/>
      <c r="G47" s="1627"/>
      <c r="H47" s="1627"/>
      <c r="I47" s="1627"/>
      <c r="J47" s="1627"/>
      <c r="K47" s="1628"/>
      <c r="L47" s="1565"/>
      <c r="M47" s="1565"/>
      <c r="N47" s="1565"/>
      <c r="O47" s="1565"/>
      <c r="P47" s="1565"/>
      <c r="Q47" s="1565"/>
      <c r="R47" s="1565"/>
      <c r="S47" s="1565"/>
    </row>
    <row r="48" ht="17.25" customHeight="1">
      <c r="B48" s="1590" t="s">
        <v>1358</v>
      </c>
      <c r="C48" s="1591" t="s">
        <v>738</v>
      </c>
      <c r="D48" s="1367"/>
      <c r="E48" s="1636" t="s">
        <v>673</v>
      </c>
      <c r="F48" s="1627"/>
      <c r="G48" s="1627"/>
      <c r="H48" s="1634"/>
      <c r="I48" s="1625" t="s">
        <v>1349</v>
      </c>
      <c r="J48" s="1639"/>
      <c r="K48" s="1640" t="s">
        <v>114</v>
      </c>
      <c r="L48" s="1565"/>
      <c r="M48" s="1565"/>
      <c r="N48" s="1565"/>
      <c r="O48" s="1565"/>
      <c r="P48" s="1565"/>
      <c r="Q48" s="1565"/>
      <c r="R48" s="1565"/>
      <c r="S48" s="1565"/>
    </row>
    <row r="49" ht="17.25" customHeight="1">
      <c r="B49" s="1641" t="s">
        <v>1359</v>
      </c>
      <c r="C49" s="1642" t="s">
        <v>1360</v>
      </c>
      <c r="D49" s="1367"/>
      <c r="E49" s="1636" t="s">
        <v>1361</v>
      </c>
      <c r="F49" s="1627"/>
      <c r="G49" s="1627"/>
      <c r="H49" s="1627"/>
      <c r="I49" s="1627"/>
      <c r="J49" s="1634"/>
      <c r="K49" s="1643" t="s">
        <v>1349</v>
      </c>
      <c r="L49" s="1565"/>
      <c r="M49" s="1565"/>
      <c r="N49" s="1565"/>
      <c r="O49" s="1565"/>
      <c r="P49" s="1565"/>
      <c r="Q49" s="1565"/>
      <c r="R49" s="1565"/>
      <c r="S49" s="1565"/>
    </row>
    <row r="50" ht="17.25" customHeight="1">
      <c r="A50" s="504"/>
      <c r="B50" s="1590" t="s">
        <v>1362</v>
      </c>
      <c r="C50" s="1588" t="s">
        <v>841</v>
      </c>
      <c r="D50" s="1367"/>
      <c r="E50" s="1636" t="s">
        <v>662</v>
      </c>
      <c r="F50" s="1627"/>
      <c r="G50" s="1627"/>
      <c r="H50" s="1627"/>
      <c r="I50" s="1627"/>
      <c r="J50" s="1627"/>
      <c r="K50" s="1643" t="s">
        <v>1349</v>
      </c>
      <c r="L50" s="1565"/>
      <c r="M50" s="1565"/>
      <c r="N50" s="1565"/>
      <c r="O50" s="1565"/>
      <c r="P50" s="1565"/>
      <c r="Q50" s="1565"/>
      <c r="R50" s="1565"/>
      <c r="S50" s="1565"/>
    </row>
    <row r="51" ht="4.5" customHeight="1">
      <c r="A51" s="1604"/>
      <c r="B51" s="1604"/>
      <c r="C51" s="1604"/>
      <c r="D51" s="1604"/>
      <c r="E51" s="1617"/>
      <c r="F51" s="1617"/>
      <c r="G51" s="1617"/>
      <c r="H51" s="1617"/>
      <c r="I51" s="1617"/>
      <c r="J51" s="1617"/>
      <c r="K51" s="1644"/>
      <c r="L51" s="1367"/>
      <c r="M51" s="1367"/>
      <c r="N51" s="1367"/>
      <c r="O51" s="1565"/>
      <c r="P51" s="1565"/>
      <c r="Q51" s="1565"/>
      <c r="R51" s="1565"/>
      <c r="S51" s="1565"/>
    </row>
    <row r="52" ht="30.0" customHeight="1">
      <c r="A52" s="1052"/>
      <c r="B52" s="1052"/>
      <c r="C52" s="1052"/>
      <c r="D52" s="1052"/>
      <c r="E52" s="1052"/>
      <c r="F52" s="1565"/>
      <c r="G52" s="1566"/>
      <c r="H52" s="1565"/>
      <c r="I52" s="1565"/>
      <c r="J52" s="1367"/>
      <c r="K52" s="1367"/>
      <c r="L52" s="1053"/>
      <c r="M52" s="1053"/>
      <c r="N52" s="1053"/>
      <c r="O52" s="1565"/>
      <c r="P52" s="1565"/>
      <c r="Q52" s="1565"/>
      <c r="R52" s="1565"/>
      <c r="S52" s="1565"/>
    </row>
    <row r="53" ht="4.5" customHeight="1">
      <c r="A53" s="1604"/>
      <c r="B53" s="1604"/>
      <c r="C53" s="1604"/>
      <c r="D53" s="1604"/>
      <c r="E53" s="1604"/>
      <c r="F53" s="1604"/>
      <c r="G53" s="1604"/>
      <c r="H53" s="1604"/>
      <c r="I53" s="1604"/>
      <c r="J53" s="1604"/>
      <c r="K53" s="1604"/>
      <c r="L53" s="1604"/>
      <c r="M53" s="1604"/>
      <c r="N53" s="1604"/>
      <c r="O53" s="1605"/>
      <c r="P53" s="1565"/>
      <c r="Q53" s="1565"/>
      <c r="R53" s="1565"/>
      <c r="S53" s="1565"/>
    </row>
    <row r="54" ht="17.25" customHeight="1">
      <c r="A54" s="1645" t="s">
        <v>1363</v>
      </c>
      <c r="B54" s="1646" t="s">
        <v>1364</v>
      </c>
      <c r="C54" s="112"/>
      <c r="D54" s="1572">
        <v>43647.0</v>
      </c>
      <c r="E54" s="112"/>
      <c r="F54" s="112"/>
      <c r="G54" s="20"/>
      <c r="H54" s="1572">
        <v>43678.0</v>
      </c>
      <c r="I54" s="112"/>
      <c r="J54" s="112"/>
      <c r="K54" s="20"/>
      <c r="L54" s="1572">
        <v>43709.0</v>
      </c>
      <c r="M54" s="112"/>
      <c r="N54" s="112"/>
      <c r="O54" s="20"/>
      <c r="P54" s="1565"/>
      <c r="Q54" s="1565"/>
      <c r="R54" s="1565"/>
      <c r="S54" s="1565"/>
    </row>
    <row r="55" ht="17.25" customHeight="1">
      <c r="B55" s="1647" t="str">
        <f>HYPERLINK("https://www.docdroid.net/lto0JxF/regeerakkoord-een-hoefijzercoalitie-door-het-nemen-van-verantwoordelijkheid-als-resultaat-van-een-pragmatisch-overleg.pdf#page=4","[ Regeerakkoord ''Hoefijzercoalitie verantwoordelijkheid nemen'' ]")</f>
        <v>[ Regeerakkoord ''Hoefijzercoalitie verantwoordelijkheid nemen'' ]</v>
      </c>
      <c r="C55" s="1350"/>
      <c r="D55" s="43"/>
      <c r="G55" s="44"/>
      <c r="H55" s="43"/>
      <c r="K55" s="44"/>
      <c r="L55" s="43"/>
      <c r="O55" s="44"/>
      <c r="P55" s="1565"/>
      <c r="Q55" s="1565"/>
      <c r="R55" s="1565"/>
      <c r="S55" s="1565"/>
    </row>
    <row r="56" ht="4.5" customHeight="1">
      <c r="B56" s="1575"/>
      <c r="C56" s="1576"/>
      <c r="D56" s="26"/>
      <c r="E56" s="504"/>
      <c r="F56" s="504"/>
      <c r="G56" s="27"/>
      <c r="H56" s="26"/>
      <c r="I56" s="504"/>
      <c r="J56" s="504"/>
      <c r="K56" s="27"/>
      <c r="L56" s="26"/>
      <c r="M56" s="504"/>
      <c r="N56" s="504"/>
      <c r="O56" s="27"/>
      <c r="P56" s="1565"/>
      <c r="Q56" s="1565"/>
      <c r="R56" s="1565"/>
      <c r="S56" s="1565"/>
    </row>
    <row r="57" ht="17.25" customHeight="1">
      <c r="B57" s="1577" t="s">
        <v>1335</v>
      </c>
      <c r="C57" s="1578" t="s">
        <v>559</v>
      </c>
      <c r="D57" s="1648" t="s">
        <v>32</v>
      </c>
      <c r="E57" s="1621"/>
      <c r="F57" s="1621"/>
      <c r="G57" s="1621"/>
      <c r="H57" s="1621"/>
      <c r="I57" s="1621"/>
      <c r="J57" s="1621"/>
      <c r="K57" s="1621"/>
      <c r="L57" s="1621"/>
      <c r="M57" s="1621"/>
      <c r="N57" s="1621"/>
      <c r="O57" s="1622"/>
      <c r="P57" s="1565"/>
      <c r="Q57" s="1565"/>
      <c r="R57" s="1565"/>
      <c r="S57" s="1565"/>
    </row>
    <row r="58" ht="17.25" customHeight="1">
      <c r="B58" s="1581" t="s">
        <v>1336</v>
      </c>
      <c r="C58" s="1348"/>
      <c r="D58" s="1649" t="s">
        <v>157</v>
      </c>
      <c r="E58" s="1621"/>
      <c r="F58" s="1621"/>
      <c r="G58" s="1621"/>
      <c r="H58" s="1621"/>
      <c r="I58" s="1621"/>
      <c r="J58" s="1621"/>
      <c r="K58" s="1621"/>
      <c r="L58" s="1621"/>
      <c r="M58" s="1621"/>
      <c r="N58" s="1621"/>
      <c r="O58" s="1622"/>
      <c r="P58" s="1565"/>
      <c r="Q58" s="1565"/>
      <c r="R58" s="1565"/>
      <c r="S58" s="1565"/>
    </row>
    <row r="59" ht="17.25" customHeight="1">
      <c r="B59" s="1581" t="s">
        <v>1345</v>
      </c>
      <c r="C59" s="1348"/>
      <c r="D59" s="1650" t="s">
        <v>299</v>
      </c>
      <c r="E59" s="1621"/>
      <c r="F59" s="1621"/>
      <c r="G59" s="1621"/>
      <c r="H59" s="1621"/>
      <c r="I59" s="1621"/>
      <c r="J59" s="1621"/>
      <c r="K59" s="1621"/>
      <c r="L59" s="1621"/>
      <c r="M59" s="1621"/>
      <c r="N59" s="1621"/>
      <c r="O59" s="1622"/>
      <c r="P59" s="1565"/>
      <c r="Q59" s="1565"/>
      <c r="R59" s="1565"/>
      <c r="S59" s="1565"/>
    </row>
    <row r="60" ht="17.25" customHeight="1">
      <c r="B60" s="1581" t="s">
        <v>1365</v>
      </c>
      <c r="C60" s="1348"/>
      <c r="D60" s="1651" t="s">
        <v>118</v>
      </c>
      <c r="E60" s="1652" t="s">
        <v>1349</v>
      </c>
      <c r="O60" s="44"/>
      <c r="P60" s="1565"/>
      <c r="Q60" s="1565"/>
      <c r="R60" s="1565"/>
      <c r="S60" s="1565"/>
    </row>
    <row r="61" ht="4.5" customHeight="1">
      <c r="B61" s="1612"/>
      <c r="C61" s="1613"/>
      <c r="D61" s="1653"/>
      <c r="E61" s="1653"/>
      <c r="F61" s="1653"/>
      <c r="G61" s="1653"/>
      <c r="H61" s="1653"/>
      <c r="I61" s="1653"/>
      <c r="J61" s="1653"/>
      <c r="K61" s="1653"/>
      <c r="L61" s="1653"/>
      <c r="M61" s="1653"/>
      <c r="N61" s="1653"/>
      <c r="O61" s="1654"/>
      <c r="P61" s="1565"/>
      <c r="Q61" s="1565"/>
      <c r="R61" s="1565"/>
      <c r="S61" s="1565"/>
    </row>
    <row r="62" ht="17.25" customHeight="1">
      <c r="B62" s="1655" t="s">
        <v>1366</v>
      </c>
      <c r="C62" s="1656" t="s">
        <v>619</v>
      </c>
      <c r="D62" s="1657" t="s">
        <v>175</v>
      </c>
      <c r="E62" s="1224"/>
      <c r="F62" s="1224"/>
      <c r="G62" s="1224"/>
      <c r="H62" s="1224"/>
      <c r="I62" s="1224"/>
      <c r="J62" s="1224"/>
      <c r="K62" s="1224"/>
      <c r="L62" s="1224"/>
      <c r="M62" s="1224"/>
      <c r="N62" s="1224"/>
      <c r="O62" s="1658"/>
      <c r="P62" s="1565"/>
      <c r="Q62" s="1565"/>
      <c r="R62" s="1565"/>
      <c r="S62" s="1565"/>
    </row>
    <row r="63" ht="17.25" customHeight="1">
      <c r="B63" s="1659" t="s">
        <v>1367</v>
      </c>
      <c r="C63" s="1660" t="s">
        <v>566</v>
      </c>
      <c r="D63" s="1661" t="s">
        <v>157</v>
      </c>
      <c r="O63" s="44"/>
      <c r="P63" s="1565"/>
      <c r="Q63" s="1565"/>
      <c r="R63" s="1565"/>
      <c r="S63" s="1565"/>
    </row>
    <row r="64" ht="17.25" customHeight="1">
      <c r="B64" s="1590" t="s">
        <v>1368</v>
      </c>
      <c r="C64" s="1591" t="s">
        <v>579</v>
      </c>
      <c r="D64" s="1662" t="s">
        <v>650</v>
      </c>
      <c r="N64" s="1661" t="s">
        <v>157</v>
      </c>
      <c r="O64" s="44"/>
      <c r="P64" s="1565"/>
      <c r="Q64" s="1565"/>
      <c r="R64" s="1565"/>
      <c r="S64" s="1565"/>
    </row>
    <row r="65" ht="17.25" customHeight="1">
      <c r="B65" s="1587" t="s">
        <v>1369</v>
      </c>
      <c r="C65" s="1588" t="s">
        <v>1370</v>
      </c>
      <c r="D65" s="1661" t="s">
        <v>578</v>
      </c>
      <c r="O65" s="44"/>
      <c r="P65" s="1565"/>
      <c r="Q65" s="1565"/>
      <c r="R65" s="1565"/>
      <c r="S65" s="1565"/>
    </row>
    <row r="66" ht="17.25" customHeight="1">
      <c r="B66" s="1587" t="s">
        <v>1371</v>
      </c>
      <c r="C66" s="1588" t="s">
        <v>675</v>
      </c>
      <c r="D66" s="1662" t="s">
        <v>16</v>
      </c>
      <c r="O66" s="44"/>
      <c r="P66" s="1565"/>
      <c r="Q66" s="1565"/>
      <c r="R66" s="1565"/>
      <c r="S66" s="1565"/>
    </row>
    <row r="67" ht="17.25" customHeight="1">
      <c r="B67" s="1590" t="s">
        <v>1342</v>
      </c>
      <c r="C67" s="1591" t="s">
        <v>593</v>
      </c>
      <c r="D67" s="1663" t="s">
        <v>299</v>
      </c>
      <c r="O67" s="44"/>
      <c r="P67" s="1565"/>
      <c r="Q67" s="1565"/>
      <c r="R67" s="1565"/>
      <c r="S67" s="1565"/>
    </row>
    <row r="68" ht="17.25" customHeight="1">
      <c r="B68" s="1590" t="s">
        <v>1340</v>
      </c>
      <c r="C68" s="1588" t="s">
        <v>624</v>
      </c>
      <c r="D68" s="1663" t="s">
        <v>154</v>
      </c>
      <c r="O68" s="44"/>
      <c r="P68" s="1565"/>
      <c r="Q68" s="1565"/>
      <c r="R68" s="1565"/>
      <c r="S68" s="1565"/>
    </row>
    <row r="69" ht="17.25" customHeight="1">
      <c r="B69" s="1664" t="s">
        <v>1372</v>
      </c>
      <c r="C69" s="1665" t="s">
        <v>622</v>
      </c>
      <c r="D69" s="1651" t="s">
        <v>118</v>
      </c>
      <c r="E69" s="1662" t="s">
        <v>662</v>
      </c>
      <c r="L69" s="1666" t="s">
        <v>148</v>
      </c>
      <c r="O69" s="44"/>
      <c r="P69" s="1565"/>
      <c r="Q69" s="1565"/>
      <c r="R69" s="1565"/>
      <c r="S69" s="1565"/>
    </row>
    <row r="70" ht="17.25" customHeight="1">
      <c r="A70" s="504"/>
      <c r="B70" s="1667" t="s">
        <v>1373</v>
      </c>
      <c r="C70" s="184"/>
      <c r="D70" s="1668" t="s">
        <v>1349</v>
      </c>
      <c r="E70" s="1621"/>
      <c r="F70" s="1621"/>
      <c r="G70" s="1639"/>
      <c r="H70" s="1669" t="s">
        <v>118</v>
      </c>
      <c r="I70" s="1621"/>
      <c r="J70" s="1621"/>
      <c r="K70" s="1621"/>
      <c r="L70" s="1621"/>
      <c r="M70" s="1621"/>
      <c r="N70" s="1621"/>
      <c r="O70" s="1622"/>
      <c r="P70" s="1565"/>
      <c r="Q70" s="1565"/>
      <c r="R70" s="1565"/>
      <c r="S70" s="1565"/>
    </row>
    <row r="71" ht="4.5" customHeight="1">
      <c r="A71" s="1604"/>
      <c r="B71" s="1604"/>
      <c r="C71" s="1604"/>
      <c r="D71" s="1604"/>
      <c r="E71" s="1604"/>
      <c r="F71" s="1604"/>
      <c r="G71" s="1604"/>
      <c r="H71" s="1604"/>
      <c r="I71" s="1604"/>
      <c r="J71" s="1604"/>
      <c r="K71" s="1604"/>
      <c r="L71" s="1604"/>
      <c r="M71" s="1604"/>
      <c r="N71" s="1604"/>
      <c r="O71" s="1605"/>
      <c r="P71" s="1565"/>
      <c r="Q71" s="1565"/>
      <c r="R71" s="1565"/>
      <c r="S71" s="1565"/>
    </row>
    <row r="72" ht="30.0" customHeight="1">
      <c r="A72" s="1052"/>
      <c r="B72" s="1052"/>
      <c r="C72" s="1052"/>
      <c r="D72" s="1052"/>
      <c r="E72" s="1052"/>
      <c r="F72" s="1565"/>
      <c r="G72" s="1566"/>
      <c r="H72" s="1566"/>
      <c r="I72" s="1364"/>
      <c r="J72" s="1364"/>
      <c r="K72" s="1364"/>
      <c r="L72" s="1053"/>
      <c r="M72" s="1052"/>
      <c r="N72" s="1052"/>
      <c r="O72" s="1052"/>
      <c r="P72" s="1565"/>
      <c r="Q72" s="1565"/>
      <c r="R72" s="1565"/>
      <c r="S72" s="1565"/>
    </row>
    <row r="73" ht="4.5" customHeight="1">
      <c r="A73" s="1604"/>
      <c r="B73" s="1604"/>
      <c r="C73" s="1604"/>
      <c r="D73" s="1604"/>
      <c r="E73" s="1604"/>
      <c r="F73" s="1604"/>
      <c r="G73" s="1604"/>
      <c r="H73" s="1604"/>
      <c r="I73" s="1604"/>
      <c r="J73" s="1604"/>
      <c r="K73" s="1605"/>
      <c r="L73" s="1367"/>
      <c r="M73" s="1053"/>
      <c r="N73" s="1053"/>
      <c r="O73" s="1053"/>
      <c r="P73" s="1565"/>
      <c r="Q73" s="1565"/>
      <c r="R73" s="1565"/>
      <c r="S73" s="1565"/>
    </row>
    <row r="74" ht="17.25" customHeight="1">
      <c r="A74" s="1670" t="s">
        <v>1374</v>
      </c>
      <c r="B74" s="1671" t="s">
        <v>1375</v>
      </c>
      <c r="C74" s="112"/>
      <c r="D74" s="1672">
        <v>43586.0</v>
      </c>
      <c r="E74" s="112"/>
      <c r="F74" s="112"/>
      <c r="G74" s="20"/>
      <c r="H74" s="1572">
        <v>43617.0</v>
      </c>
      <c r="I74" s="112"/>
      <c r="J74" s="112"/>
      <c r="K74" s="20"/>
      <c r="L74" s="1673"/>
      <c r="M74" s="1673"/>
      <c r="N74" s="1673"/>
      <c r="O74" s="1673"/>
      <c r="P74" s="1565"/>
      <c r="Q74" s="1565"/>
      <c r="R74" s="1565"/>
      <c r="S74" s="1565"/>
    </row>
    <row r="75" ht="17.25" customHeight="1">
      <c r="B75" s="1674" t="str">
        <f>HYPERLINK("https://drive.google.com/file/d/1n8_AYjgrevaz-ux03bmGrXO4LeJqBDL4/view","[ Regeerakkoord ''Vertrouwen in de toekomst'' ]")</f>
        <v>[ Regeerakkoord ''Vertrouwen in de toekomst'' ]</v>
      </c>
      <c r="C75" s="1350"/>
      <c r="D75" s="43"/>
      <c r="G75" s="44"/>
      <c r="H75" s="43"/>
      <c r="K75" s="44"/>
      <c r="L75" s="1565"/>
      <c r="M75" s="1565"/>
      <c r="N75" s="1565"/>
      <c r="O75" s="1565"/>
      <c r="P75" s="1565"/>
      <c r="Q75" s="1565"/>
      <c r="R75" s="1565"/>
      <c r="S75" s="1565"/>
    </row>
    <row r="76" ht="4.5" customHeight="1">
      <c r="B76" s="1612"/>
      <c r="C76" s="1675"/>
      <c r="D76" s="26"/>
      <c r="E76" s="504"/>
      <c r="F76" s="504"/>
      <c r="G76" s="27"/>
      <c r="H76" s="26"/>
      <c r="I76" s="504"/>
      <c r="J76" s="504"/>
      <c r="K76" s="27"/>
      <c r="L76" s="1565"/>
      <c r="M76" s="1565"/>
      <c r="N76" s="1565"/>
      <c r="O76" s="1565"/>
      <c r="P76" s="1565"/>
      <c r="Q76" s="1565"/>
      <c r="R76" s="1565"/>
      <c r="S76" s="1565"/>
    </row>
    <row r="77" ht="17.25" customHeight="1">
      <c r="B77" s="1676" t="s">
        <v>1335</v>
      </c>
      <c r="C77" s="1677" t="s">
        <v>559</v>
      </c>
      <c r="D77" s="1661" t="s">
        <v>122</v>
      </c>
      <c r="K77" s="44"/>
      <c r="L77" s="1565"/>
      <c r="M77" s="1565"/>
      <c r="N77" s="1565"/>
      <c r="O77" s="1565"/>
      <c r="P77" s="1565"/>
      <c r="Q77" s="1565"/>
      <c r="R77" s="1565"/>
      <c r="S77" s="1565"/>
    </row>
    <row r="78" ht="17.25" customHeight="1">
      <c r="B78" s="1678" t="s">
        <v>1376</v>
      </c>
      <c r="C78" s="110"/>
      <c r="D78" s="1679" t="s">
        <v>617</v>
      </c>
      <c r="K78" s="44"/>
      <c r="L78" s="1565"/>
      <c r="M78" s="1565"/>
      <c r="N78" s="1565"/>
      <c r="O78" s="1565"/>
      <c r="P78" s="1565"/>
      <c r="Q78" s="1565"/>
      <c r="R78" s="1565"/>
      <c r="S78" s="1565"/>
    </row>
    <row r="79" ht="4.5" customHeight="1">
      <c r="B79" s="1680"/>
      <c r="C79" s="1681"/>
      <c r="D79" s="1682"/>
      <c r="E79" s="1350"/>
      <c r="F79" s="1350"/>
      <c r="G79" s="1350"/>
      <c r="H79" s="1350"/>
      <c r="I79" s="1350"/>
      <c r="J79" s="1350"/>
      <c r="K79" s="1609"/>
      <c r="L79" s="1565"/>
      <c r="M79" s="1565"/>
      <c r="N79" s="1565"/>
      <c r="O79" s="1565"/>
      <c r="P79" s="1565"/>
      <c r="Q79" s="1565"/>
      <c r="R79" s="1565"/>
      <c r="S79" s="1565"/>
    </row>
    <row r="80" ht="17.25" customHeight="1">
      <c r="B80" s="1659" t="s">
        <v>1366</v>
      </c>
      <c r="C80" s="1683" t="s">
        <v>619</v>
      </c>
      <c r="D80" s="1684" t="s">
        <v>631</v>
      </c>
      <c r="E80" s="1224"/>
      <c r="F80" s="1224"/>
      <c r="G80" s="1224"/>
      <c r="H80" s="1224"/>
      <c r="I80" s="1224"/>
      <c r="J80" s="1224"/>
      <c r="K80" s="1658"/>
      <c r="L80" s="1565"/>
      <c r="M80" s="1565"/>
      <c r="N80" s="1565"/>
      <c r="O80" s="1565"/>
      <c r="P80" s="1565"/>
      <c r="Q80" s="1565"/>
      <c r="R80" s="1565"/>
      <c r="S80" s="1565"/>
    </row>
    <row r="81" ht="17.25" customHeight="1">
      <c r="B81" s="1685" t="s">
        <v>1367</v>
      </c>
      <c r="C81" s="1686" t="s">
        <v>566</v>
      </c>
      <c r="D81" s="1661" t="s">
        <v>157</v>
      </c>
      <c r="K81" s="44"/>
      <c r="L81" s="1565"/>
      <c r="M81" s="1565"/>
      <c r="N81" s="1565"/>
      <c r="O81" s="1565"/>
      <c r="P81" s="1565"/>
      <c r="Q81" s="1565"/>
      <c r="R81" s="1565"/>
      <c r="S81" s="1565"/>
    </row>
    <row r="82" ht="17.25" customHeight="1">
      <c r="B82" s="1659" t="s">
        <v>1377</v>
      </c>
      <c r="C82" s="1683" t="s">
        <v>595</v>
      </c>
      <c r="D82" s="1687" t="s">
        <v>153</v>
      </c>
      <c r="K82" s="44"/>
      <c r="L82" s="1565"/>
      <c r="M82" s="1565"/>
      <c r="N82" s="1565"/>
      <c r="O82" s="1565"/>
      <c r="P82" s="1565"/>
      <c r="Q82" s="1565"/>
      <c r="R82" s="1565"/>
      <c r="S82" s="1565"/>
    </row>
    <row r="83" ht="17.25" customHeight="1">
      <c r="B83" s="1590" t="s">
        <v>1378</v>
      </c>
      <c r="C83" s="1683" t="s">
        <v>644</v>
      </c>
      <c r="D83" s="1661" t="s">
        <v>152</v>
      </c>
      <c r="H83" s="1688" t="s">
        <v>578</v>
      </c>
      <c r="K83" s="44"/>
      <c r="L83" s="1565"/>
      <c r="M83" s="1565"/>
      <c r="N83" s="1565"/>
      <c r="O83" s="1565"/>
      <c r="P83" s="1565"/>
      <c r="Q83" s="1565"/>
      <c r="R83" s="1565"/>
      <c r="S83" s="1565"/>
    </row>
    <row r="84" ht="17.25" customHeight="1">
      <c r="B84" s="1685" t="s">
        <v>1379</v>
      </c>
      <c r="C84" s="1686" t="s">
        <v>611</v>
      </c>
      <c r="D84" s="1687" t="s">
        <v>617</v>
      </c>
      <c r="K84" s="44"/>
      <c r="L84" s="1565"/>
      <c r="M84" s="1565"/>
      <c r="N84" s="1565"/>
      <c r="O84" s="1565"/>
      <c r="P84" s="1565"/>
      <c r="Q84" s="1565"/>
      <c r="R84" s="1565"/>
      <c r="S84" s="1565"/>
    </row>
    <row r="85" ht="17.25" customHeight="1">
      <c r="B85" s="1685" t="s">
        <v>1342</v>
      </c>
      <c r="C85" s="1689" t="s">
        <v>593</v>
      </c>
      <c r="D85" s="1661" t="s">
        <v>397</v>
      </c>
      <c r="H85" s="1688" t="s">
        <v>1269</v>
      </c>
      <c r="K85" s="44"/>
      <c r="L85" s="1565"/>
      <c r="M85" s="1565"/>
      <c r="N85" s="1565"/>
      <c r="O85" s="1565"/>
      <c r="P85" s="1565"/>
      <c r="Q85" s="1565"/>
      <c r="R85" s="1565"/>
      <c r="S85" s="1565"/>
    </row>
    <row r="86" ht="17.25" customHeight="1">
      <c r="A86" s="504"/>
      <c r="B86" s="1590" t="s">
        <v>1340</v>
      </c>
      <c r="C86" s="921" t="s">
        <v>624</v>
      </c>
      <c r="D86" s="1690" t="s">
        <v>629</v>
      </c>
      <c r="E86" s="1621"/>
      <c r="F86" s="1621"/>
      <c r="G86" s="1621"/>
      <c r="H86" s="1621"/>
      <c r="I86" s="1621"/>
      <c r="J86" s="1621"/>
      <c r="K86" s="1622"/>
      <c r="L86" s="1565"/>
      <c r="M86" s="1565"/>
      <c r="N86" s="1565"/>
      <c r="O86" s="1565"/>
      <c r="P86" s="1565"/>
      <c r="Q86" s="1565"/>
      <c r="R86" s="1565"/>
      <c r="S86" s="1565"/>
    </row>
    <row r="87" ht="4.5" customHeight="1">
      <c r="A87" s="1604"/>
      <c r="B87" s="1604"/>
      <c r="C87" s="1604"/>
      <c r="D87" s="1604"/>
      <c r="E87" s="16"/>
      <c r="F87" s="16"/>
      <c r="G87" s="16"/>
      <c r="H87" s="16"/>
      <c r="I87" s="16"/>
      <c r="J87" s="16"/>
      <c r="K87" s="17"/>
      <c r="L87" s="1367"/>
      <c r="M87" s="1053"/>
      <c r="N87" s="1053"/>
      <c r="O87" s="1053"/>
      <c r="P87" s="1565"/>
      <c r="Q87" s="1565"/>
      <c r="R87" s="1565"/>
      <c r="S87" s="1565"/>
    </row>
    <row r="88" ht="30.0" customHeight="1">
      <c r="A88" s="1052"/>
      <c r="B88" s="1052"/>
      <c r="C88" s="1052"/>
      <c r="D88" s="1052"/>
      <c r="E88" s="1052"/>
      <c r="F88" s="1565"/>
      <c r="G88" s="1565"/>
      <c r="H88" s="1565"/>
      <c r="I88" s="1367"/>
      <c r="J88" s="1367"/>
      <c r="K88" s="1367"/>
      <c r="L88" s="1053"/>
      <c r="M88" s="1053"/>
      <c r="N88" s="1053"/>
      <c r="O88" s="1053"/>
      <c r="P88" s="1565"/>
      <c r="Q88" s="1565"/>
      <c r="R88" s="1565"/>
      <c r="S88" s="1565"/>
    </row>
    <row r="89" ht="4.5" customHeight="1">
      <c r="A89" s="1604"/>
      <c r="B89" s="1604"/>
      <c r="C89" s="1604"/>
      <c r="D89" s="1604"/>
      <c r="E89" s="1604"/>
      <c r="F89" s="1604"/>
      <c r="G89" s="1605"/>
      <c r="H89" s="1367"/>
      <c r="I89" s="1367"/>
      <c r="J89" s="1367"/>
      <c r="K89" s="1367"/>
      <c r="L89" s="1367"/>
      <c r="M89" s="1053"/>
      <c r="N89" s="1053"/>
      <c r="O89" s="1053"/>
      <c r="P89" s="1565"/>
      <c r="Q89" s="1565"/>
      <c r="R89" s="1565"/>
      <c r="S89" s="1565"/>
    </row>
    <row r="90" ht="17.25" customHeight="1">
      <c r="A90" s="1670" t="s">
        <v>1380</v>
      </c>
      <c r="B90" s="1691" t="s">
        <v>1381</v>
      </c>
      <c r="C90" s="112"/>
      <c r="D90" s="1672">
        <v>43556.0</v>
      </c>
      <c r="E90" s="112"/>
      <c r="F90" s="112"/>
      <c r="G90" s="20"/>
      <c r="H90" s="1367"/>
      <c r="I90" s="1367"/>
      <c r="J90" s="1367"/>
      <c r="K90" s="1367"/>
      <c r="L90" s="1053"/>
      <c r="M90" s="1053"/>
      <c r="N90" s="1053"/>
      <c r="O90" s="1053"/>
      <c r="P90" s="1565"/>
      <c r="Q90" s="1565"/>
      <c r="R90" s="1565"/>
      <c r="S90" s="1565"/>
    </row>
    <row r="91" ht="17.25" customHeight="1">
      <c r="B91" s="1692" t="str">
        <f>HYPERLINK("https://docs.google.com/document/d/161FlQjLSZoI3HEgM6Jm34Bgi9ODB8a_gTIDKwVJunOI/edit","[ Regeerakkoord ''Bruggen Bouwen'' ]")</f>
        <v>[ Regeerakkoord ''Bruggen Bouwen'' ]</v>
      </c>
      <c r="C91" s="1224"/>
      <c r="D91" s="43"/>
      <c r="G91" s="44"/>
      <c r="H91" s="1367"/>
      <c r="I91" s="1367"/>
      <c r="J91" s="1367"/>
      <c r="K91" s="1367"/>
      <c r="L91" s="1053"/>
      <c r="M91" s="1053"/>
      <c r="N91" s="1053"/>
      <c r="O91" s="1053"/>
      <c r="P91" s="1565"/>
      <c r="Q91" s="1565"/>
      <c r="R91" s="1565"/>
      <c r="S91" s="1565"/>
    </row>
    <row r="92" ht="4.5" customHeight="1">
      <c r="B92" s="1680"/>
      <c r="C92" s="1681"/>
      <c r="D92" s="26"/>
      <c r="E92" s="504"/>
      <c r="F92" s="504"/>
      <c r="G92" s="27"/>
      <c r="H92" s="1367"/>
      <c r="I92" s="1367"/>
      <c r="J92" s="1367"/>
      <c r="K92" s="1367"/>
      <c r="L92" s="1053"/>
      <c r="M92" s="1053"/>
      <c r="N92" s="1053"/>
      <c r="O92" s="1053"/>
      <c r="P92" s="1565"/>
      <c r="Q92" s="1565"/>
      <c r="R92" s="1565"/>
      <c r="S92" s="1565"/>
    </row>
    <row r="93" ht="17.25" customHeight="1">
      <c r="B93" s="1693" t="s">
        <v>1335</v>
      </c>
      <c r="C93" s="1694" t="s">
        <v>559</v>
      </c>
      <c r="D93" s="1661" t="s">
        <v>157</v>
      </c>
      <c r="G93" s="44"/>
      <c r="H93" s="1367"/>
      <c r="I93" s="1053"/>
      <c r="J93" s="1053"/>
      <c r="K93" s="1053"/>
      <c r="L93" s="1053"/>
      <c r="M93" s="1053"/>
      <c r="N93" s="1053"/>
      <c r="O93" s="1053"/>
      <c r="P93" s="1565"/>
      <c r="Q93" s="1565"/>
      <c r="R93" s="1565"/>
      <c r="S93" s="1565"/>
    </row>
    <row r="94" ht="17.25" customHeight="1">
      <c r="B94" s="1581" t="s">
        <v>1376</v>
      </c>
      <c r="C94" s="1348"/>
      <c r="D94" s="1695" t="s">
        <v>16</v>
      </c>
      <c r="G94" s="44"/>
      <c r="H94" s="1367"/>
      <c r="I94" s="1053"/>
      <c r="J94" s="1053"/>
      <c r="K94" s="1053"/>
      <c r="L94" s="1053"/>
      <c r="M94" s="1053"/>
      <c r="N94" s="1053"/>
      <c r="O94" s="1053"/>
      <c r="P94" s="1565"/>
      <c r="Q94" s="1565"/>
      <c r="R94" s="1565"/>
      <c r="S94" s="1565"/>
    </row>
    <row r="95" ht="4.5" customHeight="1">
      <c r="B95" s="1680"/>
      <c r="C95" s="1681"/>
      <c r="D95" s="1681"/>
      <c r="E95" s="1350"/>
      <c r="F95" s="1350"/>
      <c r="G95" s="1609"/>
      <c r="H95" s="1367"/>
      <c r="I95" s="1053"/>
      <c r="J95" s="1053"/>
      <c r="K95" s="1053"/>
      <c r="L95" s="1053"/>
      <c r="M95" s="1053"/>
      <c r="N95" s="1053"/>
      <c r="O95" s="1053"/>
      <c r="P95" s="1565"/>
      <c r="Q95" s="1565"/>
      <c r="R95" s="1565"/>
      <c r="S95" s="1565"/>
    </row>
    <row r="96" ht="17.25" customHeight="1">
      <c r="B96" s="1685" t="s">
        <v>1366</v>
      </c>
      <c r="C96" s="1686" t="s">
        <v>619</v>
      </c>
      <c r="D96" s="1695" t="s">
        <v>16</v>
      </c>
      <c r="G96" s="44"/>
      <c r="H96" s="1367"/>
      <c r="I96" s="1053"/>
      <c r="J96" s="1053"/>
      <c r="K96" s="1053"/>
      <c r="L96" s="1053"/>
      <c r="M96" s="1053"/>
      <c r="N96" s="1053"/>
      <c r="O96" s="1053"/>
      <c r="P96" s="1565"/>
      <c r="Q96" s="1565"/>
      <c r="R96" s="1565"/>
      <c r="S96" s="1565"/>
    </row>
    <row r="97" ht="17.25" customHeight="1">
      <c r="B97" s="1685" t="s">
        <v>1382</v>
      </c>
      <c r="C97" s="1686" t="s">
        <v>644</v>
      </c>
      <c r="D97" s="1661" t="s">
        <v>152</v>
      </c>
      <c r="G97" s="44"/>
      <c r="H97" s="1367"/>
      <c r="I97" s="1053"/>
      <c r="J97" s="1053"/>
      <c r="K97" s="1053"/>
      <c r="L97" s="1053"/>
      <c r="M97" s="1053"/>
      <c r="N97" s="1053"/>
      <c r="O97" s="1053"/>
      <c r="P97" s="1565"/>
      <c r="Q97" s="1565"/>
      <c r="R97" s="1565"/>
      <c r="S97" s="1565"/>
    </row>
    <row r="98" ht="17.25" customHeight="1">
      <c r="B98" s="1685" t="s">
        <v>1377</v>
      </c>
      <c r="C98" s="1686" t="s">
        <v>595</v>
      </c>
      <c r="D98" s="1695" t="s">
        <v>650</v>
      </c>
      <c r="G98" s="44"/>
      <c r="H98" s="1367"/>
      <c r="I98" s="1053"/>
      <c r="J98" s="1053"/>
      <c r="K98" s="1053"/>
      <c r="L98" s="1053"/>
      <c r="M98" s="1053"/>
      <c r="N98" s="1053"/>
      <c r="O98" s="1053"/>
      <c r="P98" s="1565"/>
      <c r="Q98" s="1565"/>
      <c r="R98" s="1565"/>
      <c r="S98" s="1565"/>
    </row>
    <row r="99" ht="17.25" customHeight="1">
      <c r="B99" s="1685" t="s">
        <v>1367</v>
      </c>
      <c r="C99" s="1686" t="s">
        <v>566</v>
      </c>
      <c r="D99" s="1695" t="s">
        <v>148</v>
      </c>
      <c r="G99" s="44"/>
      <c r="H99" s="1367"/>
      <c r="I99" s="1053"/>
      <c r="J99" s="1053"/>
      <c r="K99" s="1053"/>
      <c r="L99" s="1053"/>
      <c r="M99" s="1053"/>
      <c r="N99" s="1053"/>
      <c r="O99" s="1053"/>
      <c r="P99" s="1565"/>
      <c r="Q99" s="1565"/>
      <c r="R99" s="1565"/>
      <c r="S99" s="1565"/>
    </row>
    <row r="100" ht="17.25" customHeight="1">
      <c r="B100" s="1685" t="s">
        <v>1383</v>
      </c>
      <c r="C100" s="1686" t="s">
        <v>624</v>
      </c>
      <c r="D100" s="1661" t="s">
        <v>397</v>
      </c>
      <c r="G100" s="44"/>
      <c r="H100" s="1367"/>
      <c r="I100" s="1053"/>
      <c r="J100" s="1053"/>
      <c r="K100" s="1053"/>
      <c r="L100" s="1053"/>
      <c r="M100" s="1053"/>
      <c r="N100" s="1053"/>
      <c r="O100" s="1053"/>
      <c r="P100" s="1565"/>
      <c r="Q100" s="1565"/>
      <c r="R100" s="1565"/>
      <c r="S100" s="1565"/>
    </row>
    <row r="101" ht="17.25" customHeight="1">
      <c r="B101" s="1685" t="s">
        <v>1384</v>
      </c>
      <c r="C101" s="1686" t="s">
        <v>622</v>
      </c>
      <c r="D101" s="1695" t="s">
        <v>175</v>
      </c>
      <c r="G101" s="44"/>
      <c r="H101" s="1367"/>
      <c r="I101" s="1053"/>
      <c r="J101" s="1053"/>
      <c r="K101" s="1053"/>
      <c r="L101" s="1053"/>
      <c r="M101" s="1053"/>
      <c r="N101" s="1053"/>
      <c r="O101" s="1053"/>
      <c r="P101" s="1565"/>
      <c r="Q101" s="1565"/>
      <c r="R101" s="1565"/>
      <c r="S101" s="1565"/>
    </row>
    <row r="102" ht="17.25" customHeight="1">
      <c r="B102" s="1696" t="s">
        <v>1342</v>
      </c>
      <c r="C102" s="1697" t="s">
        <v>593</v>
      </c>
      <c r="D102" s="1661" t="s">
        <v>122</v>
      </c>
      <c r="G102" s="44"/>
      <c r="H102" s="1367"/>
      <c r="I102" s="1053"/>
      <c r="J102" s="1053"/>
      <c r="K102" s="1053"/>
      <c r="L102" s="1053"/>
      <c r="M102" s="1053"/>
      <c r="N102" s="1053"/>
      <c r="O102" s="1053"/>
      <c r="P102" s="1565"/>
      <c r="Q102" s="1565"/>
      <c r="R102" s="1565"/>
      <c r="S102" s="1565"/>
    </row>
    <row r="103" ht="4.5" customHeight="1">
      <c r="A103" s="1604"/>
      <c r="B103" s="1604"/>
      <c r="C103" s="1604"/>
      <c r="D103" s="1604"/>
      <c r="E103" s="1604"/>
      <c r="F103" s="1604"/>
      <c r="G103" s="1605"/>
      <c r="H103" s="1053"/>
      <c r="I103" s="1053"/>
      <c r="J103" s="1053"/>
      <c r="K103" s="1053"/>
      <c r="L103" s="1053"/>
      <c r="M103" s="1053"/>
      <c r="N103" s="1053"/>
      <c r="O103" s="1053"/>
      <c r="P103" s="1565"/>
      <c r="Q103" s="1565"/>
      <c r="R103" s="1565"/>
      <c r="S103" s="1565"/>
    </row>
    <row r="104" ht="30.0" customHeight="1">
      <c r="A104" s="1052"/>
      <c r="B104" s="1052"/>
      <c r="C104" s="1052"/>
      <c r="D104" s="1052"/>
      <c r="E104" s="1052"/>
      <c r="F104" s="1052"/>
      <c r="G104" s="1052"/>
      <c r="H104" s="1053"/>
      <c r="I104" s="1053"/>
      <c r="J104" s="1053"/>
      <c r="K104" s="1053"/>
      <c r="L104" s="1053"/>
      <c r="M104" s="1053"/>
      <c r="N104" s="1053"/>
      <c r="O104" s="1053"/>
      <c r="P104" s="1565"/>
      <c r="Q104" s="1565"/>
      <c r="R104" s="1565"/>
      <c r="S104" s="1565"/>
    </row>
    <row r="105" ht="4.5" customHeight="1">
      <c r="A105" s="1604"/>
      <c r="B105" s="1604"/>
      <c r="C105" s="1604"/>
      <c r="D105" s="1604"/>
      <c r="E105" s="1604"/>
      <c r="F105" s="1604"/>
      <c r="G105" s="1604"/>
      <c r="H105" s="1604"/>
      <c r="I105" s="1604"/>
      <c r="J105" s="1604"/>
      <c r="K105" s="1605"/>
      <c r="L105" s="1367"/>
      <c r="M105" s="1053"/>
      <c r="N105" s="1053"/>
      <c r="O105" s="1053"/>
      <c r="P105" s="1565"/>
      <c r="Q105" s="1565"/>
      <c r="R105" s="1565"/>
      <c r="S105" s="1565"/>
    </row>
    <row r="106" ht="17.25" customHeight="1">
      <c r="A106" s="1670" t="s">
        <v>1385</v>
      </c>
      <c r="B106" s="1691" t="s">
        <v>1386</v>
      </c>
      <c r="C106" s="112"/>
      <c r="D106" s="1672">
        <v>43497.0</v>
      </c>
      <c r="E106" s="112"/>
      <c r="F106" s="112"/>
      <c r="G106" s="20"/>
      <c r="H106" s="1672">
        <v>43525.0</v>
      </c>
      <c r="I106" s="112"/>
      <c r="J106" s="112"/>
      <c r="K106" s="20"/>
      <c r="L106" s="1053"/>
      <c r="M106" s="1053"/>
      <c r="N106" s="1053"/>
      <c r="O106" s="1053"/>
      <c r="P106" s="1565"/>
      <c r="Q106" s="1565"/>
      <c r="R106" s="1565"/>
      <c r="S106" s="1565"/>
    </row>
    <row r="107" ht="17.25" customHeight="1">
      <c r="B107" s="1692" t="str">
        <f>HYPERLINK("https://indd.adobe.com/view/b2740397-5e2b-4714-8162-fbc0e8295eaa","[ Regeerakkoord “Een nieuwe Morgen” ]")</f>
        <v>[ Regeerakkoord “Een nieuwe Morgen” ]</v>
      </c>
      <c r="C107" s="1224"/>
      <c r="D107" s="43"/>
      <c r="G107" s="44"/>
      <c r="H107" s="43"/>
      <c r="K107" s="44"/>
      <c r="L107" s="1053"/>
      <c r="M107" s="1053"/>
      <c r="N107" s="1053"/>
      <c r="O107" s="1053"/>
      <c r="P107" s="1565"/>
      <c r="Q107" s="1565"/>
      <c r="R107" s="1565"/>
      <c r="S107" s="1565"/>
    </row>
    <row r="108" ht="4.5" customHeight="1">
      <c r="B108" s="1680"/>
      <c r="C108" s="1681"/>
      <c r="D108" s="26"/>
      <c r="E108" s="504"/>
      <c r="F108" s="504"/>
      <c r="G108" s="27"/>
      <c r="H108" s="26"/>
      <c r="I108" s="504"/>
      <c r="J108" s="504"/>
      <c r="K108" s="27"/>
      <c r="L108" s="1053"/>
      <c r="M108" s="1053"/>
      <c r="N108" s="1053"/>
      <c r="O108" s="1053"/>
      <c r="P108" s="1565"/>
      <c r="Q108" s="1565"/>
      <c r="R108" s="1565"/>
      <c r="S108" s="1565"/>
    </row>
    <row r="109" ht="17.25" customHeight="1">
      <c r="B109" s="1693" t="s">
        <v>1335</v>
      </c>
      <c r="C109" s="1694" t="s">
        <v>559</v>
      </c>
      <c r="D109" s="1661" t="s">
        <v>157</v>
      </c>
      <c r="K109" s="44"/>
      <c r="L109" s="1367"/>
      <c r="M109" s="1053"/>
      <c r="N109" s="1053"/>
      <c r="O109" s="1053"/>
      <c r="P109" s="1565"/>
      <c r="Q109" s="1565"/>
      <c r="R109" s="1565"/>
      <c r="S109" s="1565"/>
    </row>
    <row r="110" ht="17.25" customHeight="1">
      <c r="B110" s="1581" t="s">
        <v>1336</v>
      </c>
      <c r="C110" s="1348"/>
      <c r="D110" s="1434" t="s">
        <v>501</v>
      </c>
      <c r="K110" s="44"/>
      <c r="L110" s="1367"/>
      <c r="M110" s="1053"/>
      <c r="N110" s="1053"/>
      <c r="O110" s="1053"/>
      <c r="P110" s="1565"/>
      <c r="Q110" s="1565"/>
      <c r="R110" s="1565"/>
      <c r="S110" s="1565"/>
    </row>
    <row r="111" ht="17.25" customHeight="1">
      <c r="B111" s="1581" t="s">
        <v>1345</v>
      </c>
      <c r="C111" s="1348"/>
      <c r="D111" s="1698" t="s">
        <v>503</v>
      </c>
      <c r="F111" s="1699" t="s">
        <v>617</v>
      </c>
      <c r="K111" s="44"/>
      <c r="L111" s="1367"/>
      <c r="M111" s="1053"/>
      <c r="N111" s="1053"/>
      <c r="O111" s="1053"/>
      <c r="P111" s="1565"/>
      <c r="Q111" s="1565"/>
      <c r="R111" s="1565"/>
      <c r="S111" s="1565"/>
    </row>
    <row r="112" ht="17.25" customHeight="1">
      <c r="B112" s="1581" t="s">
        <v>1365</v>
      </c>
      <c r="C112" s="1348"/>
      <c r="D112" s="1700" t="s">
        <v>378</v>
      </c>
      <c r="K112" s="44"/>
      <c r="L112" s="1367"/>
      <c r="M112" s="1053"/>
      <c r="N112" s="1053"/>
      <c r="O112" s="1053"/>
      <c r="P112" s="1565"/>
      <c r="Q112" s="1565"/>
      <c r="R112" s="1565"/>
      <c r="S112" s="1565"/>
    </row>
    <row r="113" ht="4.5" customHeight="1">
      <c r="B113" s="1701"/>
      <c r="C113" s="1702"/>
      <c r="D113" s="1703"/>
      <c r="E113" s="1703"/>
      <c r="F113" s="1704"/>
      <c r="G113" s="1704"/>
      <c r="H113" s="1704"/>
      <c r="I113" s="1704"/>
      <c r="J113" s="1704"/>
      <c r="K113" s="1705"/>
      <c r="L113" s="1367"/>
      <c r="M113" s="1053"/>
      <c r="N113" s="1053"/>
      <c r="O113" s="1053"/>
      <c r="P113" s="1565"/>
      <c r="Q113" s="1565"/>
      <c r="R113" s="1565"/>
      <c r="S113" s="1565"/>
    </row>
    <row r="114" ht="17.25" customHeight="1">
      <c r="B114" s="1685" t="s">
        <v>1387</v>
      </c>
      <c r="C114" s="1686" t="s">
        <v>598</v>
      </c>
      <c r="D114" s="1706" t="s">
        <v>1254</v>
      </c>
      <c r="K114" s="44"/>
      <c r="L114" s="1367"/>
      <c r="M114" s="1053"/>
      <c r="N114" s="1053"/>
      <c r="O114" s="1053"/>
      <c r="P114" s="1565"/>
      <c r="Q114" s="1565"/>
      <c r="R114" s="1565"/>
      <c r="S114" s="1565"/>
    </row>
    <row r="115" ht="17.25" customHeight="1">
      <c r="B115" s="1685" t="s">
        <v>1367</v>
      </c>
      <c r="C115" s="1686" t="s">
        <v>566</v>
      </c>
      <c r="D115" s="1700" t="s">
        <v>378</v>
      </c>
      <c r="K115" s="44"/>
      <c r="L115" s="1367"/>
      <c r="M115" s="1053"/>
      <c r="N115" s="1053"/>
      <c r="O115" s="1053"/>
      <c r="P115" s="1565"/>
      <c r="Q115" s="1565"/>
      <c r="R115" s="1565"/>
      <c r="S115" s="1565"/>
    </row>
    <row r="116" ht="17.25" customHeight="1">
      <c r="B116" s="1685" t="s">
        <v>1377</v>
      </c>
      <c r="C116" s="1686" t="s">
        <v>595</v>
      </c>
      <c r="D116" s="1661" t="s">
        <v>120</v>
      </c>
      <c r="K116" s="44"/>
      <c r="L116" s="1367"/>
      <c r="M116" s="1053"/>
      <c r="N116" s="1053"/>
      <c r="O116" s="1053"/>
      <c r="P116" s="1565"/>
      <c r="Q116" s="1565"/>
      <c r="R116" s="1565"/>
      <c r="S116" s="1565"/>
    </row>
    <row r="117" ht="17.25" customHeight="1">
      <c r="B117" s="1685" t="s">
        <v>1388</v>
      </c>
      <c r="C117" s="1686" t="s">
        <v>569</v>
      </c>
      <c r="D117" s="1434" t="s">
        <v>501</v>
      </c>
      <c r="K117" s="44"/>
      <c r="L117" s="1367"/>
      <c r="M117" s="1053"/>
      <c r="N117" s="1053"/>
      <c r="O117" s="1053"/>
      <c r="P117" s="1565"/>
      <c r="Q117" s="1565"/>
      <c r="R117" s="1565"/>
      <c r="S117" s="1565"/>
    </row>
    <row r="118" ht="17.25" customHeight="1">
      <c r="B118" s="1685" t="s">
        <v>1389</v>
      </c>
      <c r="C118" s="1686" t="s">
        <v>611</v>
      </c>
      <c r="D118" s="1698" t="s">
        <v>503</v>
      </c>
      <c r="F118" s="1699" t="s">
        <v>617</v>
      </c>
      <c r="K118" s="44"/>
      <c r="L118" s="1367"/>
      <c r="M118" s="1053"/>
      <c r="N118" s="1053"/>
      <c r="O118" s="1053"/>
      <c r="P118" s="1565"/>
      <c r="Q118" s="1565"/>
      <c r="R118" s="1565"/>
      <c r="S118" s="1565"/>
    </row>
    <row r="119" ht="17.25" customHeight="1">
      <c r="B119" s="1685" t="s">
        <v>1390</v>
      </c>
      <c r="C119" s="1686" t="s">
        <v>601</v>
      </c>
      <c r="D119" s="1700" t="s">
        <v>154</v>
      </c>
      <c r="K119" s="44"/>
      <c r="L119" s="1367"/>
      <c r="M119" s="1053"/>
      <c r="N119" s="1053"/>
      <c r="O119" s="1053"/>
      <c r="P119" s="1565"/>
      <c r="Q119" s="1565"/>
      <c r="R119" s="1565"/>
      <c r="S119" s="1565"/>
    </row>
    <row r="120" ht="17.25" customHeight="1">
      <c r="B120" s="1696" t="s">
        <v>1342</v>
      </c>
      <c r="C120" s="1697" t="s">
        <v>593</v>
      </c>
      <c r="D120" s="1661" t="s">
        <v>122</v>
      </c>
      <c r="K120" s="44"/>
      <c r="L120" s="1367"/>
      <c r="M120" s="1053"/>
      <c r="N120" s="1053"/>
      <c r="O120" s="1053"/>
      <c r="P120" s="1565"/>
      <c r="Q120" s="1565"/>
      <c r="R120" s="1565"/>
      <c r="S120" s="1565"/>
    </row>
    <row r="121" ht="4.5" customHeight="1">
      <c r="A121" s="1604"/>
      <c r="B121" s="1604"/>
      <c r="C121" s="1604"/>
      <c r="D121" s="1604"/>
      <c r="E121" s="1604"/>
      <c r="F121" s="1604"/>
      <c r="G121" s="1604"/>
      <c r="H121" s="1604"/>
      <c r="I121" s="1604"/>
      <c r="J121" s="1604"/>
      <c r="K121" s="1605"/>
      <c r="L121" s="1367"/>
      <c r="M121" s="1053"/>
      <c r="N121" s="1053"/>
      <c r="O121" s="1053"/>
      <c r="P121" s="1565"/>
      <c r="Q121" s="1565"/>
      <c r="R121" s="1565"/>
      <c r="S121" s="1565"/>
    </row>
    <row r="122" ht="30.0" customHeight="1">
      <c r="A122" s="1052"/>
      <c r="B122" s="1052"/>
      <c r="C122" s="1052"/>
      <c r="D122" s="1052"/>
      <c r="E122" s="1052"/>
      <c r="F122" s="1052"/>
      <c r="G122" s="1052"/>
      <c r="H122" s="1052"/>
      <c r="I122" s="1052"/>
      <c r="J122" s="1052"/>
      <c r="K122" s="1052"/>
      <c r="L122" s="1053"/>
      <c r="M122" s="1053"/>
      <c r="N122" s="1053"/>
      <c r="O122" s="1053"/>
      <c r="P122" s="1565"/>
      <c r="Q122" s="1565"/>
      <c r="R122" s="1565"/>
      <c r="S122" s="1565"/>
    </row>
    <row r="123" ht="4.5" customHeight="1">
      <c r="A123" s="1604"/>
      <c r="B123" s="1604"/>
      <c r="C123" s="1604"/>
      <c r="D123" s="1604"/>
      <c r="E123" s="1604"/>
      <c r="F123" s="1604"/>
      <c r="G123" s="1604"/>
      <c r="H123" s="1604"/>
      <c r="I123" s="1604"/>
      <c r="J123" s="1604"/>
      <c r="K123" s="1604"/>
      <c r="L123" s="1604"/>
      <c r="M123" s="1604"/>
      <c r="N123" s="1604"/>
      <c r="O123" s="1605"/>
      <c r="P123" s="1565"/>
      <c r="Q123" s="1565"/>
      <c r="R123" s="1565"/>
      <c r="S123" s="1565"/>
    </row>
    <row r="124" ht="22.5" customHeight="1">
      <c r="A124" s="1707" t="s">
        <v>1391</v>
      </c>
      <c r="B124" s="1708" t="s">
        <v>1392</v>
      </c>
      <c r="C124" s="112"/>
      <c r="D124" s="1672">
        <v>43405.0</v>
      </c>
      <c r="E124" s="112"/>
      <c r="F124" s="112"/>
      <c r="G124" s="20"/>
      <c r="H124" s="1672">
        <v>43435.0</v>
      </c>
      <c r="I124" s="112"/>
      <c r="J124" s="112"/>
      <c r="K124" s="20"/>
      <c r="L124" s="1672">
        <v>43466.0</v>
      </c>
      <c r="M124" s="112"/>
      <c r="N124" s="112"/>
      <c r="O124" s="20"/>
      <c r="P124" s="1565"/>
      <c r="Q124" s="1565"/>
      <c r="R124" s="1565"/>
      <c r="S124" s="1565"/>
    </row>
    <row r="125" ht="17.25" customHeight="1">
      <c r="B125" s="1692" t="str">
        <f>HYPERLINK("https://drive.google.com/file/d/14ruRj1b7kUIpUTBMh5DsQdjWr4HuhunS/view","[ Regeerakkoord “Vernieuwing in Nederland” ]")</f>
        <v>[ Regeerakkoord “Vernieuwing in Nederland” ]</v>
      </c>
      <c r="C125" s="1224"/>
      <c r="D125" s="43"/>
      <c r="G125" s="44"/>
      <c r="H125" s="43"/>
      <c r="K125" s="44"/>
      <c r="L125" s="43"/>
      <c r="O125" s="44"/>
      <c r="P125" s="1565"/>
      <c r="Q125" s="1565"/>
      <c r="R125" s="1565"/>
      <c r="S125" s="1565"/>
    </row>
    <row r="126" ht="4.5" customHeight="1">
      <c r="B126" s="1680"/>
      <c r="C126" s="1681"/>
      <c r="D126" s="26"/>
      <c r="E126" s="504"/>
      <c r="F126" s="504"/>
      <c r="G126" s="27"/>
      <c r="H126" s="26"/>
      <c r="I126" s="504"/>
      <c r="J126" s="504"/>
      <c r="K126" s="27"/>
      <c r="L126" s="26"/>
      <c r="M126" s="504"/>
      <c r="N126" s="504"/>
      <c r="O126" s="27"/>
      <c r="P126" s="1565"/>
      <c r="Q126" s="1565"/>
      <c r="R126" s="1565"/>
      <c r="S126" s="1565"/>
    </row>
    <row r="127" ht="17.25" customHeight="1">
      <c r="B127" s="1693" t="s">
        <v>1335</v>
      </c>
      <c r="C127" s="1694" t="s">
        <v>559</v>
      </c>
      <c r="D127" s="1709" t="s">
        <v>501</v>
      </c>
      <c r="O127" s="44"/>
      <c r="P127" s="1565"/>
      <c r="Q127" s="1565"/>
      <c r="R127" s="1565"/>
      <c r="S127" s="1565"/>
    </row>
    <row r="128" ht="17.25" customHeight="1">
      <c r="B128" s="1581" t="s">
        <v>1336</v>
      </c>
      <c r="C128" s="1348"/>
      <c r="D128" s="1710" t="s">
        <v>503</v>
      </c>
      <c r="N128" s="1711" t="s">
        <v>650</v>
      </c>
      <c r="O128" s="44"/>
      <c r="P128" s="1565"/>
      <c r="Q128" s="1565"/>
      <c r="R128" s="1565"/>
      <c r="S128" s="1565"/>
    </row>
    <row r="129" ht="17.25" customHeight="1">
      <c r="B129" s="1581" t="s">
        <v>1345</v>
      </c>
      <c r="C129" s="1348"/>
      <c r="D129" s="1711" t="s">
        <v>505</v>
      </c>
      <c r="L129" s="1711" t="s">
        <v>650</v>
      </c>
      <c r="N129" s="1652" t="s">
        <v>1349</v>
      </c>
      <c r="O129" s="44"/>
      <c r="P129" s="1565"/>
      <c r="Q129" s="1565"/>
      <c r="R129" s="1565"/>
      <c r="S129" s="1565"/>
    </row>
    <row r="130" ht="17.25" customHeight="1">
      <c r="B130" s="1581" t="s">
        <v>1365</v>
      </c>
      <c r="C130" s="1348"/>
      <c r="D130" s="1314" t="s">
        <v>507</v>
      </c>
      <c r="H130" s="1712" t="s">
        <v>118</v>
      </c>
      <c r="N130" s="1652" t="s">
        <v>1349</v>
      </c>
      <c r="O130" s="44"/>
      <c r="P130" s="1565"/>
      <c r="Q130" s="1565"/>
      <c r="R130" s="1565"/>
      <c r="S130" s="1565"/>
    </row>
    <row r="131" ht="4.5" customHeight="1">
      <c r="B131" s="1701"/>
      <c r="C131" s="1702"/>
      <c r="D131" s="1704"/>
      <c r="E131" s="1704"/>
      <c r="F131" s="1704"/>
      <c r="G131" s="1704"/>
      <c r="H131" s="1704"/>
      <c r="I131" s="1704"/>
      <c r="J131" s="1704"/>
      <c r="K131" s="1704"/>
      <c r="L131" s="1704"/>
      <c r="M131" s="1704"/>
      <c r="N131" s="1704"/>
      <c r="O131" s="1705"/>
      <c r="P131" s="1565"/>
      <c r="Q131" s="1565"/>
      <c r="R131" s="1565"/>
      <c r="S131" s="1565"/>
    </row>
    <row r="132" ht="17.25" customHeight="1">
      <c r="B132" s="1685" t="s">
        <v>1393</v>
      </c>
      <c r="C132" s="1686" t="s">
        <v>563</v>
      </c>
      <c r="D132" s="1711" t="s">
        <v>505</v>
      </c>
      <c r="L132" s="1713" t="s">
        <v>397</v>
      </c>
      <c r="N132" s="1652" t="s">
        <v>1349</v>
      </c>
      <c r="O132" s="44"/>
      <c r="P132" s="1565"/>
      <c r="Q132" s="1565"/>
      <c r="R132" s="1565"/>
      <c r="S132" s="1565"/>
    </row>
    <row r="133" ht="17.25" customHeight="1">
      <c r="B133" s="1685" t="s">
        <v>1394</v>
      </c>
      <c r="C133" s="1686" t="s">
        <v>566</v>
      </c>
      <c r="D133" s="1314" t="s">
        <v>118</v>
      </c>
      <c r="N133" s="1652" t="s">
        <v>1349</v>
      </c>
      <c r="O133" s="44"/>
      <c r="P133" s="1565"/>
      <c r="Q133" s="1565"/>
      <c r="R133" s="1565"/>
      <c r="S133" s="1565"/>
    </row>
    <row r="134" ht="17.25" customHeight="1">
      <c r="B134" s="1685" t="s">
        <v>1395</v>
      </c>
      <c r="C134" s="1686" t="s">
        <v>582</v>
      </c>
      <c r="D134" s="1710" t="s">
        <v>503</v>
      </c>
      <c r="N134" s="1652" t="s">
        <v>1349</v>
      </c>
      <c r="O134" s="44"/>
      <c r="P134" s="1565"/>
      <c r="Q134" s="1565"/>
      <c r="R134" s="1565"/>
      <c r="S134" s="1565"/>
    </row>
    <row r="135" ht="17.25" customHeight="1">
      <c r="B135" s="1685" t="s">
        <v>1388</v>
      </c>
      <c r="C135" s="1686" t="s">
        <v>569</v>
      </c>
      <c r="D135" s="1710" t="s">
        <v>153</v>
      </c>
      <c r="N135" s="1714" t="s">
        <v>153</v>
      </c>
      <c r="O135" s="44"/>
      <c r="P135" s="1565"/>
      <c r="Q135" s="1565"/>
      <c r="R135" s="1565"/>
      <c r="S135" s="1565"/>
    </row>
    <row r="136" ht="17.25" customHeight="1">
      <c r="B136" s="1685" t="s">
        <v>1369</v>
      </c>
      <c r="C136" s="1686" t="s">
        <v>561</v>
      </c>
      <c r="D136" s="1709" t="s">
        <v>621</v>
      </c>
      <c r="O136" s="44"/>
      <c r="P136" s="1565"/>
      <c r="Q136" s="1565"/>
      <c r="R136" s="1565"/>
      <c r="S136" s="1565"/>
    </row>
    <row r="137" ht="17.25" customHeight="1">
      <c r="B137" s="1685" t="s">
        <v>1396</v>
      </c>
      <c r="C137" s="1686" t="s">
        <v>795</v>
      </c>
      <c r="D137" s="1710" t="s">
        <v>1397</v>
      </c>
      <c r="N137" s="1652" t="s">
        <v>1349</v>
      </c>
      <c r="O137" s="44"/>
      <c r="P137" s="1565"/>
      <c r="Q137" s="1565"/>
      <c r="R137" s="1565"/>
      <c r="S137" s="1565"/>
    </row>
    <row r="138" ht="17.25" customHeight="1">
      <c r="B138" s="1685" t="s">
        <v>1398</v>
      </c>
      <c r="C138" s="1686" t="s">
        <v>552</v>
      </c>
      <c r="D138" s="1314" t="s">
        <v>507</v>
      </c>
      <c r="H138" s="1715" t="s">
        <v>650</v>
      </c>
      <c r="O138" s="44"/>
      <c r="P138" s="1565"/>
      <c r="Q138" s="1565"/>
      <c r="R138" s="1565"/>
      <c r="S138" s="1565"/>
    </row>
    <row r="139" ht="17.25" customHeight="1">
      <c r="B139" s="1696" t="s">
        <v>1399</v>
      </c>
      <c r="C139" s="1697" t="s">
        <v>571</v>
      </c>
      <c r="D139" s="1711" t="s">
        <v>1400</v>
      </c>
      <c r="I139" s="1715" t="s">
        <v>175</v>
      </c>
      <c r="O139" s="44"/>
      <c r="P139" s="1565"/>
      <c r="Q139" s="1565"/>
      <c r="R139" s="1565"/>
      <c r="S139" s="1565"/>
    </row>
    <row r="140" ht="4.5" customHeight="1">
      <c r="A140" s="1716"/>
      <c r="B140" s="1717"/>
      <c r="C140" s="1717"/>
      <c r="D140" s="1717"/>
      <c r="E140" s="1717"/>
      <c r="F140" s="1717"/>
      <c r="G140" s="1717"/>
      <c r="H140" s="1717"/>
      <c r="I140" s="1717"/>
      <c r="J140" s="1717"/>
      <c r="K140" s="1717"/>
      <c r="L140" s="1717"/>
      <c r="M140" s="1717"/>
      <c r="N140" s="1717"/>
      <c r="O140" s="1718"/>
      <c r="P140" s="1565"/>
      <c r="Q140" s="1565"/>
      <c r="R140" s="1565"/>
      <c r="S140" s="1565"/>
    </row>
    <row r="141" ht="18.75" customHeight="1">
      <c r="A141" s="1052"/>
      <c r="B141" s="1052"/>
      <c r="C141" s="1052"/>
      <c r="D141" s="1052"/>
      <c r="E141" s="1052"/>
      <c r="F141" s="1052"/>
      <c r="G141" s="1052"/>
      <c r="H141" s="1052"/>
      <c r="I141" s="1052"/>
      <c r="J141" s="1052"/>
      <c r="K141" s="1052"/>
      <c r="L141" s="1052"/>
      <c r="M141" s="1052"/>
      <c r="N141" s="1052"/>
      <c r="O141" s="1052"/>
      <c r="P141" s="1565"/>
      <c r="Q141" s="1565"/>
      <c r="R141" s="1565"/>
      <c r="S141" s="1565"/>
    </row>
    <row r="142" ht="48.0" customHeight="1">
      <c r="A142" s="1719" t="str">
        <f>HYPERLINK("https://docs.google.com/spreadsheets/d/1QqfHXFp2eF_sX1Vf8ggoeIvxp-W66m3i-4bI3OeFHg8/edit#gid=1198776702","[ Klik HIER voor alle pre-reset Kabinetten ]")</f>
        <v>[ Klik HIER voor alle pre-reset Kabinetten ]</v>
      </c>
      <c r="B142" s="1720"/>
      <c r="C142" s="1720"/>
      <c r="D142" s="1720"/>
      <c r="E142" s="1720"/>
      <c r="F142" s="1720"/>
      <c r="G142" s="1720"/>
      <c r="H142" s="1720"/>
      <c r="I142" s="1720"/>
      <c r="J142" s="1720"/>
      <c r="K142" s="1720"/>
      <c r="L142" s="1720"/>
      <c r="M142" s="1720"/>
      <c r="N142" s="1720"/>
      <c r="O142" s="1624"/>
      <c r="P142" s="1565"/>
      <c r="Q142" s="1565"/>
      <c r="R142" s="1565"/>
      <c r="S142" s="1565"/>
    </row>
  </sheetData>
  <mergeCells count="183">
    <mergeCell ref="H4:K6"/>
    <mergeCell ref="D7:L7"/>
    <mergeCell ref="B8:C8"/>
    <mergeCell ref="D8:I8"/>
    <mergeCell ref="J8:L8"/>
    <mergeCell ref="B9:L9"/>
    <mergeCell ref="D10:I10"/>
    <mergeCell ref="J10:L10"/>
    <mergeCell ref="D11:L11"/>
    <mergeCell ref="D12:L12"/>
    <mergeCell ref="D13:L13"/>
    <mergeCell ref="D14:H14"/>
    <mergeCell ref="I14:L14"/>
    <mergeCell ref="B19:C19"/>
    <mergeCell ref="B20:C20"/>
    <mergeCell ref="D1:S1"/>
    <mergeCell ref="A3:O3"/>
    <mergeCell ref="A4:A15"/>
    <mergeCell ref="B4:C4"/>
    <mergeCell ref="D4:G6"/>
    <mergeCell ref="L4:O6"/>
    <mergeCell ref="B5:C5"/>
    <mergeCell ref="A16:O16"/>
    <mergeCell ref="D23:I23"/>
    <mergeCell ref="J23:R23"/>
    <mergeCell ref="B24:C24"/>
    <mergeCell ref="D24:R24"/>
    <mergeCell ref="D26:R26"/>
    <mergeCell ref="D27:I27"/>
    <mergeCell ref="J27:R27"/>
    <mergeCell ref="D28:R28"/>
    <mergeCell ref="D29:R29"/>
    <mergeCell ref="D15:I15"/>
    <mergeCell ref="J15:L15"/>
    <mergeCell ref="A19:A31"/>
    <mergeCell ref="H19:K21"/>
    <mergeCell ref="L19:O21"/>
    <mergeCell ref="P19:S21"/>
    <mergeCell ref="D22:R22"/>
    <mergeCell ref="E30:R30"/>
    <mergeCell ref="D31:R31"/>
    <mergeCell ref="H35:K37"/>
    <mergeCell ref="E38:K38"/>
    <mergeCell ref="G39:H39"/>
    <mergeCell ref="I39:K39"/>
    <mergeCell ref="E40:K40"/>
    <mergeCell ref="B110:C110"/>
    <mergeCell ref="B111:C111"/>
    <mergeCell ref="B124:C124"/>
    <mergeCell ref="B125:C125"/>
    <mergeCell ref="B128:C128"/>
    <mergeCell ref="B129:C129"/>
    <mergeCell ref="B130:C130"/>
    <mergeCell ref="A106:A120"/>
    <mergeCell ref="A124:A139"/>
    <mergeCell ref="A74:A86"/>
    <mergeCell ref="B74:C74"/>
    <mergeCell ref="B78:C78"/>
    <mergeCell ref="A90:A102"/>
    <mergeCell ref="B90:C90"/>
    <mergeCell ref="B94:C94"/>
    <mergeCell ref="B112:C112"/>
    <mergeCell ref="E42:F42"/>
    <mergeCell ref="D54:G56"/>
    <mergeCell ref="D19:G21"/>
    <mergeCell ref="B23:C23"/>
    <mergeCell ref="A35:A50"/>
    <mergeCell ref="B35:C35"/>
    <mergeCell ref="D35:G37"/>
    <mergeCell ref="B36:C36"/>
    <mergeCell ref="E39:F39"/>
    <mergeCell ref="B39:C39"/>
    <mergeCell ref="B40:C40"/>
    <mergeCell ref="A54:A70"/>
    <mergeCell ref="B54:C54"/>
    <mergeCell ref="B55:C55"/>
    <mergeCell ref="B58:C58"/>
    <mergeCell ref="B59:C59"/>
    <mergeCell ref="B60:C60"/>
    <mergeCell ref="C69:C70"/>
    <mergeCell ref="D70:G70"/>
    <mergeCell ref="D74:G76"/>
    <mergeCell ref="B75:C75"/>
    <mergeCell ref="D83:G83"/>
    <mergeCell ref="D85:G85"/>
    <mergeCell ref="D98:G98"/>
    <mergeCell ref="D99:G99"/>
    <mergeCell ref="D100:G100"/>
    <mergeCell ref="D101:G101"/>
    <mergeCell ref="D102:G102"/>
    <mergeCell ref="D106:G108"/>
    <mergeCell ref="D90:G92"/>
    <mergeCell ref="B91:C91"/>
    <mergeCell ref="D93:G93"/>
    <mergeCell ref="D94:G94"/>
    <mergeCell ref="D95:G95"/>
    <mergeCell ref="D96:G96"/>
    <mergeCell ref="D97:G97"/>
    <mergeCell ref="B106:C106"/>
    <mergeCell ref="B107:C107"/>
    <mergeCell ref="D110:K110"/>
    <mergeCell ref="D111:E111"/>
    <mergeCell ref="F111:K111"/>
    <mergeCell ref="D112:K112"/>
    <mergeCell ref="D114:K114"/>
    <mergeCell ref="D115:K115"/>
    <mergeCell ref="D116:K116"/>
    <mergeCell ref="D117:K117"/>
    <mergeCell ref="D118:E118"/>
    <mergeCell ref="F118:K118"/>
    <mergeCell ref="D119:K119"/>
    <mergeCell ref="D120:K120"/>
    <mergeCell ref="D124:G126"/>
    <mergeCell ref="H124:K126"/>
    <mergeCell ref="D130:G130"/>
    <mergeCell ref="H130:M130"/>
    <mergeCell ref="N130:O130"/>
    <mergeCell ref="D132:K132"/>
    <mergeCell ref="L132:M132"/>
    <mergeCell ref="N132:O132"/>
    <mergeCell ref="N133:O133"/>
    <mergeCell ref="D137:M137"/>
    <mergeCell ref="D138:G138"/>
    <mergeCell ref="H138:O138"/>
    <mergeCell ref="D139:H139"/>
    <mergeCell ref="I139:O139"/>
    <mergeCell ref="A142:O142"/>
    <mergeCell ref="D133:M133"/>
    <mergeCell ref="D134:M134"/>
    <mergeCell ref="N134:O134"/>
    <mergeCell ref="D135:M135"/>
    <mergeCell ref="N135:O135"/>
    <mergeCell ref="D136:O136"/>
    <mergeCell ref="N137:O137"/>
    <mergeCell ref="H42:K42"/>
    <mergeCell ref="E43:K43"/>
    <mergeCell ref="E44:H44"/>
    <mergeCell ref="I44:K44"/>
    <mergeCell ref="E45:K45"/>
    <mergeCell ref="E46:K46"/>
    <mergeCell ref="E47:K47"/>
    <mergeCell ref="E48:H48"/>
    <mergeCell ref="I48:J48"/>
    <mergeCell ref="E49:J49"/>
    <mergeCell ref="E50:J50"/>
    <mergeCell ref="H54:K56"/>
    <mergeCell ref="L54:O56"/>
    <mergeCell ref="D57:O57"/>
    <mergeCell ref="D58:O58"/>
    <mergeCell ref="D59:O59"/>
    <mergeCell ref="E60:O60"/>
    <mergeCell ref="D62:O62"/>
    <mergeCell ref="D63:O63"/>
    <mergeCell ref="D64:M64"/>
    <mergeCell ref="N64:O64"/>
    <mergeCell ref="D65:O65"/>
    <mergeCell ref="D66:O66"/>
    <mergeCell ref="D67:O67"/>
    <mergeCell ref="D68:O68"/>
    <mergeCell ref="E69:K69"/>
    <mergeCell ref="L69:O69"/>
    <mergeCell ref="H70:O70"/>
    <mergeCell ref="H74:K76"/>
    <mergeCell ref="D77:K77"/>
    <mergeCell ref="D78:K78"/>
    <mergeCell ref="D79:K79"/>
    <mergeCell ref="D80:K80"/>
    <mergeCell ref="D81:K81"/>
    <mergeCell ref="D82:K82"/>
    <mergeCell ref="H83:K83"/>
    <mergeCell ref="D84:K84"/>
    <mergeCell ref="H85:K85"/>
    <mergeCell ref="D86:K86"/>
    <mergeCell ref="D87:K87"/>
    <mergeCell ref="H106:K108"/>
    <mergeCell ref="D109:K109"/>
    <mergeCell ref="L124:O126"/>
    <mergeCell ref="D127:O127"/>
    <mergeCell ref="D128:M128"/>
    <mergeCell ref="N128:O128"/>
    <mergeCell ref="D129:K129"/>
    <mergeCell ref="L129:M129"/>
    <mergeCell ref="N129:O129"/>
  </mergeCells>
  <drawing r:id="rId2"/>
  <legacyDrawing r:id="rId3"/>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8" max="8" width="7.29"/>
    <col customWidth="1" min="9" max="9" width="0.86"/>
    <col customWidth="1" min="10" max="10" width="7.29"/>
    <col customWidth="1" min="15" max="15" width="0.86"/>
    <col customWidth="1" min="22" max="22" width="0.86"/>
    <col customWidth="1" min="28" max="28" width="0.86"/>
    <col customWidth="1" min="35" max="35" width="7.29"/>
    <col customWidth="1" min="36" max="36" width="0.86"/>
    <col customWidth="1" min="37" max="37" width="7.29"/>
    <col customWidth="1" min="44" max="44" width="0.86"/>
    <col customWidth="1" min="52" max="52" width="0.86"/>
    <col customWidth="1" min="57" max="57" width="7.29"/>
    <col customWidth="1" min="58" max="58" width="0.86"/>
    <col customWidth="1" min="59" max="59" width="7.29"/>
    <col customWidth="1" min="66" max="66" width="0.86"/>
    <col customWidth="1" min="72" max="72" width="7.29"/>
    <col customWidth="1" min="73" max="73" width="0.86"/>
    <col customWidth="1" min="74" max="74" width="7.29"/>
  </cols>
  <sheetData>
    <row r="1">
      <c r="A1" s="1721" t="s">
        <v>1401</v>
      </c>
      <c r="C1" s="1722" t="s">
        <v>480</v>
      </c>
      <c r="D1" s="109"/>
      <c r="E1" s="109"/>
      <c r="F1" s="109"/>
      <c r="G1" s="1723" t="s">
        <v>1006</v>
      </c>
      <c r="H1" s="109"/>
      <c r="I1" s="109"/>
      <c r="J1" s="109"/>
      <c r="K1" s="109"/>
      <c r="L1" s="1724"/>
      <c r="M1" s="1724"/>
      <c r="N1" s="1725" t="s">
        <v>1007</v>
      </c>
      <c r="O1" s="109"/>
      <c r="P1" s="109"/>
      <c r="Q1" s="1724"/>
      <c r="R1" s="1724"/>
      <c r="S1" s="1724"/>
      <c r="T1" s="1724"/>
      <c r="U1" s="1726" t="s">
        <v>1008</v>
      </c>
      <c r="V1" s="109"/>
      <c r="W1" s="109"/>
      <c r="X1" s="1727"/>
      <c r="Y1" s="1724"/>
      <c r="Z1" s="1724"/>
      <c r="AA1" s="1725" t="s">
        <v>1009</v>
      </c>
      <c r="AB1" s="109"/>
      <c r="AC1" s="109"/>
      <c r="AD1" s="1728"/>
      <c r="AE1" s="1724"/>
      <c r="AF1" s="1724"/>
      <c r="AG1" s="1729"/>
      <c r="AH1" s="1730" t="s">
        <v>1010</v>
      </c>
      <c r="AI1" s="1350"/>
      <c r="AJ1" s="1350"/>
      <c r="AK1" s="1350"/>
      <c r="AL1" s="1348"/>
      <c r="AM1" s="1731"/>
      <c r="AN1" s="1731"/>
      <c r="AO1" s="1731"/>
      <c r="AP1" s="1731"/>
      <c r="AQ1" s="1732" t="s">
        <v>1011</v>
      </c>
      <c r="AR1" s="1350"/>
      <c r="AS1" s="1348"/>
      <c r="AT1" s="1733"/>
      <c r="AU1" s="1731"/>
      <c r="AV1" s="1731"/>
      <c r="AW1" s="1731"/>
      <c r="AX1" s="1731"/>
      <c r="AY1" s="1734" t="s">
        <v>1012</v>
      </c>
      <c r="AZ1" s="1350"/>
      <c r="BA1" s="1348"/>
      <c r="BB1" s="1731"/>
      <c r="BC1" s="1731"/>
      <c r="BD1" s="1730" t="s">
        <v>1013</v>
      </c>
      <c r="BE1" s="1350"/>
      <c r="BF1" s="1350"/>
      <c r="BG1" s="1350"/>
      <c r="BH1" s="1348"/>
      <c r="BI1" s="1731"/>
      <c r="BJ1" s="1731"/>
      <c r="BK1" s="1731"/>
      <c r="BL1" s="1731"/>
      <c r="BM1" s="1735" t="s">
        <v>1014</v>
      </c>
      <c r="BN1" s="1350"/>
      <c r="BO1" s="1348"/>
      <c r="BP1" s="1731"/>
      <c r="BQ1" s="1731"/>
      <c r="BR1" s="407"/>
      <c r="BS1" s="1736" t="s">
        <v>70</v>
      </c>
      <c r="BX1" s="407"/>
      <c r="BY1" s="407"/>
    </row>
    <row r="2">
      <c r="C2" s="1737">
        <v>2015.0</v>
      </c>
      <c r="D2" s="1738"/>
      <c r="E2" s="1738"/>
      <c r="F2" s="1738"/>
      <c r="G2" s="1738"/>
      <c r="H2" s="1739"/>
      <c r="I2" s="1740"/>
      <c r="J2" s="1741"/>
      <c r="K2" s="1738"/>
      <c r="L2" s="1737">
        <v>2016.0</v>
      </c>
      <c r="M2" s="1738"/>
      <c r="N2" s="1738"/>
      <c r="O2" s="1742"/>
      <c r="P2" s="1738"/>
      <c r="Q2" s="1738"/>
      <c r="R2" s="1738"/>
      <c r="S2" s="1738"/>
      <c r="T2" s="1738"/>
      <c r="U2" s="1738"/>
      <c r="V2" s="1742"/>
      <c r="W2" s="1738"/>
      <c r="X2" s="1738"/>
      <c r="Y2" s="1738"/>
      <c r="Z2" s="1737">
        <v>2017.0</v>
      </c>
      <c r="AA2" s="1738"/>
      <c r="AB2" s="1742"/>
      <c r="AC2" s="1738"/>
      <c r="AD2" s="1738"/>
      <c r="AE2" s="1738"/>
      <c r="AF2" s="1738"/>
      <c r="AG2" s="1743"/>
      <c r="AH2" s="1743"/>
      <c r="AI2" s="1743"/>
      <c r="AJ2" s="1744"/>
      <c r="AK2" s="1743"/>
      <c r="AL2" s="1743"/>
      <c r="AM2" s="1743"/>
      <c r="AN2" s="1743"/>
      <c r="AO2" s="1745">
        <v>2018.0</v>
      </c>
      <c r="AP2" s="1743"/>
      <c r="AQ2" s="1743"/>
      <c r="AR2" s="1744"/>
      <c r="AS2" s="1743"/>
      <c r="AT2" s="1743"/>
      <c r="AU2" s="1743"/>
      <c r="AV2" s="1743"/>
      <c r="AW2" s="1743"/>
      <c r="AX2" s="1743"/>
      <c r="AY2" s="1743"/>
      <c r="AZ2" s="1744"/>
      <c r="BA2" s="1743"/>
      <c r="BB2" s="1743"/>
      <c r="BC2" s="1745">
        <v>2019.0</v>
      </c>
      <c r="BD2" s="1743"/>
      <c r="BE2" s="1743"/>
      <c r="BF2" s="1744"/>
      <c r="BG2" s="1743"/>
      <c r="BH2" s="1743"/>
      <c r="BI2" s="1743"/>
      <c r="BJ2" s="1743"/>
      <c r="BK2" s="1743"/>
      <c r="BL2" s="1743"/>
      <c r="BM2" s="1743"/>
      <c r="BN2" s="1744"/>
      <c r="BO2" s="1743"/>
      <c r="BP2" s="1743"/>
      <c r="BQ2" s="1743"/>
      <c r="BR2" s="1745">
        <v>2020.0</v>
      </c>
      <c r="BS2" s="1745"/>
      <c r="BT2" s="1745"/>
      <c r="BU2" s="1746"/>
      <c r="BV2" s="1745"/>
      <c r="BW2" s="1745"/>
      <c r="BX2" s="1745"/>
      <c r="BY2" s="1745"/>
    </row>
    <row r="3">
      <c r="A3" s="1747" t="s">
        <v>1402</v>
      </c>
      <c r="C3" s="1748" t="s">
        <v>1015</v>
      </c>
      <c r="D3" s="1748" t="s">
        <v>1016</v>
      </c>
      <c r="E3" s="1748" t="s">
        <v>1017</v>
      </c>
      <c r="F3" s="1748" t="s">
        <v>1018</v>
      </c>
      <c r="G3" s="1748" t="s">
        <v>1019</v>
      </c>
      <c r="H3" s="1749" t="s">
        <v>1403</v>
      </c>
      <c r="I3" s="1750"/>
      <c r="J3" s="1751"/>
      <c r="K3" s="1748" t="s">
        <v>1021</v>
      </c>
      <c r="L3" s="1748" t="s">
        <v>1022</v>
      </c>
      <c r="M3" s="1748" t="s">
        <v>1023</v>
      </c>
      <c r="N3" s="1748" t="s">
        <v>1024</v>
      </c>
      <c r="O3" s="1752"/>
      <c r="P3" s="1748" t="s">
        <v>1025</v>
      </c>
      <c r="Q3" s="1748" t="s">
        <v>487</v>
      </c>
      <c r="R3" s="1748" t="s">
        <v>1015</v>
      </c>
      <c r="S3" s="1748" t="s">
        <v>1016</v>
      </c>
      <c r="T3" s="1748" t="s">
        <v>1017</v>
      </c>
      <c r="U3" s="1748" t="s">
        <v>1018</v>
      </c>
      <c r="V3" s="1752"/>
      <c r="W3" s="1748" t="s">
        <v>1019</v>
      </c>
      <c r="X3" s="1748" t="s">
        <v>1020</v>
      </c>
      <c r="Y3" s="1748" t="s">
        <v>1021</v>
      </c>
      <c r="Z3" s="1748" t="s">
        <v>1022</v>
      </c>
      <c r="AA3" s="1748" t="s">
        <v>1023</v>
      </c>
      <c r="AB3" s="1753"/>
      <c r="AC3" s="1748" t="s">
        <v>1024</v>
      </c>
      <c r="AD3" s="1748" t="s">
        <v>1025</v>
      </c>
      <c r="AE3" s="1748" t="s">
        <v>487</v>
      </c>
      <c r="AF3" s="1748" t="s">
        <v>1015</v>
      </c>
      <c r="AG3" s="1748" t="s">
        <v>1016</v>
      </c>
      <c r="AH3" s="1748" t="s">
        <v>1017</v>
      </c>
      <c r="AI3" s="1754" t="s">
        <v>1404</v>
      </c>
      <c r="AJ3" s="1753"/>
      <c r="AK3" s="1748"/>
      <c r="AL3" s="1748" t="s">
        <v>1019</v>
      </c>
      <c r="AM3" s="1748" t="s">
        <v>1020</v>
      </c>
      <c r="AN3" s="1748" t="s">
        <v>1021</v>
      </c>
      <c r="AO3" s="1748" t="s">
        <v>1022</v>
      </c>
      <c r="AP3" s="1748" t="s">
        <v>1023</v>
      </c>
      <c r="AQ3" s="1748" t="s">
        <v>1024</v>
      </c>
      <c r="AR3" s="1753"/>
      <c r="AS3" s="1748" t="s">
        <v>1025</v>
      </c>
      <c r="AT3" s="1748" t="s">
        <v>487</v>
      </c>
      <c r="AU3" s="1748" t="s">
        <v>1015</v>
      </c>
      <c r="AV3" s="1748" t="s">
        <v>1016</v>
      </c>
      <c r="AW3" s="1748" t="s">
        <v>1017</v>
      </c>
      <c r="AX3" s="1748" t="s">
        <v>1018</v>
      </c>
      <c r="AY3" s="1748" t="s">
        <v>1019</v>
      </c>
      <c r="AZ3" s="1752"/>
      <c r="BA3" s="1748" t="s">
        <v>1020</v>
      </c>
      <c r="BB3" s="1748" t="s">
        <v>1021</v>
      </c>
      <c r="BC3" s="1748" t="s">
        <v>1022</v>
      </c>
      <c r="BD3" s="1748" t="s">
        <v>1023</v>
      </c>
      <c r="BE3" s="1754" t="s">
        <v>1405</v>
      </c>
      <c r="BF3" s="1753"/>
      <c r="BG3" s="1748"/>
      <c r="BH3" s="1748" t="s">
        <v>1025</v>
      </c>
      <c r="BI3" s="1748" t="s">
        <v>487</v>
      </c>
      <c r="BJ3" s="1748" t="s">
        <v>1015</v>
      </c>
      <c r="BK3" s="1748" t="s">
        <v>1016</v>
      </c>
      <c r="BL3" s="1748" t="s">
        <v>1017</v>
      </c>
      <c r="BM3" s="1748" t="s">
        <v>1018</v>
      </c>
      <c r="BN3" s="1752"/>
      <c r="BO3" s="1748" t="s">
        <v>1019</v>
      </c>
      <c r="BP3" s="1748" t="s">
        <v>1020</v>
      </c>
      <c r="BQ3" s="1748" t="s">
        <v>1021</v>
      </c>
      <c r="BR3" s="1748" t="s">
        <v>1022</v>
      </c>
      <c r="BS3" s="1748" t="s">
        <v>1023</v>
      </c>
      <c r="BT3" s="1754" t="s">
        <v>1406</v>
      </c>
      <c r="BU3" s="1753"/>
      <c r="BV3" s="1748"/>
      <c r="BW3" s="1748" t="s">
        <v>1025</v>
      </c>
      <c r="BX3" s="1748" t="s">
        <v>487</v>
      </c>
      <c r="BY3" s="1748" t="s">
        <v>1026</v>
      </c>
    </row>
    <row r="4">
      <c r="A4" s="1755" t="s">
        <v>1407</v>
      </c>
      <c r="C4" s="1756" t="s">
        <v>1408</v>
      </c>
      <c r="D4" s="1757"/>
      <c r="E4" s="1758" t="s">
        <v>1409</v>
      </c>
      <c r="F4" s="1759" t="b">
        <v>1</v>
      </c>
      <c r="G4" s="1757"/>
      <c r="H4" s="1757"/>
      <c r="I4" s="1760"/>
      <c r="J4" s="1756" t="s">
        <v>1408</v>
      </c>
      <c r="K4" s="1757"/>
      <c r="L4" s="1758" t="s">
        <v>1409</v>
      </c>
      <c r="M4" s="1759" t="b">
        <v>0</v>
      </c>
      <c r="N4" s="1757"/>
      <c r="O4" s="1760"/>
      <c r="P4" s="1759" t="s">
        <v>1408</v>
      </c>
      <c r="Q4" s="1757"/>
      <c r="R4" s="1758" t="s">
        <v>1409</v>
      </c>
      <c r="S4" s="1759" t="b">
        <v>0</v>
      </c>
      <c r="T4" s="1757"/>
      <c r="U4" s="1757"/>
      <c r="V4" s="1760"/>
      <c r="W4" s="1756" t="s">
        <v>1408</v>
      </c>
      <c r="X4" s="1757"/>
      <c r="Y4" s="1758" t="s">
        <v>1409</v>
      </c>
      <c r="Z4" s="1759" t="b">
        <v>0</v>
      </c>
      <c r="AA4" s="1757"/>
      <c r="AB4" s="1760"/>
      <c r="AC4" s="1756" t="s">
        <v>1408</v>
      </c>
      <c r="AD4" s="1757"/>
      <c r="AE4" s="1758" t="s">
        <v>1409</v>
      </c>
      <c r="AF4" s="1759" t="b">
        <v>0</v>
      </c>
      <c r="AG4" s="1757"/>
      <c r="AH4" s="1757"/>
      <c r="AI4" s="1757"/>
      <c r="AJ4" s="1760"/>
      <c r="AK4" s="1756" t="s">
        <v>1408</v>
      </c>
      <c r="AL4" s="1757"/>
      <c r="AM4" s="1758" t="s">
        <v>1409</v>
      </c>
      <c r="AN4" s="1759" t="b">
        <v>0</v>
      </c>
      <c r="AO4" s="1757"/>
      <c r="AP4" s="1757"/>
      <c r="AQ4" s="1757"/>
      <c r="AR4" s="1760"/>
      <c r="AS4" s="1756" t="s">
        <v>1408</v>
      </c>
      <c r="AT4" s="1757"/>
      <c r="AU4" s="1758" t="s">
        <v>1409</v>
      </c>
      <c r="AV4" s="1759" t="b">
        <v>0</v>
      </c>
      <c r="AW4" s="1757"/>
      <c r="AX4" s="1757"/>
      <c r="AY4" s="863" t="s">
        <v>1410</v>
      </c>
      <c r="AZ4" s="1760"/>
      <c r="BA4" s="1756" t="s">
        <v>1408</v>
      </c>
      <c r="BB4" s="1757"/>
      <c r="BC4" s="1758" t="s">
        <v>1409</v>
      </c>
      <c r="BD4" s="1759" t="b">
        <v>0</v>
      </c>
      <c r="BE4" s="1757"/>
      <c r="BF4" s="1760"/>
      <c r="BG4" s="1756" t="s">
        <v>1408</v>
      </c>
      <c r="BH4" s="1757"/>
      <c r="BI4" s="1758" t="s">
        <v>1409</v>
      </c>
      <c r="BJ4" s="1759" t="b">
        <v>0</v>
      </c>
      <c r="BK4" s="1757"/>
      <c r="BL4" s="1757"/>
      <c r="BM4" s="1757"/>
      <c r="BN4" s="1760"/>
      <c r="BO4" s="1756" t="s">
        <v>1408</v>
      </c>
      <c r="BP4" s="1757"/>
      <c r="BQ4" s="1758" t="s">
        <v>1409</v>
      </c>
      <c r="BR4" s="1759" t="b">
        <v>0</v>
      </c>
      <c r="BS4" s="1757"/>
      <c r="BT4" s="1757"/>
      <c r="BU4" s="1760"/>
      <c r="BV4" s="1756" t="s">
        <v>1408</v>
      </c>
      <c r="BW4" s="1757"/>
      <c r="BX4" s="1757"/>
      <c r="BY4" s="1757"/>
    </row>
    <row r="5">
      <c r="A5" s="1761" t="s">
        <v>1411</v>
      </c>
      <c r="C5" s="1762" t="s">
        <v>1408</v>
      </c>
      <c r="D5" s="407"/>
      <c r="E5" s="407"/>
      <c r="F5" s="407"/>
      <c r="G5" s="407"/>
      <c r="H5" s="407"/>
      <c r="I5" s="1760"/>
      <c r="J5" s="1763" t="s">
        <v>1408</v>
      </c>
      <c r="K5" s="407"/>
      <c r="L5" s="407"/>
      <c r="M5" s="407"/>
      <c r="N5" s="407"/>
      <c r="O5" s="1760"/>
      <c r="P5" s="1763" t="s">
        <v>1408</v>
      </c>
      <c r="Q5" s="407"/>
      <c r="R5" s="407"/>
      <c r="S5" s="407"/>
      <c r="T5" s="407"/>
      <c r="U5" s="407"/>
      <c r="V5" s="1760"/>
      <c r="W5" s="1763" t="s">
        <v>1408</v>
      </c>
      <c r="X5" s="407"/>
      <c r="Y5" s="407"/>
      <c r="Z5" s="407"/>
      <c r="AA5" s="407"/>
      <c r="AB5" s="1760"/>
      <c r="AC5" s="1763" t="s">
        <v>1408</v>
      </c>
      <c r="AD5" s="407"/>
      <c r="AE5" s="407"/>
      <c r="AF5" s="407"/>
      <c r="AG5" s="407"/>
      <c r="AH5" s="407"/>
      <c r="AI5" s="407"/>
      <c r="AJ5" s="1760"/>
      <c r="AK5" s="1763" t="s">
        <v>1408</v>
      </c>
      <c r="AL5" s="407"/>
      <c r="AM5" s="407"/>
      <c r="AN5" s="407"/>
      <c r="AO5" s="407"/>
      <c r="AP5" s="407"/>
      <c r="AQ5" s="407"/>
      <c r="AR5" s="1760"/>
      <c r="AS5" s="1763" t="s">
        <v>1408</v>
      </c>
      <c r="AT5" s="407"/>
      <c r="AU5" s="407"/>
      <c r="AV5" s="407"/>
      <c r="AW5" s="407"/>
      <c r="AX5" s="407"/>
      <c r="AZ5" s="1760"/>
      <c r="BA5" s="1763" t="s">
        <v>1408</v>
      </c>
      <c r="BB5" s="407"/>
      <c r="BC5" s="407"/>
      <c r="BD5" s="407"/>
      <c r="BE5" s="407"/>
      <c r="BF5" s="1760"/>
      <c r="BG5" s="1763" t="s">
        <v>1408</v>
      </c>
      <c r="BH5" s="407"/>
      <c r="BI5" s="407"/>
      <c r="BJ5" s="407"/>
      <c r="BK5" s="407"/>
      <c r="BL5" s="407"/>
      <c r="BM5" s="407"/>
      <c r="BN5" s="1760"/>
      <c r="BO5" s="1763" t="s">
        <v>1408</v>
      </c>
      <c r="BP5" s="407"/>
      <c r="BQ5" s="407"/>
      <c r="BR5" s="407"/>
      <c r="BS5" s="407"/>
      <c r="BT5" s="407"/>
      <c r="BU5" s="1760"/>
      <c r="BV5" s="1763" t="s">
        <v>1408</v>
      </c>
      <c r="BW5" s="407"/>
      <c r="BX5" s="407"/>
      <c r="BY5" s="407"/>
    </row>
    <row r="6">
      <c r="A6" s="1764" t="s">
        <v>1412</v>
      </c>
      <c r="C6" s="1756" t="s">
        <v>1408</v>
      </c>
      <c r="D6" s="1757"/>
      <c r="E6" s="1757"/>
      <c r="F6" s="1757"/>
      <c r="G6" s="1757"/>
      <c r="H6" s="1757"/>
      <c r="I6" s="1760"/>
      <c r="J6" s="1756" t="s">
        <v>1408</v>
      </c>
      <c r="K6" s="1757"/>
      <c r="L6" s="1757"/>
      <c r="M6" s="1757"/>
      <c r="N6" s="1757"/>
      <c r="O6" s="1760"/>
      <c r="P6" s="1756" t="s">
        <v>1408</v>
      </c>
      <c r="Q6" s="1757"/>
      <c r="R6" s="1757"/>
      <c r="S6" s="1757"/>
      <c r="T6" s="1757"/>
      <c r="U6" s="1757"/>
      <c r="V6" s="1760"/>
      <c r="W6" s="1756" t="s">
        <v>1408</v>
      </c>
      <c r="X6" s="1757"/>
      <c r="Y6" s="1757"/>
      <c r="Z6" s="1757"/>
      <c r="AA6" s="1757"/>
      <c r="AB6" s="1760"/>
      <c r="AC6" s="1756" t="s">
        <v>1408</v>
      </c>
      <c r="AD6" s="1757"/>
      <c r="AE6" s="1757"/>
      <c r="AF6" s="1757"/>
      <c r="AG6" s="1757"/>
      <c r="AH6" s="1757"/>
      <c r="AI6" s="1757"/>
      <c r="AJ6" s="1760"/>
      <c r="AK6" s="1756" t="s">
        <v>1408</v>
      </c>
      <c r="AL6" s="1757"/>
      <c r="AM6" s="1757"/>
      <c r="AN6" s="1757"/>
      <c r="AO6" s="1757"/>
      <c r="AP6" s="1757"/>
      <c r="AQ6" s="1757"/>
      <c r="AR6" s="1760"/>
      <c r="AS6" s="1756" t="s">
        <v>1408</v>
      </c>
      <c r="AT6" s="1757"/>
      <c r="AU6" s="1757"/>
      <c r="AV6" s="1757"/>
      <c r="AW6" s="1757"/>
      <c r="AX6" s="1757"/>
      <c r="AZ6" s="1760"/>
      <c r="BA6" s="1756" t="s">
        <v>1408</v>
      </c>
      <c r="BB6" s="1757"/>
      <c r="BC6" s="1757"/>
      <c r="BD6" s="1757"/>
      <c r="BE6" s="1757"/>
      <c r="BF6" s="1760"/>
      <c r="BG6" s="1756" t="s">
        <v>1408</v>
      </c>
      <c r="BH6" s="1757"/>
      <c r="BI6" s="1757"/>
      <c r="BJ6" s="1757"/>
      <c r="BK6" s="1757"/>
      <c r="BL6" s="1757"/>
      <c r="BM6" s="1757"/>
      <c r="BN6" s="1760"/>
      <c r="BO6" s="1756" t="s">
        <v>1408</v>
      </c>
      <c r="BP6" s="1757"/>
      <c r="BQ6" s="1757"/>
      <c r="BR6" s="1757"/>
      <c r="BS6" s="1757"/>
      <c r="BT6" s="1757"/>
      <c r="BU6" s="1760"/>
      <c r="BV6" s="1756" t="s">
        <v>1408</v>
      </c>
      <c r="BW6" s="1757"/>
      <c r="BX6" s="1757"/>
      <c r="BY6" s="1757"/>
    </row>
    <row r="7">
      <c r="A7" s="1765" t="s">
        <v>1413</v>
      </c>
      <c r="C7" s="1762" t="s">
        <v>1408</v>
      </c>
      <c r="D7" s="407"/>
      <c r="E7" s="407"/>
      <c r="F7" s="407"/>
      <c r="G7" s="407"/>
      <c r="H7" s="407"/>
      <c r="I7" s="1760"/>
      <c r="J7" s="1763" t="s">
        <v>1408</v>
      </c>
      <c r="K7" s="407"/>
      <c r="L7" s="407"/>
      <c r="M7" s="407"/>
      <c r="N7" s="407"/>
      <c r="O7" s="1760"/>
      <c r="P7" s="1763" t="s">
        <v>1408</v>
      </c>
      <c r="Q7" s="407"/>
      <c r="R7" s="407"/>
      <c r="S7" s="407"/>
      <c r="T7" s="407"/>
      <c r="U7" s="407"/>
      <c r="V7" s="1760"/>
      <c r="W7" s="1763" t="s">
        <v>1408</v>
      </c>
      <c r="X7" s="407"/>
      <c r="Y7" s="407"/>
      <c r="Z7" s="407"/>
      <c r="AA7" s="407"/>
      <c r="AB7" s="1760"/>
      <c r="AC7" s="1766" t="s">
        <v>1414</v>
      </c>
      <c r="AD7" s="407"/>
      <c r="AE7" s="407"/>
      <c r="AF7" s="407"/>
      <c r="AG7" s="407"/>
      <c r="AH7" s="407"/>
      <c r="AI7" s="407"/>
      <c r="AJ7" s="1760"/>
      <c r="AK7" s="1766" t="s">
        <v>1414</v>
      </c>
      <c r="AL7" s="407"/>
      <c r="AM7" s="407"/>
      <c r="AN7" s="407"/>
      <c r="AO7" s="407"/>
      <c r="AP7" s="407"/>
      <c r="AQ7" s="407"/>
      <c r="AR7" s="1760"/>
      <c r="AS7" s="1763" t="s">
        <v>1408</v>
      </c>
      <c r="AT7" s="407"/>
      <c r="AU7" s="407"/>
      <c r="AV7" s="407"/>
      <c r="AW7" s="407"/>
      <c r="AX7" s="407"/>
      <c r="AZ7" s="1760"/>
      <c r="BA7" s="1767" t="s">
        <v>1414</v>
      </c>
      <c r="BB7" s="407"/>
      <c r="BC7" s="407"/>
      <c r="BD7" s="407"/>
      <c r="BE7" s="407"/>
      <c r="BF7" s="1760"/>
      <c r="BG7" s="1763" t="s">
        <v>1408</v>
      </c>
      <c r="BH7" s="407"/>
      <c r="BI7" s="407"/>
      <c r="BJ7" s="407"/>
      <c r="BK7" s="407"/>
      <c r="BL7" s="407"/>
      <c r="BM7" s="407"/>
      <c r="BN7" s="1760"/>
      <c r="BO7" s="1763" t="s">
        <v>1408</v>
      </c>
      <c r="BP7" s="407"/>
      <c r="BQ7" s="407"/>
      <c r="BR7" s="407"/>
      <c r="BS7" s="407"/>
      <c r="BT7" s="407"/>
      <c r="BU7" s="1760"/>
      <c r="BV7" s="1763" t="s">
        <v>1408</v>
      </c>
      <c r="BW7" s="407"/>
      <c r="BX7" s="407"/>
      <c r="BY7" s="407"/>
    </row>
    <row r="8">
      <c r="A8" s="1755" t="s">
        <v>1415</v>
      </c>
      <c r="C8" s="1756" t="s">
        <v>1408</v>
      </c>
      <c r="D8" s="1757"/>
      <c r="E8" s="1757"/>
      <c r="F8" s="1757"/>
      <c r="G8" s="1757"/>
      <c r="H8" s="1757"/>
      <c r="I8" s="1760"/>
      <c r="J8" s="1756" t="s">
        <v>1408</v>
      </c>
      <c r="K8" s="1757"/>
      <c r="L8" s="1756"/>
      <c r="M8" s="1757"/>
      <c r="N8" s="1757"/>
      <c r="O8" s="1760"/>
      <c r="P8" s="1759" t="s">
        <v>1408</v>
      </c>
      <c r="Q8" s="1757"/>
      <c r="R8" s="1757"/>
      <c r="S8" s="1757"/>
      <c r="T8" s="1757"/>
      <c r="U8" s="1757"/>
      <c r="V8" s="1760"/>
      <c r="W8" s="1756" t="s">
        <v>1408</v>
      </c>
      <c r="X8" s="1757"/>
      <c r="Y8" s="1757"/>
      <c r="Z8" s="1757"/>
      <c r="AA8" s="1757"/>
      <c r="AB8" s="1760"/>
      <c r="AC8" s="1756" t="s">
        <v>1408</v>
      </c>
      <c r="AD8" s="1757"/>
      <c r="AE8" s="1757"/>
      <c r="AF8" s="1757"/>
      <c r="AG8" s="1757"/>
      <c r="AH8" s="1757"/>
      <c r="AI8" s="1757"/>
      <c r="AJ8" s="1760"/>
      <c r="AK8" s="1759" t="s">
        <v>1408</v>
      </c>
      <c r="AL8" s="1757"/>
      <c r="AM8" s="1757"/>
      <c r="AN8" s="1757"/>
      <c r="AO8" s="1757"/>
      <c r="AP8" s="1757"/>
      <c r="AQ8" s="1757"/>
      <c r="AR8" s="1760"/>
      <c r="AS8" s="1756" t="s">
        <v>1408</v>
      </c>
      <c r="AT8" s="1757"/>
      <c r="AU8" s="1757"/>
      <c r="AV8" s="1757"/>
      <c r="AW8" s="1757"/>
      <c r="AX8" s="1757"/>
      <c r="AZ8" s="1760"/>
      <c r="BA8" s="1756" t="s">
        <v>1408</v>
      </c>
      <c r="BB8" s="1757"/>
      <c r="BC8" s="1757"/>
      <c r="BD8" s="1757"/>
      <c r="BE8" s="1757"/>
      <c r="BF8" s="1760"/>
      <c r="BG8" s="1756" t="s">
        <v>1408</v>
      </c>
      <c r="BH8" s="1757"/>
      <c r="BI8" s="1757"/>
      <c r="BJ8" s="1757"/>
      <c r="BK8" s="1757"/>
      <c r="BL8" s="1757"/>
      <c r="BM8" s="1757"/>
      <c r="BN8" s="1760"/>
      <c r="BO8" s="1756" t="s">
        <v>1408</v>
      </c>
      <c r="BP8" s="1757"/>
      <c r="BQ8" s="1757"/>
      <c r="BR8" s="1757"/>
      <c r="BS8" s="1757"/>
      <c r="BT8" s="1757"/>
      <c r="BU8" s="1760"/>
      <c r="BV8" s="1756" t="s">
        <v>1408</v>
      </c>
      <c r="BW8" s="1757"/>
      <c r="BX8" s="1757"/>
      <c r="BY8" s="1757"/>
    </row>
    <row r="9">
      <c r="A9" s="1765" t="s">
        <v>1416</v>
      </c>
      <c r="C9" s="1762" t="s">
        <v>1417</v>
      </c>
      <c r="D9" s="407"/>
      <c r="E9" s="407"/>
      <c r="F9" s="407"/>
      <c r="G9" s="407"/>
      <c r="H9" s="407"/>
      <c r="I9" s="1760"/>
      <c r="J9" s="1768" t="s">
        <v>1418</v>
      </c>
      <c r="K9" s="407"/>
      <c r="L9" s="407"/>
      <c r="M9" s="407"/>
      <c r="N9" s="407"/>
      <c r="O9" s="1760"/>
      <c r="P9" s="1763" t="s">
        <v>1418</v>
      </c>
      <c r="Q9" s="407"/>
      <c r="R9" s="407"/>
      <c r="S9" s="407"/>
      <c r="T9" s="407"/>
      <c r="U9" s="407"/>
      <c r="V9" s="1760"/>
      <c r="W9" s="1769" t="s">
        <v>1419</v>
      </c>
      <c r="X9" s="407"/>
      <c r="Y9" s="407"/>
      <c r="Z9" s="407"/>
      <c r="AA9" s="407"/>
      <c r="AB9" s="1760"/>
      <c r="AC9" s="1770" t="s">
        <v>1420</v>
      </c>
      <c r="AD9" s="407"/>
      <c r="AE9" s="407"/>
      <c r="AF9" s="407"/>
      <c r="AG9" s="407"/>
      <c r="AH9" s="407"/>
      <c r="AI9" s="407"/>
      <c r="AJ9" s="1760"/>
      <c r="AK9" s="407"/>
      <c r="AL9" s="407"/>
      <c r="AM9" s="407"/>
      <c r="AN9" s="407"/>
      <c r="AO9" s="407"/>
      <c r="AP9" s="407"/>
      <c r="AQ9" s="407"/>
      <c r="AR9" s="1760"/>
      <c r="AS9" s="407"/>
      <c r="AT9" s="407"/>
      <c r="AU9" s="407"/>
      <c r="AV9" s="407"/>
      <c r="AW9" s="407"/>
      <c r="AX9" s="407"/>
      <c r="AZ9" s="1760"/>
      <c r="BA9" s="1763" t="s">
        <v>1421</v>
      </c>
      <c r="BD9" s="407"/>
      <c r="BE9" s="407"/>
      <c r="BF9" s="1760"/>
      <c r="BG9" s="1770" t="s">
        <v>1422</v>
      </c>
      <c r="BH9" s="407"/>
      <c r="BI9" s="407"/>
      <c r="BJ9" s="407"/>
      <c r="BK9" s="407"/>
      <c r="BL9" s="407"/>
      <c r="BM9" s="407"/>
      <c r="BN9" s="1760"/>
      <c r="BO9" s="1771"/>
      <c r="BP9" s="407"/>
      <c r="BQ9" s="407"/>
      <c r="BR9" s="407"/>
      <c r="BS9" s="407"/>
      <c r="BT9" s="407"/>
      <c r="BU9" s="1760"/>
      <c r="BV9" s="1771"/>
      <c r="BW9" s="407"/>
      <c r="BX9" s="407"/>
      <c r="BY9" s="407"/>
    </row>
    <row r="10">
      <c r="A10" s="1772"/>
      <c r="B10" s="1772"/>
      <c r="C10" s="407"/>
      <c r="D10" s="407"/>
      <c r="E10" s="407"/>
      <c r="F10" s="407"/>
      <c r="G10" s="407"/>
      <c r="H10" s="407"/>
      <c r="I10" s="1760"/>
      <c r="J10" s="407"/>
      <c r="K10" s="407"/>
      <c r="L10" s="407"/>
      <c r="M10" s="407"/>
      <c r="N10" s="407"/>
      <c r="O10" s="1760"/>
      <c r="P10" s="407"/>
      <c r="Q10" s="407"/>
      <c r="R10" s="407"/>
      <c r="S10" s="407"/>
      <c r="T10" s="407"/>
      <c r="U10" s="407"/>
      <c r="V10" s="1760"/>
      <c r="W10" s="407"/>
      <c r="X10" s="407"/>
      <c r="Y10" s="407"/>
      <c r="Z10" s="407"/>
      <c r="AA10" s="407"/>
      <c r="AB10" s="1760"/>
      <c r="AC10" s="407"/>
      <c r="AD10" s="407"/>
      <c r="AE10" s="407"/>
      <c r="AF10" s="407"/>
      <c r="AG10" s="407"/>
      <c r="AH10" s="407"/>
      <c r="AI10" s="407"/>
      <c r="AJ10" s="1760"/>
      <c r="AK10" s="407"/>
      <c r="AL10" s="407"/>
      <c r="AM10" s="407"/>
      <c r="AN10" s="407"/>
      <c r="AO10" s="407"/>
      <c r="AP10" s="407"/>
      <c r="AQ10" s="407"/>
      <c r="AR10" s="1760"/>
      <c r="AS10" s="407"/>
      <c r="AT10" s="407"/>
      <c r="AU10" s="407"/>
      <c r="AV10" s="407"/>
      <c r="AW10" s="407"/>
      <c r="AX10" s="407"/>
      <c r="AZ10" s="1760"/>
      <c r="BA10" s="407"/>
      <c r="BB10" s="407"/>
      <c r="BC10" s="407"/>
      <c r="BD10" s="407"/>
      <c r="BE10" s="407"/>
      <c r="BF10" s="1760"/>
      <c r="BG10" s="407"/>
      <c r="BH10" s="407"/>
      <c r="BI10" s="407"/>
      <c r="BJ10" s="407"/>
      <c r="BK10" s="407"/>
      <c r="BL10" s="407"/>
      <c r="BM10" s="407"/>
      <c r="BN10" s="1760"/>
      <c r="BO10" s="407"/>
      <c r="BP10" s="407"/>
      <c r="BQ10" s="407"/>
      <c r="BR10" s="407"/>
      <c r="BS10" s="407"/>
      <c r="BT10" s="407"/>
      <c r="BU10" s="1760"/>
      <c r="BV10" s="407"/>
      <c r="BW10" s="407"/>
      <c r="BX10" s="407"/>
      <c r="BY10" s="407"/>
    </row>
    <row r="11">
      <c r="A11" s="1773" t="s">
        <v>1423</v>
      </c>
      <c r="C11" s="1774" t="s">
        <v>83</v>
      </c>
      <c r="D11" s="1595" t="s">
        <v>13</v>
      </c>
      <c r="E11" s="875" t="s">
        <v>1424</v>
      </c>
      <c r="F11" s="1595" t="s">
        <v>1425</v>
      </c>
      <c r="G11" s="407"/>
      <c r="H11" s="407"/>
      <c r="I11" s="1760"/>
      <c r="J11" s="1774" t="s">
        <v>83</v>
      </c>
      <c r="K11" s="1595" t="s">
        <v>13</v>
      </c>
      <c r="L11" s="875" t="s">
        <v>1424</v>
      </c>
      <c r="M11" s="1595" t="s">
        <v>1425</v>
      </c>
      <c r="N11" s="407"/>
      <c r="O11" s="1760"/>
      <c r="P11" s="1775"/>
      <c r="Q11" s="1776" t="s">
        <v>13</v>
      </c>
      <c r="R11" s="1777" t="s">
        <v>1424</v>
      </c>
      <c r="S11" s="1776" t="s">
        <v>1425</v>
      </c>
      <c r="T11" s="407"/>
      <c r="U11" s="407"/>
      <c r="V11" s="1760"/>
      <c r="W11" s="1774" t="s">
        <v>83</v>
      </c>
      <c r="X11" s="1776" t="s">
        <v>13</v>
      </c>
      <c r="Y11" s="1777" t="s">
        <v>1424</v>
      </c>
      <c r="Z11" s="1776" t="s">
        <v>1425</v>
      </c>
      <c r="AA11" s="407"/>
      <c r="AB11" s="1760"/>
      <c r="AC11" s="1774" t="s">
        <v>83</v>
      </c>
      <c r="AD11" s="1776" t="s">
        <v>13</v>
      </c>
      <c r="AE11" s="1776" t="s">
        <v>1425</v>
      </c>
      <c r="AF11" s="407"/>
      <c r="AG11" s="407"/>
      <c r="AH11" s="407"/>
      <c r="AI11" s="407"/>
      <c r="AJ11" s="1760"/>
      <c r="AK11" s="1774" t="s">
        <v>83</v>
      </c>
      <c r="AL11" s="1776" t="s">
        <v>13</v>
      </c>
      <c r="AM11" s="1777" t="s">
        <v>1424</v>
      </c>
      <c r="AN11" s="1776" t="s">
        <v>1425</v>
      </c>
      <c r="AO11" s="407"/>
      <c r="AP11" s="407"/>
      <c r="AQ11" s="407"/>
      <c r="AR11" s="1760"/>
      <c r="AS11" s="1774" t="s">
        <v>83</v>
      </c>
      <c r="AT11" s="1776" t="s">
        <v>13</v>
      </c>
      <c r="AU11" s="407"/>
      <c r="AV11" s="407"/>
      <c r="AW11" s="407"/>
      <c r="AX11" s="407"/>
      <c r="AZ11" s="1760"/>
      <c r="BA11" s="1774" t="s">
        <v>83</v>
      </c>
      <c r="BB11" s="1776" t="s">
        <v>13</v>
      </c>
      <c r="BC11" s="1777" t="s">
        <v>1425</v>
      </c>
      <c r="BD11" s="1776"/>
      <c r="BE11" s="407"/>
      <c r="BF11" s="1760"/>
      <c r="BG11" s="1774" t="s">
        <v>83</v>
      </c>
      <c r="BH11" s="1776" t="s">
        <v>13</v>
      </c>
      <c r="BI11" s="1777" t="s">
        <v>1425</v>
      </c>
      <c r="BJ11" s="407"/>
      <c r="BK11" s="407"/>
      <c r="BL11" s="407"/>
      <c r="BM11" s="407"/>
      <c r="BN11" s="1760"/>
      <c r="BO11" s="1778" t="s">
        <v>83</v>
      </c>
      <c r="BP11" s="1779" t="s">
        <v>13</v>
      </c>
      <c r="BQ11" s="1780" t="s">
        <v>1425</v>
      </c>
      <c r="BR11" s="407"/>
      <c r="BS11" s="407"/>
      <c r="BT11" s="407"/>
      <c r="BU11" s="1760"/>
      <c r="BV11" s="1774" t="s">
        <v>83</v>
      </c>
      <c r="BW11" s="1776" t="s">
        <v>13</v>
      </c>
      <c r="BX11" s="1777" t="s">
        <v>1425</v>
      </c>
      <c r="BY11" s="407"/>
    </row>
    <row r="12">
      <c r="A12" s="1781" t="s">
        <v>1426</v>
      </c>
      <c r="B12" s="1782"/>
      <c r="C12" s="1783" t="s">
        <v>1204</v>
      </c>
      <c r="D12" s="1784">
        <v>6.0</v>
      </c>
      <c r="E12" s="1785">
        <v>0.2171</v>
      </c>
      <c r="F12" s="1785">
        <v>0.25</v>
      </c>
      <c r="G12" s="407"/>
      <c r="H12" s="407"/>
      <c r="I12" s="1760"/>
      <c r="J12" s="1783" t="s">
        <v>1204</v>
      </c>
      <c r="K12" s="1783">
        <v>7.0</v>
      </c>
      <c r="L12" s="1786">
        <v>0.2815</v>
      </c>
      <c r="M12" s="1783" t="s">
        <v>1427</v>
      </c>
      <c r="N12" s="407"/>
      <c r="O12" s="1760"/>
      <c r="P12" s="1783" t="s">
        <v>1204</v>
      </c>
      <c r="Q12" s="1783">
        <v>6.0</v>
      </c>
      <c r="R12" s="1783" t="s">
        <v>1428</v>
      </c>
      <c r="S12" s="1783" t="s">
        <v>1429</v>
      </c>
      <c r="T12" s="407"/>
      <c r="U12" s="407"/>
      <c r="V12" s="1760"/>
      <c r="W12" s="1783" t="s">
        <v>1204</v>
      </c>
      <c r="X12" s="1783">
        <v>5.0</v>
      </c>
      <c r="Y12" s="1787">
        <v>0.2216</v>
      </c>
      <c r="Z12" s="1783" t="s">
        <v>1430</v>
      </c>
      <c r="AA12" s="407"/>
      <c r="AB12" s="1760"/>
      <c r="AC12" s="1783" t="str">
        <f>"D66"&amp; CHAR(185)</f>
        <v>D66¹</v>
      </c>
      <c r="AD12" s="1783">
        <v>7.0</v>
      </c>
      <c r="AE12" s="1786">
        <v>0.28</v>
      </c>
      <c r="AF12" s="407"/>
      <c r="AG12" s="407"/>
      <c r="AH12" s="407"/>
      <c r="AI12" s="407"/>
      <c r="AJ12" s="1760"/>
      <c r="AK12" s="1788" t="s">
        <v>1204</v>
      </c>
      <c r="AL12" s="1788">
        <v>5.0</v>
      </c>
      <c r="AM12" s="1786">
        <v>0.2438</v>
      </c>
      <c r="AN12" s="1788" t="s">
        <v>1430</v>
      </c>
      <c r="AO12" s="1789"/>
      <c r="AP12" s="407"/>
      <c r="AQ12" s="407"/>
      <c r="AR12" s="1760"/>
      <c r="AS12" s="1790" t="s">
        <v>528</v>
      </c>
      <c r="AT12" s="1790">
        <v>6.0</v>
      </c>
      <c r="AU12" s="1791">
        <v>0.24</v>
      </c>
      <c r="AV12" s="309"/>
      <c r="AW12" s="407"/>
      <c r="AX12" s="407"/>
      <c r="AZ12" s="1760"/>
      <c r="BA12" s="1792" t="s">
        <v>519</v>
      </c>
      <c r="BB12" s="1792">
        <v>5.0</v>
      </c>
      <c r="BC12" s="1793">
        <v>0.1429</v>
      </c>
      <c r="BD12" s="1772"/>
      <c r="BE12" s="309"/>
      <c r="BF12" s="1794"/>
      <c r="BG12" s="1202" t="s">
        <v>440</v>
      </c>
      <c r="BH12" s="1202">
        <v>7.0</v>
      </c>
      <c r="BI12" s="1795">
        <v>0.28</v>
      </c>
      <c r="BJ12" s="407"/>
      <c r="BK12" s="407"/>
      <c r="BL12" s="407"/>
      <c r="BM12" s="407"/>
      <c r="BN12" s="1760"/>
      <c r="BO12" s="1796" t="s">
        <v>36</v>
      </c>
      <c r="BP12" s="1796">
        <v>6.0</v>
      </c>
      <c r="BQ12" s="1797">
        <v>0.24</v>
      </c>
      <c r="BR12" s="407"/>
      <c r="BS12" s="407"/>
      <c r="BT12" s="407"/>
      <c r="BU12" s="1760"/>
      <c r="BV12" s="1798" t="s">
        <v>15</v>
      </c>
      <c r="BW12" s="1798">
        <v>8.0</v>
      </c>
      <c r="BX12" s="1799">
        <v>0.32</v>
      </c>
      <c r="BY12" s="309"/>
    </row>
    <row r="13">
      <c r="A13" s="1800"/>
      <c r="B13" s="1782"/>
      <c r="C13" s="1790" t="s">
        <v>528</v>
      </c>
      <c r="D13" s="1801">
        <v>4.0</v>
      </c>
      <c r="E13" s="1802">
        <v>0.1447</v>
      </c>
      <c r="F13" s="1802">
        <v>0.1667</v>
      </c>
      <c r="G13" s="407"/>
      <c r="H13" s="407"/>
      <c r="I13" s="1760"/>
      <c r="J13" s="1803" t="s">
        <v>1159</v>
      </c>
      <c r="K13" s="1804">
        <v>5.0</v>
      </c>
      <c r="L13" s="1805">
        <v>0.2017</v>
      </c>
      <c r="M13" s="1804" t="s">
        <v>1430</v>
      </c>
      <c r="N13" s="407"/>
      <c r="O13" s="1760"/>
      <c r="P13" s="1803" t="s">
        <v>1159</v>
      </c>
      <c r="Q13" s="1803">
        <v>5.0</v>
      </c>
      <c r="R13" s="1803" t="s">
        <v>1428</v>
      </c>
      <c r="S13" s="1803" t="s">
        <v>1430</v>
      </c>
      <c r="T13" s="407"/>
      <c r="U13" s="407"/>
      <c r="V13" s="1760"/>
      <c r="W13" s="1803" t="s">
        <v>1159</v>
      </c>
      <c r="X13" s="1803">
        <v>4.0</v>
      </c>
      <c r="Y13" s="1805">
        <v>0.146</v>
      </c>
      <c r="Z13" s="1803" t="s">
        <v>1431</v>
      </c>
      <c r="AA13" s="407"/>
      <c r="AB13" s="1760"/>
      <c r="AC13" s="1803" t="s">
        <v>1159</v>
      </c>
      <c r="AD13" s="1803">
        <v>7.0</v>
      </c>
      <c r="AE13" s="1805">
        <v>0.28</v>
      </c>
      <c r="AF13" s="407"/>
      <c r="AG13" s="407"/>
      <c r="AH13" s="407"/>
      <c r="AI13" s="407"/>
      <c r="AJ13" s="1760"/>
      <c r="AK13" s="1806" t="s">
        <v>533</v>
      </c>
      <c r="AL13" s="1806">
        <v>5.0</v>
      </c>
      <c r="AM13" s="1807">
        <v>0.1969</v>
      </c>
      <c r="AN13" s="1806" t="s">
        <v>1430</v>
      </c>
      <c r="AO13" s="1789"/>
      <c r="AP13" s="407"/>
      <c r="AQ13" s="407"/>
      <c r="AR13" s="1760"/>
      <c r="AS13" s="1808" t="s">
        <v>1208</v>
      </c>
      <c r="AT13" s="1808">
        <v>5.0</v>
      </c>
      <c r="AU13" s="1808" t="s">
        <v>1430</v>
      </c>
      <c r="AV13" s="309"/>
      <c r="AW13" s="407"/>
      <c r="AX13" s="407"/>
      <c r="AZ13" s="1760"/>
      <c r="BA13" s="1809" t="s">
        <v>518</v>
      </c>
      <c r="BB13" s="1809">
        <v>5.0</v>
      </c>
      <c r="BC13" s="1810">
        <v>0.1429</v>
      </c>
      <c r="BD13" s="1772"/>
      <c r="BE13" s="309"/>
      <c r="BF13" s="1794"/>
      <c r="BG13" s="1811" t="s">
        <v>31</v>
      </c>
      <c r="BH13" s="1811">
        <v>6.0</v>
      </c>
      <c r="BI13" s="1812">
        <v>0.24</v>
      </c>
      <c r="BJ13" s="407"/>
      <c r="BK13" s="407"/>
      <c r="BL13" s="407"/>
      <c r="BM13" s="407"/>
      <c r="BN13" s="1760"/>
      <c r="BO13" s="1813" t="s">
        <v>740</v>
      </c>
      <c r="BP13" s="1813">
        <v>4.0</v>
      </c>
      <c r="BQ13" s="1814">
        <v>0.16</v>
      </c>
      <c r="BR13" s="309"/>
      <c r="BS13" s="407"/>
      <c r="BT13" s="407"/>
      <c r="BU13" s="1760"/>
      <c r="BV13" s="1815" t="s">
        <v>24</v>
      </c>
      <c r="BW13" s="1815">
        <v>6.0</v>
      </c>
      <c r="BX13" s="1816">
        <v>0.24</v>
      </c>
      <c r="BY13" s="309"/>
    </row>
    <row r="14">
      <c r="A14" s="1800"/>
      <c r="B14" s="1782"/>
      <c r="C14" s="1817" t="str">
        <f>"GL"&amp; CHAR(185)</f>
        <v>GL¹</v>
      </c>
      <c r="D14" s="1818">
        <v>4.0</v>
      </c>
      <c r="E14" s="1819">
        <v>0.1447</v>
      </c>
      <c r="F14" s="1819">
        <v>0.1667</v>
      </c>
      <c r="G14" s="407"/>
      <c r="H14" s="407"/>
      <c r="I14" s="1760"/>
      <c r="J14" s="1790" t="s">
        <v>528</v>
      </c>
      <c r="K14" s="1790">
        <v>3.0</v>
      </c>
      <c r="L14" s="1791">
        <v>0.1092</v>
      </c>
      <c r="M14" s="1790" t="s">
        <v>1432</v>
      </c>
      <c r="N14" s="407"/>
      <c r="O14" s="1760"/>
      <c r="P14" s="1076" t="s">
        <v>1142</v>
      </c>
      <c r="Q14" s="1076">
        <v>3.0</v>
      </c>
      <c r="R14" s="1076" t="s">
        <v>1428</v>
      </c>
      <c r="S14" s="1076" t="s">
        <v>1432</v>
      </c>
      <c r="T14" s="407"/>
      <c r="U14" s="407"/>
      <c r="V14" s="1760"/>
      <c r="W14" s="1076" t="s">
        <v>1142</v>
      </c>
      <c r="X14" s="1076">
        <v>3.0</v>
      </c>
      <c r="Y14" s="1820">
        <v>0.1027</v>
      </c>
      <c r="Z14" s="1076" t="s">
        <v>1432</v>
      </c>
      <c r="AA14" s="407"/>
      <c r="AB14" s="1760"/>
      <c r="AC14" s="1106" t="s">
        <v>1186</v>
      </c>
      <c r="AD14" s="1106">
        <v>3.0</v>
      </c>
      <c r="AE14" s="1106" t="s">
        <v>1432</v>
      </c>
      <c r="AF14" s="407"/>
      <c r="AG14" s="407"/>
      <c r="AH14" s="407"/>
      <c r="AI14" s="407"/>
      <c r="AJ14" s="1760"/>
      <c r="AK14" s="1821" t="s">
        <v>446</v>
      </c>
      <c r="AL14" s="1821">
        <v>5.0</v>
      </c>
      <c r="AM14" s="1822">
        <v>0.1969</v>
      </c>
      <c r="AN14" s="1821" t="s">
        <v>1430</v>
      </c>
      <c r="AO14" s="1789"/>
      <c r="AP14" s="407"/>
      <c r="AQ14" s="407"/>
      <c r="AR14" s="1760"/>
      <c r="AS14" s="1823" t="s">
        <v>1204</v>
      </c>
      <c r="AT14" s="1823">
        <v>3.0</v>
      </c>
      <c r="AU14" s="1823" t="s">
        <v>1432</v>
      </c>
      <c r="AV14" s="309"/>
      <c r="AW14" s="407"/>
      <c r="AX14" s="407"/>
      <c r="AZ14" s="1760"/>
      <c r="BA14" s="1824" t="s">
        <v>520</v>
      </c>
      <c r="BB14" s="1824">
        <v>4.0</v>
      </c>
      <c r="BC14" s="1825">
        <v>0.1143</v>
      </c>
      <c r="BD14" s="1772"/>
      <c r="BE14" s="309"/>
      <c r="BF14" s="1794"/>
      <c r="BG14" s="1792" t="s">
        <v>519</v>
      </c>
      <c r="BH14" s="1792">
        <v>4.0</v>
      </c>
      <c r="BI14" s="1793">
        <v>0.16</v>
      </c>
      <c r="BJ14" s="407"/>
      <c r="BK14" s="407"/>
      <c r="BL14" s="407"/>
      <c r="BM14" s="407"/>
      <c r="BN14" s="1760"/>
      <c r="BO14" s="1826" t="s">
        <v>461</v>
      </c>
      <c r="BP14" s="1826">
        <v>4.0</v>
      </c>
      <c r="BQ14" s="1827">
        <v>0.16</v>
      </c>
      <c r="BR14" s="309"/>
      <c r="BS14" s="407"/>
      <c r="BT14" s="407"/>
      <c r="BU14" s="1760"/>
      <c r="BV14" s="1828" t="s">
        <v>36</v>
      </c>
      <c r="BW14" s="1828">
        <v>5.0</v>
      </c>
      <c r="BX14" s="1829">
        <v>0.2</v>
      </c>
      <c r="BY14" s="407"/>
    </row>
    <row r="15">
      <c r="A15" s="1782"/>
      <c r="B15" s="1782"/>
      <c r="C15" s="1830" t="s">
        <v>1154</v>
      </c>
      <c r="D15" s="1831">
        <v>3.0</v>
      </c>
      <c r="E15" s="1832">
        <v>0.1184</v>
      </c>
      <c r="F15" s="1832">
        <v>0.125</v>
      </c>
      <c r="G15" s="407"/>
      <c r="H15" s="407"/>
      <c r="I15" s="1760"/>
      <c r="J15" s="1074" t="str">
        <f>"MPN" &amp; CHAR(185)</f>
        <v>MPN¹</v>
      </c>
      <c r="K15" s="1074">
        <v>3.0</v>
      </c>
      <c r="L15" s="1833">
        <v>0.105</v>
      </c>
      <c r="M15" s="1074" t="s">
        <v>1432</v>
      </c>
      <c r="N15" s="407"/>
      <c r="O15" s="1760"/>
      <c r="P15" s="1790" t="s">
        <v>528</v>
      </c>
      <c r="Q15" s="1790">
        <v>3.0</v>
      </c>
      <c r="R15" s="1790" t="s">
        <v>1428</v>
      </c>
      <c r="S15" s="1790" t="s">
        <v>1432</v>
      </c>
      <c r="T15" s="407"/>
      <c r="U15" s="407"/>
      <c r="V15" s="1760"/>
      <c r="W15" s="1790" t="s">
        <v>528</v>
      </c>
      <c r="X15" s="1790">
        <v>3.0</v>
      </c>
      <c r="Y15" s="1834">
        <v>0.119</v>
      </c>
      <c r="Z15" s="1790" t="s">
        <v>1432</v>
      </c>
      <c r="AA15" s="407"/>
      <c r="AB15" s="1760"/>
      <c r="AC15" s="1790" t="s">
        <v>528</v>
      </c>
      <c r="AD15" s="1790">
        <v>3.0</v>
      </c>
      <c r="AE15" s="1790" t="s">
        <v>1432</v>
      </c>
      <c r="AF15" s="407"/>
      <c r="AG15" s="407"/>
      <c r="AH15" s="407"/>
      <c r="AI15" s="407"/>
      <c r="AJ15" s="1760"/>
      <c r="AK15" s="1835" t="s">
        <v>1205</v>
      </c>
      <c r="AL15" s="1835">
        <v>4.0</v>
      </c>
      <c r="AM15" s="1836">
        <v>0.1469</v>
      </c>
      <c r="AN15" s="1835" t="s">
        <v>1431</v>
      </c>
      <c r="AO15" s="1789"/>
      <c r="AP15" s="407"/>
      <c r="AQ15" s="407"/>
      <c r="AR15" s="1760"/>
      <c r="AS15" s="1835" t="s">
        <v>1205</v>
      </c>
      <c r="AT15" s="1835">
        <v>3.0</v>
      </c>
      <c r="AU15" s="1835" t="s">
        <v>1432</v>
      </c>
      <c r="AV15" s="309"/>
      <c r="AW15" s="407"/>
      <c r="AX15" s="407"/>
      <c r="AZ15" s="1760"/>
      <c r="BA15" s="1837" t="s">
        <v>522</v>
      </c>
      <c r="BB15" s="1837">
        <v>4.0</v>
      </c>
      <c r="BC15" s="1838">
        <v>0.1143</v>
      </c>
      <c r="BD15" s="1772"/>
      <c r="BE15" s="1839"/>
      <c r="BF15" s="1840"/>
      <c r="BG15" s="1841" t="s">
        <v>449</v>
      </c>
      <c r="BH15" s="1841">
        <v>3.0</v>
      </c>
      <c r="BI15" s="1842">
        <v>0.12</v>
      </c>
      <c r="BJ15" s="407"/>
      <c r="BK15" s="309"/>
      <c r="BL15" s="407"/>
      <c r="BM15" s="407"/>
      <c r="BN15" s="1760"/>
      <c r="BO15" s="1811" t="s">
        <v>31</v>
      </c>
      <c r="BP15" s="1811">
        <v>4.0</v>
      </c>
      <c r="BQ15" s="1812">
        <v>0.16</v>
      </c>
      <c r="BR15" s="309"/>
      <c r="BS15" s="407"/>
      <c r="BT15" s="407"/>
      <c r="BU15" s="1760"/>
      <c r="BV15" s="1843" t="s">
        <v>31</v>
      </c>
      <c r="BW15" s="1843">
        <v>5.0</v>
      </c>
      <c r="BX15" s="1844">
        <v>0.2</v>
      </c>
      <c r="BY15" s="407"/>
    </row>
    <row r="16">
      <c r="A16" s="1782"/>
      <c r="B16" s="1782"/>
      <c r="C16" s="1845" t="str">
        <f>"CPN" &amp; CHAR(185)</f>
        <v>CPN¹</v>
      </c>
      <c r="D16" s="1846">
        <v>3.0</v>
      </c>
      <c r="E16" s="1847">
        <v>0.1184</v>
      </c>
      <c r="F16" s="1847">
        <v>0.125</v>
      </c>
      <c r="G16" s="407"/>
      <c r="H16" s="407"/>
      <c r="I16" s="1760"/>
      <c r="J16" s="1848" t="s">
        <v>1161</v>
      </c>
      <c r="K16" s="1848">
        <v>3.0</v>
      </c>
      <c r="L16" s="1849">
        <v>0.1218</v>
      </c>
      <c r="M16" s="1848" t="s">
        <v>1432</v>
      </c>
      <c r="N16" s="407"/>
      <c r="O16" s="1760"/>
      <c r="P16" s="1848" t="s">
        <v>1161</v>
      </c>
      <c r="Q16" s="1848">
        <v>3.0</v>
      </c>
      <c r="R16" s="1848" t="s">
        <v>1428</v>
      </c>
      <c r="S16" s="1848" t="s">
        <v>1432</v>
      </c>
      <c r="T16" s="407"/>
      <c r="U16" s="407"/>
      <c r="V16" s="1760"/>
      <c r="W16" s="1848" t="s">
        <v>1161</v>
      </c>
      <c r="X16" s="1848">
        <v>3.0</v>
      </c>
      <c r="Y16" s="1849">
        <v>0.1135</v>
      </c>
      <c r="Z16" s="1848" t="s">
        <v>1432</v>
      </c>
      <c r="AA16" s="407"/>
      <c r="AB16" s="1760"/>
      <c r="AC16" s="1076" t="s">
        <v>1142</v>
      </c>
      <c r="AD16" s="1076">
        <v>2.0</v>
      </c>
      <c r="AE16" s="1076" t="s">
        <v>1433</v>
      </c>
      <c r="AF16" s="407"/>
      <c r="AG16" s="407"/>
      <c r="AH16" s="407"/>
      <c r="AI16" s="407"/>
      <c r="AJ16" s="1760"/>
      <c r="AK16" s="1790" t="s">
        <v>528</v>
      </c>
      <c r="AL16" s="1790">
        <v>3.0</v>
      </c>
      <c r="AM16" s="1834">
        <v>0.1125</v>
      </c>
      <c r="AN16" s="1790" t="s">
        <v>1432</v>
      </c>
      <c r="AO16" s="1789"/>
      <c r="AP16" s="407"/>
      <c r="AQ16" s="407"/>
      <c r="AR16" s="1760"/>
      <c r="AS16" s="1850" t="s">
        <v>1207</v>
      </c>
      <c r="AT16" s="1850">
        <v>3.0</v>
      </c>
      <c r="AU16" s="1850" t="s">
        <v>1432</v>
      </c>
      <c r="AV16" s="309"/>
      <c r="AW16" s="407"/>
      <c r="AX16" s="407"/>
      <c r="AZ16" s="1760"/>
      <c r="BA16" s="1811" t="s">
        <v>31</v>
      </c>
      <c r="BB16" s="1811">
        <v>4.0</v>
      </c>
      <c r="BC16" s="1812">
        <v>0.1143</v>
      </c>
      <c r="BD16" s="1772"/>
      <c r="BE16" s="309"/>
      <c r="BF16" s="1794"/>
      <c r="BG16" s="1809" t="s">
        <v>518</v>
      </c>
      <c r="BH16" s="1809">
        <v>2.0</v>
      </c>
      <c r="BI16" s="1810">
        <v>0.08</v>
      </c>
      <c r="BJ16" s="407"/>
      <c r="BK16" s="309"/>
      <c r="BL16" s="407"/>
      <c r="BM16" s="407"/>
      <c r="BN16" s="1760"/>
      <c r="BO16" s="1841" t="s">
        <v>449</v>
      </c>
      <c r="BP16" s="1841">
        <v>2.0</v>
      </c>
      <c r="BQ16" s="1842">
        <v>0.08</v>
      </c>
      <c r="BR16" s="407"/>
      <c r="BS16" s="407"/>
      <c r="BT16" s="407"/>
      <c r="BU16" s="1760"/>
      <c r="BV16" s="1851" t="s">
        <v>49</v>
      </c>
      <c r="BW16" s="1851">
        <v>1.0</v>
      </c>
      <c r="BX16" s="1852">
        <v>0.04</v>
      </c>
      <c r="BY16" s="407"/>
    </row>
    <row r="17">
      <c r="A17" s="1782"/>
      <c r="B17" s="1782"/>
      <c r="C17" s="1848" t="s">
        <v>1161</v>
      </c>
      <c r="D17" s="1853">
        <v>1.0</v>
      </c>
      <c r="E17" s="1854">
        <v>0.0592</v>
      </c>
      <c r="F17" s="1854">
        <v>0.0417</v>
      </c>
      <c r="G17" s="407"/>
      <c r="H17" s="407"/>
      <c r="I17" s="1760"/>
      <c r="J17" s="1090" t="str">
        <f>"S&amp;V" &amp; CHAR(185)</f>
        <v>S&amp;V¹</v>
      </c>
      <c r="K17" s="1090">
        <v>2.0</v>
      </c>
      <c r="L17" s="1855">
        <v>0.0798</v>
      </c>
      <c r="M17" s="1090" t="s">
        <v>1433</v>
      </c>
      <c r="N17" s="407"/>
      <c r="O17" s="1760"/>
      <c r="P17" s="1090" t="s">
        <v>1168</v>
      </c>
      <c r="Q17" s="1090">
        <v>2.0</v>
      </c>
      <c r="R17" s="1090" t="s">
        <v>1428</v>
      </c>
      <c r="S17" s="1090" t="s">
        <v>1433</v>
      </c>
      <c r="T17" s="407"/>
      <c r="U17" s="407"/>
      <c r="V17" s="1760"/>
      <c r="W17" s="1099" t="s">
        <v>1178</v>
      </c>
      <c r="X17" s="1099">
        <v>2.0</v>
      </c>
      <c r="Y17" s="1856">
        <v>0.0702</v>
      </c>
      <c r="Z17" s="1099" t="s">
        <v>1433</v>
      </c>
      <c r="AA17" s="407"/>
      <c r="AB17" s="1760"/>
      <c r="AC17" s="1848" t="s">
        <v>1161</v>
      </c>
      <c r="AD17" s="1848">
        <v>2.0</v>
      </c>
      <c r="AE17" s="1848" t="s">
        <v>1433</v>
      </c>
      <c r="AF17" s="407"/>
      <c r="AG17" s="407"/>
      <c r="AH17" s="407"/>
      <c r="AI17" s="407"/>
      <c r="AJ17" s="1760"/>
      <c r="AK17" s="1850" t="s">
        <v>1207</v>
      </c>
      <c r="AL17" s="1850">
        <v>2.0</v>
      </c>
      <c r="AM17" s="1857">
        <v>0.0625</v>
      </c>
      <c r="AN17" s="1850" t="s">
        <v>1433</v>
      </c>
      <c r="AO17" s="1789"/>
      <c r="AP17" s="407"/>
      <c r="AQ17" s="407"/>
      <c r="AR17" s="1760"/>
      <c r="AS17" s="1858" t="s">
        <v>1212</v>
      </c>
      <c r="AT17" s="1858">
        <v>3.0</v>
      </c>
      <c r="AU17" s="1858" t="s">
        <v>1432</v>
      </c>
      <c r="AV17" s="309"/>
      <c r="AW17" s="407"/>
      <c r="AX17" s="407"/>
      <c r="AZ17" s="1760"/>
      <c r="BA17" s="1859" t="s">
        <v>524</v>
      </c>
      <c r="BB17" s="1859">
        <v>3.0</v>
      </c>
      <c r="BC17" s="1860">
        <v>0.0857</v>
      </c>
      <c r="BD17" s="1772"/>
      <c r="BE17" s="309"/>
      <c r="BF17" s="1794"/>
      <c r="BG17" s="1861" t="s">
        <v>452</v>
      </c>
      <c r="BH17" s="1861">
        <v>1.0</v>
      </c>
      <c r="BI17" s="1862">
        <v>0.04</v>
      </c>
      <c r="BJ17" s="407"/>
      <c r="BK17" s="309"/>
      <c r="BL17" s="407"/>
      <c r="BM17" s="407"/>
      <c r="BN17" s="1760"/>
      <c r="BO17" s="1863" t="s">
        <v>698</v>
      </c>
      <c r="BP17" s="1863">
        <v>2.0</v>
      </c>
      <c r="BQ17" s="1864">
        <v>0.08</v>
      </c>
      <c r="BR17" s="407"/>
      <c r="BS17" s="407"/>
      <c r="BT17" s="407"/>
      <c r="BU17" s="1760"/>
      <c r="BV17" s="407"/>
      <c r="BW17" s="1771">
        <v>25.0</v>
      </c>
      <c r="BX17" s="1865">
        <v>1.0</v>
      </c>
      <c r="BY17" s="407"/>
    </row>
    <row r="18">
      <c r="A18" s="1760"/>
      <c r="B18" s="1760"/>
      <c r="C18" s="1866" t="s">
        <v>524</v>
      </c>
      <c r="D18" s="1867">
        <v>1.0</v>
      </c>
      <c r="E18" s="1868">
        <v>0.0526</v>
      </c>
      <c r="F18" s="1868">
        <v>0.0417</v>
      </c>
      <c r="G18" s="407"/>
      <c r="H18" s="407"/>
      <c r="I18" s="1760"/>
      <c r="J18" s="1866" t="s">
        <v>524</v>
      </c>
      <c r="K18" s="1866">
        <v>1.0</v>
      </c>
      <c r="L18" s="1869">
        <v>0.0378</v>
      </c>
      <c r="M18" s="1866" t="s">
        <v>1434</v>
      </c>
      <c r="N18" s="407"/>
      <c r="O18" s="1760"/>
      <c r="P18" s="1101" t="s">
        <v>1180</v>
      </c>
      <c r="Q18" s="1101">
        <v>2.0</v>
      </c>
      <c r="R18" s="1101" t="s">
        <v>1428</v>
      </c>
      <c r="S18" s="1101" t="s">
        <v>1433</v>
      </c>
      <c r="T18" s="407"/>
      <c r="U18" s="407"/>
      <c r="V18" s="1760"/>
      <c r="W18" s="1101" t="s">
        <v>1180</v>
      </c>
      <c r="X18" s="1101">
        <v>2.0</v>
      </c>
      <c r="Y18" s="1870">
        <v>0.0756</v>
      </c>
      <c r="Z18" s="1101" t="s">
        <v>1433</v>
      </c>
      <c r="AA18" s="407"/>
      <c r="AB18" s="1760"/>
      <c r="AC18" s="1871" t="s">
        <v>1184</v>
      </c>
      <c r="AD18" s="1871">
        <v>1.0</v>
      </c>
      <c r="AE18" s="1871" t="s">
        <v>1434</v>
      </c>
      <c r="AF18" s="407"/>
      <c r="AG18" s="407"/>
      <c r="AH18" s="407"/>
      <c r="AI18" s="407"/>
      <c r="AJ18" s="1760"/>
      <c r="AK18" s="1872" t="s">
        <v>510</v>
      </c>
      <c r="AL18" s="1872">
        <v>1.0</v>
      </c>
      <c r="AM18" s="1873">
        <v>0.0375</v>
      </c>
      <c r="AN18" s="1872" t="s">
        <v>1434</v>
      </c>
      <c r="AO18" s="1789"/>
      <c r="AP18" s="407"/>
      <c r="AQ18" s="407"/>
      <c r="AR18" s="1760"/>
      <c r="AS18" s="1874" t="s">
        <v>533</v>
      </c>
      <c r="AT18" s="1874">
        <v>2.0</v>
      </c>
      <c r="AU18" s="1874" t="s">
        <v>1433</v>
      </c>
      <c r="AV18" s="407"/>
      <c r="AW18" s="407"/>
      <c r="AX18" s="407"/>
      <c r="AZ18" s="1760"/>
      <c r="BA18" s="1875" t="s">
        <v>526</v>
      </c>
      <c r="BB18" s="1875">
        <v>3.0</v>
      </c>
      <c r="BC18" s="1876">
        <v>0.0857</v>
      </c>
      <c r="BD18" s="1772"/>
      <c r="BE18" s="309"/>
      <c r="BF18" s="1794"/>
      <c r="BG18" s="1877" t="s">
        <v>456</v>
      </c>
      <c r="BH18" s="1877">
        <v>1.0</v>
      </c>
      <c r="BI18" s="1878">
        <v>0.04</v>
      </c>
      <c r="BJ18" s="407"/>
      <c r="BK18" s="407"/>
      <c r="BL18" s="407"/>
      <c r="BM18" s="407"/>
      <c r="BN18" s="1760"/>
      <c r="BO18" s="1202" t="s">
        <v>440</v>
      </c>
      <c r="BP18" s="1202">
        <v>2.0</v>
      </c>
      <c r="BQ18" s="1795">
        <v>0.08</v>
      </c>
      <c r="BR18" s="407"/>
      <c r="BS18" s="407"/>
      <c r="BT18" s="407"/>
      <c r="BU18" s="1760"/>
      <c r="BV18" s="407"/>
      <c r="BW18" s="1879">
        <v>25.0</v>
      </c>
      <c r="BX18" s="407"/>
      <c r="BY18" s="407"/>
    </row>
    <row r="19">
      <c r="A19" s="1760"/>
      <c r="B19" s="1760"/>
      <c r="C19" s="1880" t="str">
        <f>"SP" &amp; CHAR(178)</f>
        <v>SP²</v>
      </c>
      <c r="D19" s="1881">
        <v>1.0</v>
      </c>
      <c r="E19" s="1882">
        <v>0.0526</v>
      </c>
      <c r="F19" s="1882">
        <v>0.0417</v>
      </c>
      <c r="G19" s="407"/>
      <c r="H19" s="407"/>
      <c r="I19" s="1760"/>
      <c r="J19" s="1883" t="s">
        <v>1150</v>
      </c>
      <c r="K19" s="1884">
        <v>1.0</v>
      </c>
      <c r="L19" s="1885">
        <v>0.063</v>
      </c>
      <c r="M19" s="1884" t="s">
        <v>1434</v>
      </c>
      <c r="N19" s="407"/>
      <c r="O19" s="1760"/>
      <c r="P19" s="1886" t="s">
        <v>524</v>
      </c>
      <c r="Q19" s="1886">
        <v>1.0</v>
      </c>
      <c r="R19" s="1886" t="s">
        <v>1428</v>
      </c>
      <c r="S19" s="1886" t="s">
        <v>1434</v>
      </c>
      <c r="T19" s="407"/>
      <c r="U19" s="407"/>
      <c r="V19" s="1760"/>
      <c r="W19" s="1106" t="s">
        <v>1186</v>
      </c>
      <c r="X19" s="1106">
        <v>2.0</v>
      </c>
      <c r="Y19" s="1887">
        <v>0.0919</v>
      </c>
      <c r="Z19" s="1887">
        <v>0.08</v>
      </c>
      <c r="AA19" s="407"/>
      <c r="AB19" s="1760"/>
      <c r="AC19" s="1772"/>
      <c r="AD19" s="1888">
        <v>25.0</v>
      </c>
      <c r="AE19" s="1889">
        <v>1.0</v>
      </c>
      <c r="AF19" s="407"/>
      <c r="AG19" s="407"/>
      <c r="AH19" s="407"/>
      <c r="AI19" s="407"/>
      <c r="AJ19" s="1760"/>
      <c r="AK19" s="407"/>
      <c r="AL19" s="1771">
        <v>25.0</v>
      </c>
      <c r="AM19" s="1771" t="s">
        <v>1435</v>
      </c>
      <c r="AN19" s="1889">
        <v>1.0</v>
      </c>
      <c r="AO19" s="407"/>
      <c r="AP19" s="407"/>
      <c r="AQ19" s="407"/>
      <c r="AR19" s="1760"/>
      <c r="AS19" s="1771"/>
      <c r="AT19" s="1771">
        <v>25.0</v>
      </c>
      <c r="AU19" s="1889">
        <v>1.0</v>
      </c>
      <c r="AV19" s="407"/>
      <c r="AW19" s="407"/>
      <c r="AX19" s="407"/>
      <c r="AY19" s="1760"/>
      <c r="AZ19" s="1760"/>
      <c r="BA19" s="1890" t="s">
        <v>528</v>
      </c>
      <c r="BB19" s="1890">
        <v>3.0</v>
      </c>
      <c r="BC19" s="1891">
        <v>0.0857</v>
      </c>
      <c r="BD19" s="1772"/>
      <c r="BE19" s="309"/>
      <c r="BF19" s="1794"/>
      <c r="BG19" s="1892" t="s">
        <v>458</v>
      </c>
      <c r="BH19" s="1892">
        <v>1.0</v>
      </c>
      <c r="BI19" s="1893">
        <v>0.04</v>
      </c>
      <c r="BJ19" s="407"/>
      <c r="BK19" s="407"/>
      <c r="BL19" s="407"/>
      <c r="BM19" s="407"/>
      <c r="BN19" s="1760"/>
      <c r="BO19" s="1851" t="s">
        <v>49</v>
      </c>
      <c r="BP19" s="1851">
        <v>1.0</v>
      </c>
      <c r="BQ19" s="1852">
        <v>0.04</v>
      </c>
      <c r="BR19" s="407"/>
      <c r="BS19" s="407"/>
      <c r="BT19" s="407"/>
      <c r="BU19" s="1760"/>
      <c r="BV19" s="407"/>
      <c r="BW19" s="1879">
        <v>25.0</v>
      </c>
      <c r="BX19" s="407"/>
      <c r="BY19" s="407"/>
    </row>
    <row r="20">
      <c r="A20" s="1760"/>
      <c r="B20" s="1760"/>
      <c r="C20" s="1884" t="s">
        <v>1150</v>
      </c>
      <c r="D20" s="1894">
        <v>1.0</v>
      </c>
      <c r="E20" s="1895">
        <v>0.0658</v>
      </c>
      <c r="F20" s="1895">
        <v>0.0417</v>
      </c>
      <c r="G20" s="407"/>
      <c r="H20" s="407"/>
      <c r="I20" s="1760"/>
      <c r="J20" s="1896"/>
      <c r="K20" s="1897">
        <f t="shared" ref="K20:L20" si="1">SUM(K12:K19)</f>
        <v>25</v>
      </c>
      <c r="L20" s="1898">
        <f t="shared" si="1"/>
        <v>0.9998</v>
      </c>
      <c r="M20" s="1899">
        <v>1.0</v>
      </c>
      <c r="N20" s="407"/>
      <c r="O20" s="1760"/>
      <c r="P20" s="1900"/>
      <c r="Q20" s="1900">
        <f>SUM(Q12:Q19)</f>
        <v>25</v>
      </c>
      <c r="R20" s="1901" t="s">
        <v>1428</v>
      </c>
      <c r="S20" s="1902">
        <v>1.0</v>
      </c>
      <c r="T20" s="407"/>
      <c r="U20" s="407"/>
      <c r="V20" s="1760"/>
      <c r="W20" s="1903" t="s">
        <v>1154</v>
      </c>
      <c r="X20" s="1903">
        <v>1.0</v>
      </c>
      <c r="Y20" s="1904">
        <v>0.0594</v>
      </c>
      <c r="Z20" s="1903" t="s">
        <v>1434</v>
      </c>
      <c r="AA20" s="407"/>
      <c r="AB20" s="1760"/>
      <c r="AC20" s="1905"/>
      <c r="AD20" s="1905"/>
      <c r="AE20" s="1905"/>
      <c r="AF20" s="1905"/>
      <c r="AG20" s="1905"/>
      <c r="AH20" s="407"/>
      <c r="AI20" s="407"/>
      <c r="AJ20" s="1760"/>
      <c r="AK20" s="407"/>
      <c r="AL20" s="407"/>
      <c r="AM20" s="407"/>
      <c r="AN20" s="407"/>
      <c r="AO20" s="407"/>
      <c r="AP20" s="407"/>
      <c r="AQ20" s="407"/>
      <c r="AR20" s="1760"/>
      <c r="AS20" s="407"/>
      <c r="AT20" s="407"/>
      <c r="AU20" s="407"/>
      <c r="AV20" s="407"/>
      <c r="AW20" s="407"/>
      <c r="AX20" s="407"/>
      <c r="AY20" s="1760"/>
      <c r="AZ20" s="1760"/>
      <c r="BA20" s="1861" t="s">
        <v>452</v>
      </c>
      <c r="BB20" s="1861">
        <v>2.0</v>
      </c>
      <c r="BC20" s="1862">
        <v>0.0571</v>
      </c>
      <c r="BD20" s="1772"/>
      <c r="BE20" s="309"/>
      <c r="BF20" s="1794"/>
      <c r="BG20" s="309"/>
      <c r="BH20" s="1906">
        <v>25.0</v>
      </c>
      <c r="BI20" s="1907">
        <v>1.0</v>
      </c>
      <c r="BJ20" s="407"/>
      <c r="BK20" s="407"/>
      <c r="BL20" s="407"/>
      <c r="BM20" s="407"/>
      <c r="BN20" s="1760"/>
      <c r="BO20" s="1908"/>
      <c r="BP20" s="1771">
        <v>25.0</v>
      </c>
      <c r="BQ20" s="1865">
        <v>1.0</v>
      </c>
      <c r="BR20" s="407"/>
      <c r="BS20" s="407"/>
      <c r="BT20" s="407"/>
      <c r="BU20" s="1760"/>
      <c r="BV20" s="407"/>
      <c r="BW20" s="1879">
        <v>25.0</v>
      </c>
      <c r="BX20" s="407"/>
      <c r="BY20" s="407"/>
    </row>
    <row r="21">
      <c r="A21" s="1760"/>
      <c r="B21" s="1760"/>
      <c r="C21" s="1909" t="str">
        <f>"SNL" &amp; CHAR(178)</f>
        <v>SNL²</v>
      </c>
      <c r="D21" s="1910">
        <v>0.0</v>
      </c>
      <c r="E21" s="1911">
        <v>0.0197</v>
      </c>
      <c r="F21" s="1911">
        <v>0.0</v>
      </c>
      <c r="G21" s="407"/>
      <c r="H21" s="407"/>
      <c r="I21" s="1760"/>
      <c r="J21" s="407"/>
      <c r="K21" s="407"/>
      <c r="L21" s="407"/>
      <c r="M21" s="407"/>
      <c r="N21" s="407"/>
      <c r="O21" s="1760"/>
      <c r="P21" s="407"/>
      <c r="Q21" s="407"/>
      <c r="R21" s="407"/>
      <c r="S21" s="407"/>
      <c r="T21" s="407"/>
      <c r="U21" s="407"/>
      <c r="V21" s="1760"/>
      <c r="W21" s="407"/>
      <c r="X21" s="407">
        <f t="shared" ref="X21:Y21" si="2">SUM(X12:X20)</f>
        <v>25</v>
      </c>
      <c r="Y21" s="1912">
        <f t="shared" si="2"/>
        <v>0.9999</v>
      </c>
      <c r="Z21" s="1889">
        <v>1.0</v>
      </c>
      <c r="AA21" s="407"/>
      <c r="AB21" s="1760"/>
      <c r="AC21" s="1905"/>
      <c r="AD21" s="1905"/>
      <c r="AE21" s="1905"/>
      <c r="AF21" s="1905"/>
      <c r="AG21" s="1905"/>
      <c r="AH21" s="407"/>
      <c r="AI21" s="407"/>
      <c r="AJ21" s="1760"/>
      <c r="AK21" s="407"/>
      <c r="AL21" s="309"/>
      <c r="AM21" s="407"/>
      <c r="AN21" s="407"/>
      <c r="AO21" s="407"/>
      <c r="AP21" s="407"/>
      <c r="AQ21" s="407"/>
      <c r="AR21" s="1760"/>
      <c r="AS21" s="407"/>
      <c r="AT21" s="407"/>
      <c r="AU21" s="407"/>
      <c r="AV21" s="407"/>
      <c r="AW21" s="407"/>
      <c r="AX21" s="407"/>
      <c r="AY21" s="1760"/>
      <c r="AZ21" s="1760"/>
      <c r="BA21" s="1913" t="s">
        <v>533</v>
      </c>
      <c r="BB21" s="1913">
        <v>1.0</v>
      </c>
      <c r="BC21" s="1914">
        <v>0.0286</v>
      </c>
      <c r="BD21" s="1772"/>
      <c r="BE21" s="309"/>
      <c r="BF21" s="1794"/>
      <c r="BG21" s="309"/>
      <c r="BH21" s="1879">
        <v>25.0</v>
      </c>
      <c r="BI21" s="407"/>
      <c r="BJ21" s="407"/>
      <c r="BK21" s="407"/>
      <c r="BL21" s="407"/>
      <c r="BM21" s="407"/>
      <c r="BN21" s="1760"/>
      <c r="BO21" s="407"/>
      <c r="BP21" s="1879">
        <v>25.0</v>
      </c>
      <c r="BQ21" s="407"/>
      <c r="BR21" s="407"/>
      <c r="BS21" s="407"/>
      <c r="BT21" s="407"/>
      <c r="BU21" s="1760"/>
      <c r="BV21" s="407"/>
      <c r="BW21" s="1879">
        <v>25.0</v>
      </c>
      <c r="BX21" s="407"/>
      <c r="BY21" s="407"/>
    </row>
    <row r="22">
      <c r="A22" s="1760"/>
      <c r="B22" s="1760"/>
      <c r="C22" s="1915" t="str">
        <f>"GD" &amp; CHAR(179)</f>
        <v>GD³</v>
      </c>
      <c r="D22" s="1916">
        <v>1.0</v>
      </c>
      <c r="E22" s="1917">
        <v>0.0</v>
      </c>
      <c r="F22" s="1917">
        <v>0.0</v>
      </c>
      <c r="G22" s="1774"/>
      <c r="H22" s="407"/>
      <c r="I22" s="1760"/>
      <c r="J22" s="1771" t="s">
        <v>1436</v>
      </c>
      <c r="K22" s="407"/>
      <c r="L22" s="407"/>
      <c r="M22" s="407"/>
      <c r="N22" s="407"/>
      <c r="O22" s="1760"/>
      <c r="P22" s="407"/>
      <c r="Q22" s="407"/>
      <c r="R22" s="407"/>
      <c r="S22" s="407"/>
      <c r="T22" s="407"/>
      <c r="U22" s="407"/>
      <c r="V22" s="1760"/>
      <c r="W22" s="407"/>
      <c r="X22" s="407"/>
      <c r="Y22" s="407"/>
      <c r="Z22" s="407"/>
      <c r="AA22" s="407"/>
      <c r="AB22" s="1760"/>
      <c r="AC22" s="1905"/>
      <c r="AD22" s="1905"/>
      <c r="AE22" s="1905"/>
      <c r="AF22" s="1905"/>
      <c r="AG22" s="1905"/>
      <c r="AH22" s="407"/>
      <c r="AI22" s="407"/>
      <c r="AJ22" s="1760"/>
      <c r="AK22" s="407"/>
      <c r="AL22" s="309"/>
      <c r="AM22" s="407"/>
      <c r="AN22" s="407"/>
      <c r="AO22" s="407"/>
      <c r="AP22" s="407"/>
      <c r="AQ22" s="407"/>
      <c r="AR22" s="1760"/>
      <c r="AS22" s="407"/>
      <c r="AT22" s="407"/>
      <c r="AU22" s="407"/>
      <c r="AV22" s="407"/>
      <c r="AW22" s="407"/>
      <c r="AX22" s="407"/>
      <c r="AY22" s="1760"/>
      <c r="AZ22" s="1760"/>
      <c r="BA22" s="1918" t="s">
        <v>531</v>
      </c>
      <c r="BB22" s="1918">
        <v>1.0</v>
      </c>
      <c r="BC22" s="1919">
        <v>0.0286</v>
      </c>
      <c r="BD22" s="1772"/>
      <c r="BE22" s="309"/>
      <c r="BF22" s="1794"/>
      <c r="BG22" s="309"/>
      <c r="BH22" s="1879">
        <v>25.0</v>
      </c>
      <c r="BI22" s="407"/>
      <c r="BJ22" s="407"/>
      <c r="BK22" s="407"/>
      <c r="BL22" s="407"/>
      <c r="BM22" s="407"/>
      <c r="BN22" s="1760"/>
      <c r="BO22" s="407"/>
      <c r="BP22" s="1879">
        <v>25.0</v>
      </c>
      <c r="BQ22" s="407"/>
      <c r="BR22" s="407"/>
      <c r="BS22" s="407"/>
      <c r="BT22" s="407"/>
      <c r="BU22" s="1760"/>
      <c r="BV22" s="407"/>
      <c r="BW22" s="1879">
        <v>25.0</v>
      </c>
      <c r="BX22" s="407"/>
      <c r="BY22" s="407"/>
    </row>
    <row r="23">
      <c r="A23" s="1760"/>
      <c r="B23" s="1760"/>
      <c r="C23" s="309"/>
      <c r="D23" s="1920">
        <f t="shared" ref="D23:F23" si="3">SUM(D12:D22)</f>
        <v>25</v>
      </c>
      <c r="E23" s="1921">
        <f t="shared" si="3"/>
        <v>0.9932</v>
      </c>
      <c r="F23" s="1921">
        <f t="shared" si="3"/>
        <v>1.0002</v>
      </c>
      <c r="G23" s="407"/>
      <c r="H23" s="407"/>
      <c r="I23" s="1760"/>
      <c r="J23" s="407"/>
      <c r="K23" s="407"/>
      <c r="L23" s="407"/>
      <c r="M23" s="407"/>
      <c r="N23" s="407"/>
      <c r="O23" s="1760"/>
      <c r="P23" s="407"/>
      <c r="Q23" s="407"/>
      <c r="R23" s="407"/>
      <c r="S23" s="407"/>
      <c r="T23" s="407"/>
      <c r="U23" s="407"/>
      <c r="V23" s="1760"/>
      <c r="W23" s="407"/>
      <c r="X23" s="407"/>
      <c r="Y23" s="407"/>
      <c r="Z23" s="407"/>
      <c r="AA23" s="407"/>
      <c r="AB23" s="1760"/>
      <c r="AC23" s="1905" t="s">
        <v>1437</v>
      </c>
      <c r="AH23" s="407"/>
      <c r="AI23" s="407"/>
      <c r="AJ23" s="1760"/>
      <c r="AK23" s="407"/>
      <c r="AL23" s="309"/>
      <c r="AM23" s="407"/>
      <c r="AN23" s="407"/>
      <c r="AO23" s="407"/>
      <c r="AP23" s="407"/>
      <c r="AQ23" s="407"/>
      <c r="AR23" s="1760"/>
      <c r="AS23" s="407"/>
      <c r="AT23" s="407"/>
      <c r="AU23" s="407"/>
      <c r="AV23" s="407"/>
      <c r="AW23" s="407"/>
      <c r="AX23" s="407"/>
      <c r="AY23" s="1760"/>
      <c r="AZ23" s="1760"/>
      <c r="BA23" s="407"/>
      <c r="BB23" s="1906">
        <v>35.0</v>
      </c>
      <c r="BC23" s="1907">
        <v>1.0</v>
      </c>
      <c r="BD23" s="407"/>
      <c r="BE23" s="407"/>
      <c r="BF23" s="1760"/>
      <c r="BG23" s="407"/>
      <c r="BH23" s="1879">
        <v>25.0</v>
      </c>
      <c r="BI23" s="407"/>
      <c r="BJ23" s="407"/>
      <c r="BK23" s="407"/>
      <c r="BL23" s="407"/>
      <c r="BM23" s="407"/>
      <c r="BN23" s="1760"/>
      <c r="BO23" s="407"/>
      <c r="BP23" s="1879">
        <v>25.0</v>
      </c>
      <c r="BQ23" s="407"/>
      <c r="BR23" s="407"/>
      <c r="BS23" s="407"/>
      <c r="BT23" s="407"/>
      <c r="BU23" s="1760"/>
      <c r="BV23" s="407"/>
      <c r="BW23" s="407"/>
      <c r="BX23" s="407"/>
      <c r="BY23" s="407"/>
    </row>
    <row r="24">
      <c r="A24" s="1760"/>
      <c r="B24" s="1760"/>
      <c r="C24" s="309"/>
      <c r="D24" s="407"/>
      <c r="E24" s="407"/>
      <c r="F24" s="407"/>
      <c r="G24" s="407"/>
      <c r="H24" s="407"/>
      <c r="I24" s="1760"/>
      <c r="J24" s="407"/>
      <c r="K24" s="1922"/>
      <c r="L24" s="1923"/>
      <c r="M24" s="1922"/>
      <c r="N24" s="407"/>
      <c r="O24" s="1760"/>
      <c r="P24" s="407"/>
      <c r="Q24" s="407"/>
      <c r="R24" s="407"/>
      <c r="S24" s="407"/>
      <c r="T24" s="407"/>
      <c r="U24" s="407"/>
      <c r="V24" s="1760"/>
      <c r="W24" s="407"/>
      <c r="X24" s="407"/>
      <c r="Y24" s="407"/>
      <c r="Z24" s="407"/>
      <c r="AA24" s="407"/>
      <c r="AB24" s="1760"/>
      <c r="AH24" s="407"/>
      <c r="AI24" s="407"/>
      <c r="AJ24" s="1760"/>
      <c r="AK24" s="407"/>
      <c r="AL24" s="309"/>
      <c r="AM24" s="407"/>
      <c r="AN24" s="407"/>
      <c r="AO24" s="407"/>
      <c r="AP24" s="407"/>
      <c r="AQ24" s="407"/>
      <c r="AR24" s="1760"/>
      <c r="AS24" s="407"/>
      <c r="AT24" s="407"/>
      <c r="AU24" s="407"/>
      <c r="AV24" s="407"/>
      <c r="AW24" s="407"/>
      <c r="AX24" s="407"/>
      <c r="AY24" s="1760"/>
      <c r="AZ24" s="1760"/>
      <c r="BA24" s="407"/>
      <c r="BB24" s="1879">
        <v>35.0</v>
      </c>
      <c r="BC24" s="407"/>
      <c r="BD24" s="407"/>
      <c r="BE24" s="407"/>
      <c r="BF24" s="1760"/>
      <c r="BG24" s="407"/>
      <c r="BH24" s="1879">
        <v>25.0</v>
      </c>
      <c r="BI24" s="407"/>
      <c r="BJ24" s="407"/>
      <c r="BK24" s="407"/>
      <c r="BL24" s="407"/>
      <c r="BM24" s="407"/>
      <c r="BN24" s="1760"/>
      <c r="BO24" s="407"/>
      <c r="BP24" s="1879">
        <v>25.0</v>
      </c>
      <c r="BQ24" s="407"/>
      <c r="BR24" s="407"/>
      <c r="BS24" s="407"/>
      <c r="BT24" s="407"/>
      <c r="BU24" s="1760"/>
      <c r="BV24" s="407"/>
      <c r="BW24" s="407"/>
      <c r="BX24" s="407"/>
      <c r="BY24" s="407"/>
    </row>
    <row r="25">
      <c r="A25" s="1760"/>
      <c r="B25" s="1760"/>
      <c r="C25" s="1771" t="s">
        <v>1438</v>
      </c>
      <c r="D25" s="407"/>
      <c r="E25" s="407"/>
      <c r="F25" s="407"/>
      <c r="G25" s="407"/>
      <c r="H25" s="407"/>
      <c r="I25" s="1760"/>
      <c r="J25" s="407"/>
      <c r="K25" s="407"/>
      <c r="L25" s="407"/>
      <c r="M25" s="407"/>
      <c r="N25" s="407"/>
      <c r="O25" s="1760"/>
      <c r="P25" s="407"/>
      <c r="Q25" s="407"/>
      <c r="R25" s="407"/>
      <c r="S25" s="407"/>
      <c r="T25" s="407"/>
      <c r="U25" s="407"/>
      <c r="V25" s="1760"/>
      <c r="W25" s="407"/>
      <c r="X25" s="407"/>
      <c r="Y25" s="407"/>
      <c r="Z25" s="407"/>
      <c r="AA25" s="407"/>
      <c r="AB25" s="1760"/>
      <c r="AH25" s="407"/>
      <c r="AI25" s="407"/>
      <c r="AJ25" s="1760"/>
      <c r="AK25" s="407"/>
      <c r="AL25" s="309"/>
      <c r="AM25" s="407"/>
      <c r="AN25" s="407"/>
      <c r="AO25" s="407"/>
      <c r="AP25" s="407"/>
      <c r="AQ25" s="407"/>
      <c r="AR25" s="1760"/>
      <c r="AS25" s="407"/>
      <c r="AT25" s="407"/>
      <c r="AU25" s="407"/>
      <c r="AV25" s="407"/>
      <c r="AW25" s="407"/>
      <c r="AX25" s="407"/>
      <c r="AY25" s="1760"/>
      <c r="AZ25" s="1760"/>
      <c r="BA25" s="407"/>
      <c r="BB25" s="407"/>
      <c r="BC25" s="407"/>
      <c r="BD25" s="407"/>
      <c r="BE25" s="407"/>
      <c r="BF25" s="1760"/>
      <c r="BG25" s="407"/>
      <c r="BH25" s="1879">
        <v>25.0</v>
      </c>
      <c r="BI25" s="407"/>
      <c r="BJ25" s="407"/>
      <c r="BK25" s="407"/>
      <c r="BL25" s="407"/>
      <c r="BM25" s="407"/>
      <c r="BN25" s="1760"/>
      <c r="BO25" s="407"/>
      <c r="BP25" s="1879">
        <v>25.0</v>
      </c>
      <c r="BQ25" s="407"/>
      <c r="BR25" s="407"/>
      <c r="BS25" s="407"/>
      <c r="BT25" s="407"/>
      <c r="BU25" s="1760"/>
      <c r="BV25" s="407"/>
      <c r="BW25" s="407"/>
      <c r="BX25" s="407"/>
      <c r="BY25" s="407"/>
    </row>
    <row r="26">
      <c r="A26" s="1760"/>
      <c r="B26" s="1760"/>
      <c r="C26" s="1771" t="s">
        <v>1439</v>
      </c>
      <c r="D26" s="407"/>
      <c r="E26" s="407"/>
      <c r="F26" s="309"/>
      <c r="G26" s="407"/>
      <c r="H26" s="407"/>
      <c r="I26" s="1760"/>
      <c r="J26" s="407"/>
      <c r="K26" s="407"/>
      <c r="L26" s="407"/>
      <c r="M26" s="407"/>
      <c r="N26" s="407"/>
      <c r="O26" s="1760"/>
      <c r="P26" s="407"/>
      <c r="Q26" s="407"/>
      <c r="R26" s="407"/>
      <c r="S26" s="407"/>
      <c r="T26" s="407"/>
      <c r="U26" s="407"/>
      <c r="V26" s="1760"/>
      <c r="W26" s="407"/>
      <c r="X26" s="407"/>
      <c r="Y26" s="407"/>
      <c r="Z26" s="407"/>
      <c r="AA26" s="407"/>
      <c r="AB26" s="1760"/>
      <c r="AC26" s="407"/>
      <c r="AD26" s="407"/>
      <c r="AE26" s="407"/>
      <c r="AF26" s="407"/>
      <c r="AG26" s="407"/>
      <c r="AH26" s="407"/>
      <c r="AI26" s="407"/>
      <c r="AJ26" s="1760"/>
      <c r="AK26" s="407"/>
      <c r="AL26" s="407"/>
      <c r="AM26" s="407"/>
      <c r="AN26" s="407"/>
      <c r="AO26" s="407"/>
      <c r="AP26" s="407"/>
      <c r="AQ26" s="407"/>
      <c r="AR26" s="1760"/>
      <c r="AS26" s="407"/>
      <c r="AT26" s="407"/>
      <c r="AU26" s="407"/>
      <c r="AV26" s="407"/>
      <c r="AW26" s="407"/>
      <c r="AX26" s="407"/>
      <c r="AY26" s="1760"/>
      <c r="AZ26" s="1760"/>
      <c r="BA26" s="407"/>
      <c r="BB26" s="407"/>
      <c r="BC26" s="407"/>
      <c r="BD26" s="407"/>
      <c r="BE26" s="407"/>
      <c r="BF26" s="1760"/>
      <c r="BG26" s="407"/>
      <c r="BH26" s="1879">
        <v>25.0</v>
      </c>
      <c r="BI26" s="407"/>
      <c r="BJ26" s="407"/>
      <c r="BK26" s="407"/>
      <c r="BL26" s="407"/>
      <c r="BM26" s="407"/>
      <c r="BN26" s="1760"/>
      <c r="BO26" s="407"/>
      <c r="BP26" s="1879">
        <v>25.0</v>
      </c>
      <c r="BQ26" s="407"/>
      <c r="BR26" s="407"/>
      <c r="BS26" s="407"/>
      <c r="BT26" s="407"/>
      <c r="BU26" s="1760"/>
      <c r="BV26" s="407"/>
      <c r="BW26" s="407"/>
      <c r="BX26" s="407"/>
      <c r="BY26" s="407"/>
    </row>
    <row r="27">
      <c r="A27" s="1760"/>
      <c r="B27" s="1760"/>
      <c r="C27" s="1771" t="s">
        <v>1440</v>
      </c>
      <c r="D27" s="309"/>
      <c r="E27" s="309"/>
      <c r="F27" s="309"/>
      <c r="G27" s="407"/>
      <c r="H27" s="407"/>
      <c r="I27" s="1760"/>
      <c r="J27" s="407"/>
      <c r="K27" s="407"/>
      <c r="L27" s="407"/>
      <c r="M27" s="407"/>
      <c r="N27" s="407"/>
      <c r="O27" s="1760"/>
      <c r="P27" s="407"/>
      <c r="Q27" s="407"/>
      <c r="R27" s="407"/>
      <c r="S27" s="407"/>
      <c r="T27" s="407"/>
      <c r="U27" s="407"/>
      <c r="V27" s="1760"/>
      <c r="W27" s="407"/>
      <c r="X27" s="407"/>
      <c r="Y27" s="407"/>
      <c r="Z27" s="407"/>
      <c r="AA27" s="407"/>
      <c r="AB27" s="1760"/>
      <c r="AC27" s="407"/>
      <c r="AD27" s="407"/>
      <c r="AE27" s="407"/>
      <c r="AF27" s="407"/>
      <c r="AG27" s="407"/>
      <c r="AH27" s="407"/>
      <c r="AI27" s="407"/>
      <c r="AJ27" s="1760"/>
      <c r="AK27" s="407"/>
      <c r="AL27" s="407"/>
      <c r="AM27" s="407"/>
      <c r="AN27" s="407"/>
      <c r="AO27" s="407"/>
      <c r="AP27" s="407"/>
      <c r="AQ27" s="407"/>
      <c r="AR27" s="1760"/>
      <c r="AS27" s="407"/>
      <c r="AT27" s="407"/>
      <c r="AU27" s="407"/>
      <c r="AV27" s="407"/>
      <c r="AW27" s="407"/>
      <c r="AX27" s="407"/>
      <c r="AY27" s="1760"/>
      <c r="AZ27" s="1760"/>
      <c r="BA27" s="407"/>
      <c r="BB27" s="407"/>
      <c r="BC27" s="407"/>
      <c r="BD27" s="407"/>
      <c r="BE27" s="407"/>
      <c r="BF27" s="1760"/>
      <c r="BG27" s="407"/>
      <c r="BH27" s="1879">
        <v>25.0</v>
      </c>
      <c r="BI27" s="407"/>
      <c r="BJ27" s="407"/>
      <c r="BK27" s="407"/>
      <c r="BL27" s="407"/>
      <c r="BM27" s="407"/>
      <c r="BN27" s="1760"/>
      <c r="BO27" s="407"/>
      <c r="BP27" s="1879">
        <v>25.0</v>
      </c>
      <c r="BQ27" s="407"/>
      <c r="BR27" s="407"/>
      <c r="BS27" s="407"/>
      <c r="BT27" s="407"/>
      <c r="BU27" s="1760"/>
      <c r="BV27" s="407"/>
      <c r="BW27" s="407"/>
      <c r="BX27" s="407"/>
      <c r="BY27" s="407"/>
    </row>
    <row r="28">
      <c r="A28" s="1760"/>
      <c r="B28" s="1760"/>
      <c r="C28" s="309"/>
      <c r="D28" s="309"/>
      <c r="E28" s="309"/>
      <c r="F28" s="309"/>
      <c r="G28" s="407"/>
      <c r="H28" s="407"/>
      <c r="I28" s="1760"/>
      <c r="J28" s="407"/>
      <c r="K28" s="407"/>
      <c r="L28" s="407"/>
      <c r="M28" s="407"/>
      <c r="N28" s="407"/>
      <c r="O28" s="1760"/>
      <c r="P28" s="407"/>
      <c r="Q28" s="407"/>
      <c r="R28" s="407"/>
      <c r="S28" s="407"/>
      <c r="T28" s="407"/>
      <c r="U28" s="407"/>
      <c r="V28" s="1760"/>
      <c r="W28" s="407"/>
      <c r="X28" s="407"/>
      <c r="Y28" s="407"/>
      <c r="Z28" s="407"/>
      <c r="AA28" s="407"/>
      <c r="AB28" s="1760"/>
      <c r="AC28" s="407"/>
      <c r="AD28" s="407"/>
      <c r="AE28" s="407"/>
      <c r="AF28" s="407"/>
      <c r="AG28" s="407"/>
      <c r="AH28" s="407"/>
      <c r="AI28" s="407"/>
      <c r="AJ28" s="1760"/>
      <c r="AK28" s="407"/>
      <c r="AL28" s="407"/>
      <c r="AM28" s="407"/>
      <c r="AN28" s="407"/>
      <c r="AO28" s="407"/>
      <c r="AP28" s="407"/>
      <c r="AQ28" s="407"/>
      <c r="AR28" s="1760"/>
      <c r="AS28" s="407"/>
      <c r="AT28" s="407"/>
      <c r="AU28" s="407"/>
      <c r="AV28" s="407"/>
      <c r="AW28" s="407"/>
      <c r="AX28" s="407"/>
      <c r="AY28" s="1760"/>
      <c r="AZ28" s="1760"/>
      <c r="BA28" s="407"/>
      <c r="BB28" s="407"/>
      <c r="BC28" s="407"/>
      <c r="BD28" s="407"/>
      <c r="BE28" s="407"/>
      <c r="BF28" s="1760"/>
      <c r="BG28" s="407"/>
      <c r="BH28" s="1879"/>
      <c r="BI28" s="407"/>
      <c r="BJ28" s="407"/>
      <c r="BK28" s="407"/>
      <c r="BL28" s="407"/>
      <c r="BM28" s="407"/>
      <c r="BN28" s="407"/>
      <c r="BO28" s="407"/>
      <c r="BP28" s="1879"/>
      <c r="BQ28" s="407"/>
      <c r="BR28" s="407"/>
      <c r="BS28" s="407"/>
      <c r="BT28" s="407"/>
      <c r="BU28" s="407"/>
      <c r="BV28" s="407"/>
      <c r="BW28" s="407"/>
      <c r="BX28" s="407"/>
      <c r="BY28" s="407"/>
    </row>
    <row r="29">
      <c r="A29" s="1760"/>
      <c r="B29" s="1760"/>
      <c r="C29" s="309"/>
      <c r="D29" s="309"/>
      <c r="E29" s="309"/>
      <c r="F29" s="309"/>
      <c r="G29" s="407"/>
      <c r="H29" s="407"/>
      <c r="I29" s="1760"/>
      <c r="J29" s="407"/>
      <c r="K29" s="407"/>
      <c r="L29" s="407"/>
      <c r="M29" s="407"/>
      <c r="N29" s="407"/>
      <c r="O29" s="1760"/>
      <c r="P29" s="407"/>
      <c r="Q29" s="407"/>
      <c r="R29" s="407"/>
      <c r="S29" s="407"/>
      <c r="T29" s="407"/>
      <c r="U29" s="407"/>
      <c r="V29" s="1760"/>
      <c r="W29" s="407"/>
      <c r="X29" s="407"/>
      <c r="Y29" s="407"/>
      <c r="Z29" s="407"/>
      <c r="AA29" s="407"/>
      <c r="AB29" s="1760"/>
      <c r="AC29" s="407"/>
      <c r="AD29" s="407"/>
      <c r="AE29" s="407"/>
      <c r="AF29" s="407"/>
      <c r="AG29" s="407"/>
      <c r="AH29" s="407"/>
      <c r="AI29" s="407"/>
      <c r="AJ29" s="1760"/>
      <c r="AK29" s="407"/>
      <c r="AL29" s="407"/>
      <c r="AM29" s="407"/>
      <c r="AN29" s="407"/>
      <c r="AO29" s="407"/>
      <c r="AP29" s="407"/>
      <c r="AQ29" s="407"/>
      <c r="AR29" s="1760"/>
      <c r="AS29" s="407"/>
      <c r="AT29" s="407"/>
      <c r="AU29" s="407"/>
      <c r="AV29" s="407"/>
      <c r="AW29" s="407"/>
      <c r="AX29" s="407"/>
      <c r="AY29" s="1760"/>
      <c r="AZ29" s="1760"/>
      <c r="BA29" s="407"/>
      <c r="BB29" s="407"/>
      <c r="BC29" s="407"/>
      <c r="BD29" s="407"/>
      <c r="BE29" s="407"/>
      <c r="BF29" s="1760"/>
      <c r="BG29" s="407"/>
      <c r="BH29" s="407"/>
      <c r="BI29" s="407"/>
      <c r="BJ29" s="407"/>
      <c r="BK29" s="407"/>
      <c r="BL29" s="407"/>
      <c r="BM29" s="407"/>
      <c r="BN29" s="407"/>
      <c r="BO29" s="407"/>
      <c r="BP29" s="407"/>
      <c r="BQ29" s="407"/>
      <c r="BR29" s="407"/>
      <c r="BS29" s="407"/>
      <c r="BT29" s="407"/>
      <c r="BU29" s="407"/>
      <c r="BV29" s="407"/>
      <c r="BW29" s="407"/>
      <c r="BX29" s="407"/>
      <c r="BY29" s="407"/>
    </row>
    <row r="30">
      <c r="A30" s="1760"/>
      <c r="B30" s="1760"/>
      <c r="C30" s="407"/>
      <c r="D30" s="407"/>
      <c r="E30" s="407"/>
      <c r="F30" s="309"/>
      <c r="G30" s="407"/>
      <c r="H30" s="407"/>
      <c r="I30" s="1760"/>
      <c r="J30" s="407"/>
      <c r="K30" s="407"/>
      <c r="L30" s="407"/>
      <c r="M30" s="407"/>
      <c r="N30" s="407"/>
      <c r="O30" s="1760"/>
      <c r="P30" s="407"/>
      <c r="Q30" s="407"/>
      <c r="R30" s="407"/>
      <c r="S30" s="407"/>
      <c r="T30" s="407"/>
      <c r="U30" s="407"/>
      <c r="V30" s="1760"/>
      <c r="W30" s="407"/>
      <c r="X30" s="407"/>
      <c r="Y30" s="407"/>
      <c r="Z30" s="407"/>
      <c r="AA30" s="407"/>
      <c r="AB30" s="1760"/>
      <c r="AC30" s="407"/>
      <c r="AD30" s="407"/>
      <c r="AE30" s="407"/>
      <c r="AF30" s="407"/>
      <c r="AG30" s="407"/>
      <c r="AH30" s="407"/>
      <c r="AI30" s="407"/>
      <c r="AJ30" s="1760"/>
      <c r="AK30" s="407"/>
      <c r="AL30" s="407"/>
      <c r="AM30" s="407"/>
      <c r="AN30" s="407"/>
      <c r="AO30" s="407"/>
      <c r="AP30" s="407"/>
      <c r="AQ30" s="407"/>
      <c r="AR30" s="1760"/>
      <c r="AS30" s="407"/>
      <c r="AT30" s="407"/>
      <c r="AU30" s="407"/>
      <c r="AV30" s="407"/>
      <c r="AW30" s="407"/>
      <c r="AX30" s="407"/>
      <c r="AY30" s="1760"/>
      <c r="AZ30" s="1760"/>
      <c r="BA30" s="407"/>
      <c r="BB30" s="407"/>
      <c r="BC30" s="407"/>
      <c r="BD30" s="407"/>
      <c r="BE30" s="407"/>
      <c r="BF30" s="1760"/>
      <c r="BG30" s="407"/>
      <c r="BH30" s="407"/>
      <c r="BI30" s="407"/>
      <c r="BJ30" s="407"/>
      <c r="BK30" s="407"/>
      <c r="BL30" s="407"/>
      <c r="BM30" s="407"/>
      <c r="BN30" s="407"/>
      <c r="BO30" s="407"/>
      <c r="BP30" s="407"/>
      <c r="BQ30" s="407"/>
      <c r="BR30" s="407"/>
      <c r="BS30" s="407"/>
      <c r="BT30" s="407"/>
      <c r="BU30" s="407"/>
      <c r="BV30" s="407"/>
      <c r="BW30" s="407"/>
      <c r="BX30" s="407"/>
      <c r="BY30" s="407"/>
    </row>
    <row r="31">
      <c r="A31" s="1760"/>
      <c r="B31" s="1760"/>
      <c r="C31" s="407"/>
      <c r="D31" s="407"/>
      <c r="E31" s="407"/>
      <c r="F31" s="309"/>
      <c r="G31" s="407"/>
      <c r="H31" s="407"/>
      <c r="I31" s="1760"/>
      <c r="J31" s="407"/>
      <c r="K31" s="407"/>
      <c r="L31" s="407"/>
      <c r="M31" s="407"/>
      <c r="N31" s="407"/>
      <c r="O31" s="1760"/>
      <c r="P31" s="407"/>
      <c r="Q31" s="407"/>
      <c r="R31" s="407"/>
      <c r="S31" s="407"/>
      <c r="T31" s="407"/>
      <c r="U31" s="407"/>
      <c r="V31" s="1760"/>
      <c r="W31" s="407"/>
      <c r="X31" s="407"/>
      <c r="Y31" s="407"/>
      <c r="Z31" s="407"/>
      <c r="AA31" s="407"/>
      <c r="AB31" s="1760"/>
      <c r="AC31" s="407"/>
      <c r="AD31" s="407"/>
      <c r="AE31" s="407"/>
      <c r="AF31" s="407"/>
      <c r="AG31" s="407"/>
      <c r="AH31" s="407"/>
      <c r="AI31" s="407"/>
      <c r="AJ31" s="1760"/>
      <c r="AK31" s="407"/>
      <c r="AL31" s="407"/>
      <c r="AM31" s="407"/>
      <c r="AN31" s="407"/>
      <c r="AO31" s="407"/>
      <c r="AP31" s="407"/>
      <c r="AQ31" s="407"/>
      <c r="AR31" s="1760"/>
      <c r="AS31" s="407"/>
      <c r="AT31" s="407"/>
      <c r="AU31" s="407"/>
      <c r="AV31" s="407"/>
      <c r="AW31" s="407"/>
      <c r="AX31" s="407"/>
      <c r="AY31" s="1760"/>
      <c r="AZ31" s="1760"/>
      <c r="BA31" s="407"/>
      <c r="BB31" s="407"/>
      <c r="BC31" s="407"/>
      <c r="BD31" s="407"/>
      <c r="BE31" s="407"/>
      <c r="BF31" s="1760"/>
      <c r="BG31" s="407"/>
      <c r="BH31" s="407"/>
      <c r="BI31" s="407"/>
      <c r="BJ31" s="407"/>
      <c r="BK31" s="407"/>
      <c r="BL31" s="407"/>
      <c r="BM31" s="407"/>
      <c r="BN31" s="407"/>
      <c r="BO31" s="407"/>
      <c r="BP31" s="407"/>
      <c r="BQ31" s="407"/>
      <c r="BR31" s="407"/>
      <c r="BS31" s="407"/>
      <c r="BT31" s="407"/>
      <c r="BU31" s="407"/>
      <c r="BV31" s="407"/>
      <c r="BW31" s="407"/>
      <c r="BX31" s="407"/>
      <c r="BY31" s="407"/>
    </row>
    <row r="32">
      <c r="A32" s="1760"/>
      <c r="B32" s="1760"/>
      <c r="C32" s="407"/>
      <c r="D32" s="407"/>
      <c r="E32" s="407"/>
      <c r="F32" s="309"/>
      <c r="G32" s="407"/>
      <c r="H32" s="407"/>
      <c r="I32" s="1760"/>
      <c r="J32" s="407"/>
      <c r="K32" s="407"/>
      <c r="L32" s="407"/>
      <c r="M32" s="407"/>
      <c r="N32" s="407"/>
      <c r="O32" s="1760"/>
      <c r="P32" s="407"/>
      <c r="Q32" s="407"/>
      <c r="R32" s="407"/>
      <c r="S32" s="407"/>
      <c r="T32" s="407"/>
      <c r="U32" s="407"/>
      <c r="V32" s="1760"/>
      <c r="W32" s="407"/>
      <c r="X32" s="407"/>
      <c r="Y32" s="407"/>
      <c r="Z32" s="407"/>
      <c r="AA32" s="407"/>
      <c r="AB32" s="1760"/>
      <c r="AC32" s="407"/>
      <c r="AD32" s="407"/>
      <c r="AE32" s="407"/>
      <c r="AF32" s="407"/>
      <c r="AG32" s="407"/>
      <c r="AH32" s="407"/>
      <c r="AI32" s="407"/>
      <c r="AJ32" s="1760"/>
      <c r="AK32" s="407"/>
      <c r="AL32" s="407"/>
      <c r="AM32" s="407"/>
      <c r="AN32" s="407"/>
      <c r="AO32" s="407"/>
      <c r="AP32" s="407"/>
      <c r="AQ32" s="407"/>
      <c r="AR32" s="1760"/>
      <c r="AS32" s="407"/>
      <c r="AT32" s="407"/>
      <c r="AU32" s="407"/>
      <c r="AV32" s="407"/>
      <c r="AW32" s="407"/>
      <c r="AX32" s="407"/>
      <c r="AY32" s="1760"/>
      <c r="AZ32" s="1760"/>
      <c r="BA32" s="407"/>
      <c r="BB32" s="407"/>
      <c r="BC32" s="407"/>
      <c r="BD32" s="407"/>
      <c r="BE32" s="407"/>
      <c r="BF32" s="1760"/>
      <c r="BG32" s="407"/>
      <c r="BH32" s="407"/>
      <c r="BI32" s="407"/>
      <c r="BJ32" s="407"/>
      <c r="BK32" s="407"/>
      <c r="BL32" s="407"/>
      <c r="BM32" s="407"/>
      <c r="BN32" s="407"/>
      <c r="BO32" s="407"/>
      <c r="BP32" s="407"/>
      <c r="BQ32" s="407"/>
      <c r="BR32" s="407"/>
      <c r="BS32" s="407"/>
      <c r="BT32" s="407"/>
      <c r="BU32" s="407"/>
      <c r="BV32" s="407"/>
      <c r="BW32" s="407"/>
      <c r="BX32" s="407"/>
      <c r="BY32" s="407"/>
    </row>
    <row r="33">
      <c r="A33" s="1760"/>
      <c r="B33" s="1760"/>
      <c r="C33" s="407"/>
      <c r="D33" s="407"/>
      <c r="E33" s="407"/>
      <c r="F33" s="309"/>
      <c r="G33" s="407"/>
      <c r="H33" s="407"/>
      <c r="I33" s="1760"/>
      <c r="J33" s="407"/>
      <c r="K33" s="407"/>
      <c r="L33" s="407"/>
      <c r="M33" s="407"/>
      <c r="N33" s="407"/>
      <c r="O33" s="1760"/>
      <c r="P33" s="407"/>
      <c r="Q33" s="407"/>
      <c r="R33" s="407"/>
      <c r="S33" s="407"/>
      <c r="T33" s="407"/>
      <c r="U33" s="407"/>
      <c r="V33" s="1760"/>
      <c r="W33" s="407"/>
      <c r="X33" s="407"/>
      <c r="Y33" s="407"/>
      <c r="Z33" s="407"/>
      <c r="AA33" s="407"/>
      <c r="AB33" s="1760"/>
      <c r="AC33" s="407"/>
      <c r="AD33" s="407"/>
      <c r="AE33" s="407"/>
      <c r="AF33" s="407"/>
      <c r="AG33" s="407"/>
      <c r="AH33" s="407"/>
      <c r="AI33" s="407"/>
      <c r="AJ33" s="1760"/>
      <c r="AK33" s="407"/>
      <c r="AL33" s="407"/>
      <c r="AM33" s="407"/>
      <c r="AN33" s="407"/>
      <c r="AO33" s="407"/>
      <c r="AP33" s="407"/>
      <c r="AQ33" s="407"/>
      <c r="AR33" s="1760"/>
      <c r="AS33" s="407"/>
      <c r="AT33" s="407"/>
      <c r="AU33" s="407"/>
      <c r="AV33" s="407"/>
      <c r="AW33" s="407"/>
      <c r="AX33" s="407"/>
      <c r="AY33" s="1760"/>
      <c r="AZ33" s="1760"/>
      <c r="BA33" s="407"/>
      <c r="BB33" s="407"/>
      <c r="BC33" s="407"/>
      <c r="BD33" s="407"/>
      <c r="BE33" s="407"/>
      <c r="BF33" s="1760"/>
      <c r="BG33" s="407"/>
      <c r="BH33" s="407"/>
      <c r="BI33" s="407"/>
      <c r="BJ33" s="407"/>
      <c r="BK33" s="407"/>
      <c r="BL33" s="407"/>
      <c r="BM33" s="407"/>
      <c r="BN33" s="407"/>
      <c r="BO33" s="407"/>
      <c r="BP33" s="407"/>
      <c r="BQ33" s="407"/>
      <c r="BR33" s="407"/>
      <c r="BS33" s="407"/>
      <c r="BT33" s="407"/>
      <c r="BU33" s="407"/>
      <c r="BV33" s="407"/>
      <c r="BW33" s="407"/>
      <c r="BX33" s="407"/>
      <c r="BY33" s="407"/>
    </row>
    <row r="34">
      <c r="A34" s="1760"/>
      <c r="B34" s="1760"/>
      <c r="C34" s="407"/>
      <c r="D34" s="407"/>
      <c r="E34" s="407"/>
      <c r="F34" s="309"/>
      <c r="G34" s="407"/>
      <c r="H34" s="407"/>
      <c r="I34" s="1760"/>
      <c r="J34" s="407"/>
      <c r="K34" s="407"/>
      <c r="L34" s="407"/>
      <c r="M34" s="407"/>
      <c r="N34" s="407"/>
      <c r="O34" s="1760"/>
      <c r="P34" s="407"/>
      <c r="Q34" s="407"/>
      <c r="R34" s="407"/>
      <c r="S34" s="407"/>
      <c r="T34" s="407"/>
      <c r="U34" s="407"/>
      <c r="V34" s="1760"/>
      <c r="W34" s="407"/>
      <c r="X34" s="407"/>
      <c r="Y34" s="407"/>
      <c r="Z34" s="407"/>
      <c r="AA34" s="407"/>
      <c r="AB34" s="1760"/>
      <c r="AC34" s="407"/>
      <c r="AD34" s="407"/>
      <c r="AE34" s="407"/>
      <c r="AF34" s="407"/>
      <c r="AG34" s="407"/>
      <c r="AH34" s="407"/>
      <c r="AI34" s="407"/>
      <c r="AJ34" s="1760"/>
      <c r="AK34" s="407"/>
      <c r="AL34" s="407"/>
      <c r="AM34" s="407"/>
      <c r="AN34" s="407"/>
      <c r="AO34" s="407"/>
      <c r="AP34" s="407"/>
      <c r="AQ34" s="407"/>
      <c r="AR34" s="1760"/>
      <c r="AS34" s="407"/>
      <c r="AT34" s="407"/>
      <c r="AU34" s="407"/>
      <c r="AV34" s="407"/>
      <c r="AW34" s="407"/>
      <c r="AX34" s="407"/>
      <c r="AY34" s="1760"/>
      <c r="AZ34" s="1760"/>
      <c r="BA34" s="407"/>
      <c r="BB34" s="407"/>
      <c r="BC34" s="407"/>
      <c r="BD34" s="407"/>
      <c r="BE34" s="407"/>
      <c r="BF34" s="1760"/>
      <c r="BG34" s="407"/>
      <c r="BH34" s="407"/>
      <c r="BI34" s="407"/>
      <c r="BJ34" s="407"/>
      <c r="BK34" s="407"/>
      <c r="BL34" s="407"/>
      <c r="BM34" s="407"/>
      <c r="BN34" s="407"/>
      <c r="BO34" s="407"/>
      <c r="BP34" s="407"/>
      <c r="BQ34" s="407"/>
      <c r="BR34" s="407"/>
      <c r="BS34" s="407"/>
      <c r="BT34" s="407"/>
      <c r="BU34" s="407"/>
      <c r="BV34" s="407"/>
      <c r="BW34" s="407"/>
      <c r="BX34" s="407"/>
      <c r="BY34" s="407"/>
    </row>
    <row r="35">
      <c r="A35" s="1760"/>
      <c r="B35" s="1760"/>
      <c r="C35" s="407"/>
      <c r="D35" s="407"/>
      <c r="E35" s="407"/>
      <c r="F35" s="407"/>
      <c r="G35" s="407"/>
      <c r="H35" s="407"/>
      <c r="I35" s="1760"/>
      <c r="J35" s="407"/>
      <c r="K35" s="407"/>
      <c r="L35" s="407"/>
      <c r="M35" s="407"/>
      <c r="N35" s="407"/>
      <c r="O35" s="1760"/>
      <c r="P35" s="407"/>
      <c r="Q35" s="407"/>
      <c r="R35" s="407"/>
      <c r="S35" s="407"/>
      <c r="T35" s="407"/>
      <c r="U35" s="407"/>
      <c r="V35" s="1760"/>
      <c r="W35" s="407"/>
      <c r="X35" s="407"/>
      <c r="Y35" s="407"/>
      <c r="Z35" s="407"/>
      <c r="AA35" s="407"/>
      <c r="AB35" s="1760"/>
      <c r="AC35" s="407"/>
      <c r="AD35" s="407"/>
      <c r="AE35" s="407"/>
      <c r="AF35" s="407"/>
      <c r="AG35" s="407"/>
      <c r="AH35" s="407"/>
      <c r="AI35" s="407"/>
      <c r="AJ35" s="1760"/>
      <c r="AK35" s="407"/>
      <c r="AL35" s="407"/>
      <c r="AM35" s="407"/>
      <c r="AN35" s="407"/>
      <c r="AO35" s="407"/>
      <c r="AP35" s="407"/>
      <c r="AQ35" s="407"/>
      <c r="AR35" s="1760"/>
      <c r="AS35" s="407"/>
      <c r="AT35" s="407"/>
      <c r="AU35" s="407"/>
      <c r="AV35" s="407"/>
      <c r="AW35" s="407"/>
      <c r="AX35" s="407"/>
      <c r="AY35" s="1760"/>
      <c r="AZ35" s="1760"/>
      <c r="BA35" s="407"/>
      <c r="BB35" s="407"/>
      <c r="BC35" s="407"/>
      <c r="BD35" s="407"/>
      <c r="BE35" s="407"/>
      <c r="BF35" s="1760"/>
      <c r="BG35" s="407"/>
      <c r="BH35" s="407"/>
      <c r="BI35" s="407"/>
      <c r="BJ35" s="407"/>
      <c r="BK35" s="407"/>
      <c r="BL35" s="407"/>
      <c r="BM35" s="407"/>
      <c r="BN35" s="407"/>
      <c r="BO35" s="407"/>
      <c r="BP35" s="407"/>
      <c r="BQ35" s="407"/>
      <c r="BR35" s="407"/>
      <c r="BS35" s="407"/>
      <c r="BT35" s="407"/>
      <c r="BU35" s="407"/>
      <c r="BV35" s="407"/>
      <c r="BW35" s="407"/>
      <c r="BX35" s="407"/>
      <c r="BY35" s="407"/>
    </row>
    <row r="36">
      <c r="A36" s="1760"/>
      <c r="B36" s="1760"/>
      <c r="C36" s="407"/>
      <c r="D36" s="407"/>
      <c r="E36" s="407"/>
      <c r="F36" s="407"/>
      <c r="G36" s="407"/>
      <c r="H36" s="407"/>
      <c r="I36" s="1760"/>
      <c r="J36" s="407"/>
      <c r="K36" s="407"/>
      <c r="L36" s="407"/>
      <c r="M36" s="407"/>
      <c r="N36" s="407"/>
      <c r="O36" s="1760"/>
      <c r="P36" s="407"/>
      <c r="Q36" s="407"/>
      <c r="R36" s="407"/>
      <c r="S36" s="407"/>
      <c r="T36" s="407"/>
      <c r="U36" s="407"/>
      <c r="V36" s="1760"/>
      <c r="W36" s="407"/>
      <c r="X36" s="407"/>
      <c r="Y36" s="407"/>
      <c r="Z36" s="407"/>
      <c r="AA36" s="407"/>
      <c r="AB36" s="1760"/>
      <c r="AC36" s="407"/>
      <c r="AD36" s="407"/>
      <c r="AE36" s="407"/>
      <c r="AF36" s="407"/>
      <c r="AG36" s="407"/>
      <c r="AH36" s="407"/>
      <c r="AI36" s="407"/>
      <c r="AJ36" s="1760"/>
      <c r="AK36" s="407"/>
      <c r="AL36" s="407"/>
      <c r="AM36" s="407"/>
      <c r="AN36" s="407"/>
      <c r="AO36" s="407"/>
      <c r="AP36" s="407"/>
      <c r="AQ36" s="407"/>
      <c r="AR36" s="1760"/>
      <c r="AS36" s="407"/>
      <c r="AT36" s="407"/>
      <c r="AU36" s="407"/>
      <c r="AV36" s="407"/>
      <c r="AW36" s="407"/>
      <c r="AX36" s="407"/>
      <c r="AY36" s="1760"/>
      <c r="AZ36" s="1760"/>
      <c r="BA36" s="407"/>
      <c r="BB36" s="407"/>
      <c r="BC36" s="407"/>
      <c r="BD36" s="407"/>
      <c r="BE36" s="407"/>
      <c r="BF36" s="1760"/>
      <c r="BG36" s="407"/>
      <c r="BH36" s="407"/>
      <c r="BI36" s="407"/>
      <c r="BJ36" s="407"/>
      <c r="BK36" s="407"/>
      <c r="BL36" s="407"/>
      <c r="BM36" s="407"/>
      <c r="BN36" s="407"/>
      <c r="BO36" s="407"/>
      <c r="BP36" s="407"/>
      <c r="BQ36" s="407"/>
      <c r="BR36" s="407"/>
      <c r="BS36" s="407"/>
      <c r="BT36" s="407"/>
      <c r="BU36" s="407"/>
      <c r="BV36" s="407"/>
      <c r="BW36" s="407"/>
      <c r="BX36" s="407"/>
      <c r="BY36" s="407"/>
    </row>
    <row r="37">
      <c r="A37" s="1760"/>
      <c r="B37" s="1760"/>
      <c r="C37" s="407"/>
      <c r="D37" s="407"/>
      <c r="E37" s="407"/>
      <c r="F37" s="407"/>
      <c r="G37" s="407"/>
      <c r="H37" s="407"/>
      <c r="I37" s="1760"/>
      <c r="J37" s="407"/>
      <c r="K37" s="407"/>
      <c r="L37" s="407"/>
      <c r="M37" s="407"/>
      <c r="N37" s="407"/>
      <c r="O37" s="1760"/>
      <c r="P37" s="407"/>
      <c r="Q37" s="407"/>
      <c r="R37" s="407"/>
      <c r="S37" s="407"/>
      <c r="T37" s="407"/>
      <c r="U37" s="407"/>
      <c r="V37" s="1760"/>
      <c r="W37" s="407"/>
      <c r="X37" s="407"/>
      <c r="Y37" s="407"/>
      <c r="Z37" s="407"/>
      <c r="AA37" s="407"/>
      <c r="AB37" s="1760"/>
      <c r="AC37" s="407"/>
      <c r="AD37" s="407"/>
      <c r="AE37" s="407"/>
      <c r="AF37" s="407"/>
      <c r="AG37" s="407"/>
      <c r="AH37" s="407"/>
      <c r="AI37" s="407"/>
      <c r="AJ37" s="1760"/>
      <c r="AK37" s="407"/>
      <c r="AL37" s="407"/>
      <c r="AM37" s="407"/>
      <c r="AN37" s="407"/>
      <c r="AO37" s="407"/>
      <c r="AP37" s="407"/>
      <c r="AQ37" s="407"/>
      <c r="AR37" s="1760"/>
      <c r="AS37" s="407"/>
      <c r="AT37" s="407"/>
      <c r="AU37" s="407"/>
      <c r="AV37" s="407"/>
      <c r="AW37" s="407"/>
      <c r="AX37" s="407"/>
      <c r="AY37" s="1760"/>
      <c r="AZ37" s="1760"/>
      <c r="BA37" s="407"/>
      <c r="BB37" s="407"/>
      <c r="BC37" s="407"/>
      <c r="BD37" s="407"/>
      <c r="BE37" s="407"/>
      <c r="BF37" s="1760"/>
      <c r="BG37" s="407"/>
      <c r="BH37" s="407"/>
      <c r="BI37" s="407"/>
      <c r="BJ37" s="407"/>
      <c r="BK37" s="407"/>
      <c r="BL37" s="407"/>
      <c r="BM37" s="407"/>
      <c r="BN37" s="407"/>
      <c r="BO37" s="407"/>
      <c r="BP37" s="407"/>
      <c r="BQ37" s="407"/>
      <c r="BR37" s="407"/>
      <c r="BS37" s="407"/>
      <c r="BT37" s="407"/>
      <c r="BU37" s="407"/>
      <c r="BV37" s="407"/>
      <c r="BW37" s="407"/>
      <c r="BX37" s="407"/>
      <c r="BY37" s="407"/>
    </row>
    <row r="38">
      <c r="A38" s="1760"/>
      <c r="B38" s="1760"/>
      <c r="C38" s="407"/>
      <c r="D38" s="407"/>
      <c r="E38" s="407"/>
      <c r="F38" s="407"/>
      <c r="G38" s="407"/>
      <c r="H38" s="407"/>
      <c r="I38" s="1760"/>
      <c r="J38" s="407"/>
      <c r="K38" s="407"/>
      <c r="L38" s="407"/>
      <c r="M38" s="407"/>
      <c r="N38" s="407"/>
      <c r="O38" s="1760"/>
      <c r="P38" s="407"/>
      <c r="Q38" s="407"/>
      <c r="R38" s="407"/>
      <c r="S38" s="407"/>
      <c r="T38" s="407"/>
      <c r="U38" s="407"/>
      <c r="V38" s="1760"/>
      <c r="W38" s="407"/>
      <c r="X38" s="407"/>
      <c r="Y38" s="407"/>
      <c r="Z38" s="407"/>
      <c r="AA38" s="407"/>
      <c r="AB38" s="1760"/>
      <c r="AC38" s="407"/>
      <c r="AD38" s="407"/>
      <c r="AE38" s="407"/>
      <c r="AF38" s="407"/>
      <c r="AG38" s="407"/>
      <c r="AH38" s="407"/>
      <c r="AI38" s="407"/>
      <c r="AJ38" s="1760"/>
      <c r="AK38" s="407"/>
      <c r="AL38" s="407"/>
      <c r="AM38" s="407"/>
      <c r="AN38" s="407"/>
      <c r="AO38" s="407"/>
      <c r="AP38" s="407"/>
      <c r="AQ38" s="407"/>
      <c r="AR38" s="1760"/>
      <c r="AS38" s="407"/>
      <c r="AT38" s="407"/>
      <c r="AU38" s="407"/>
      <c r="AV38" s="407"/>
      <c r="AW38" s="407"/>
      <c r="AX38" s="407"/>
      <c r="AY38" s="1760"/>
      <c r="AZ38" s="1760"/>
      <c r="BA38" s="407"/>
      <c r="BB38" s="407"/>
      <c r="BC38" s="407"/>
      <c r="BD38" s="407"/>
      <c r="BE38" s="407"/>
      <c r="BF38" s="1760"/>
      <c r="BG38" s="407"/>
      <c r="BH38" s="407"/>
      <c r="BI38" s="407"/>
      <c r="BJ38" s="407"/>
      <c r="BK38" s="407"/>
      <c r="BL38" s="407"/>
      <c r="BM38" s="407"/>
      <c r="BN38" s="407"/>
      <c r="BO38" s="407"/>
      <c r="BP38" s="407"/>
      <c r="BQ38" s="407"/>
      <c r="BR38" s="407"/>
      <c r="BS38" s="407"/>
      <c r="BT38" s="407"/>
      <c r="BU38" s="407"/>
      <c r="BV38" s="407"/>
      <c r="BW38" s="407"/>
      <c r="BX38" s="407"/>
      <c r="BY38" s="407"/>
    </row>
    <row r="39">
      <c r="A39" s="1760"/>
      <c r="B39" s="1760"/>
      <c r="C39" s="407"/>
      <c r="D39" s="407"/>
      <c r="E39" s="407"/>
      <c r="F39" s="407"/>
      <c r="G39" s="407"/>
      <c r="H39" s="407"/>
      <c r="I39" s="1760"/>
      <c r="J39" s="407"/>
      <c r="K39" s="407"/>
      <c r="L39" s="407"/>
      <c r="M39" s="407"/>
      <c r="N39" s="407"/>
      <c r="O39" s="1760"/>
      <c r="P39" s="407"/>
      <c r="Q39" s="407"/>
      <c r="R39" s="407"/>
      <c r="S39" s="407"/>
      <c r="T39" s="407"/>
      <c r="U39" s="407"/>
      <c r="V39" s="1760"/>
      <c r="W39" s="407"/>
      <c r="X39" s="407"/>
      <c r="Y39" s="407"/>
      <c r="Z39" s="407"/>
      <c r="AA39" s="407"/>
      <c r="AB39" s="1760"/>
      <c r="AC39" s="407"/>
      <c r="AD39" s="407"/>
      <c r="AE39" s="407"/>
      <c r="AF39" s="407"/>
      <c r="AG39" s="407"/>
      <c r="AH39" s="407"/>
      <c r="AI39" s="407"/>
      <c r="AJ39" s="1760"/>
      <c r="AK39" s="407"/>
      <c r="AL39" s="407"/>
      <c r="AM39" s="407"/>
      <c r="AN39" s="407"/>
      <c r="AO39" s="407"/>
      <c r="AP39" s="407"/>
      <c r="AQ39" s="407"/>
      <c r="AR39" s="1760"/>
      <c r="AS39" s="407"/>
      <c r="AT39" s="407"/>
      <c r="AU39" s="407"/>
      <c r="AV39" s="407"/>
      <c r="AW39" s="407"/>
      <c r="AX39" s="407"/>
      <c r="AY39" s="1760"/>
      <c r="AZ39" s="1760"/>
      <c r="BA39" s="407"/>
      <c r="BB39" s="407"/>
      <c r="BC39" s="407"/>
      <c r="BD39" s="407"/>
      <c r="BE39" s="407"/>
      <c r="BF39" s="1760"/>
      <c r="BG39" s="407"/>
      <c r="BH39" s="407"/>
      <c r="BI39" s="407"/>
      <c r="BJ39" s="407"/>
      <c r="BK39" s="407"/>
      <c r="BL39" s="407"/>
      <c r="BM39" s="407"/>
      <c r="BN39" s="407"/>
      <c r="BO39" s="407"/>
      <c r="BP39" s="407"/>
      <c r="BQ39" s="407"/>
      <c r="BR39" s="407"/>
      <c r="BS39" s="407"/>
      <c r="BT39" s="407"/>
      <c r="BU39" s="407"/>
      <c r="BV39" s="407"/>
      <c r="BW39" s="407"/>
      <c r="BX39" s="407"/>
      <c r="BY39" s="407"/>
    </row>
    <row r="40">
      <c r="A40" s="1760"/>
      <c r="B40" s="1760"/>
      <c r="C40" s="407"/>
      <c r="D40" s="407"/>
      <c r="E40" s="407"/>
      <c r="F40" s="407"/>
      <c r="G40" s="407"/>
      <c r="H40" s="407"/>
      <c r="I40" s="1760"/>
      <c r="J40" s="407"/>
      <c r="K40" s="407"/>
      <c r="L40" s="407"/>
      <c r="M40" s="407"/>
      <c r="N40" s="407"/>
      <c r="O40" s="1760"/>
      <c r="P40" s="407"/>
      <c r="Q40" s="407"/>
      <c r="R40" s="407"/>
      <c r="S40" s="407"/>
      <c r="T40" s="407"/>
      <c r="U40" s="407"/>
      <c r="V40" s="1760"/>
      <c r="W40" s="407"/>
      <c r="X40" s="407"/>
      <c r="Y40" s="407"/>
      <c r="Z40" s="407"/>
      <c r="AA40" s="407"/>
      <c r="AB40" s="1760"/>
      <c r="AC40" s="407"/>
      <c r="AD40" s="407"/>
      <c r="AE40" s="407"/>
      <c r="AF40" s="407"/>
      <c r="AG40" s="407"/>
      <c r="AH40" s="407"/>
      <c r="AI40" s="407"/>
      <c r="AJ40" s="1760"/>
      <c r="AK40" s="407"/>
      <c r="AL40" s="407"/>
      <c r="AM40" s="407"/>
      <c r="AN40" s="407"/>
      <c r="AO40" s="407"/>
      <c r="AP40" s="407"/>
      <c r="AQ40" s="407"/>
      <c r="AR40" s="1760"/>
      <c r="AS40" s="407"/>
      <c r="AT40" s="407"/>
      <c r="AU40" s="407"/>
      <c r="AV40" s="407"/>
      <c r="AW40" s="407"/>
      <c r="AX40" s="407"/>
      <c r="AY40" s="1760"/>
      <c r="AZ40" s="1760"/>
      <c r="BA40" s="407"/>
      <c r="BB40" s="407"/>
      <c r="BC40" s="407"/>
      <c r="BD40" s="407"/>
      <c r="BE40" s="407"/>
      <c r="BF40" s="1760"/>
      <c r="BG40" s="407"/>
      <c r="BH40" s="407"/>
      <c r="BI40" s="407"/>
      <c r="BJ40" s="407"/>
      <c r="BK40" s="407"/>
      <c r="BL40" s="407"/>
      <c r="BM40" s="407"/>
      <c r="BN40" s="407"/>
      <c r="BO40" s="407"/>
      <c r="BP40" s="407"/>
      <c r="BQ40" s="407"/>
      <c r="BR40" s="407"/>
      <c r="BS40" s="407"/>
      <c r="BT40" s="407"/>
      <c r="BU40" s="407"/>
      <c r="BV40" s="407"/>
      <c r="BW40" s="407"/>
      <c r="BX40" s="407"/>
      <c r="BY40" s="407"/>
    </row>
    <row r="41">
      <c r="A41" s="1760"/>
      <c r="B41" s="1760"/>
      <c r="C41" s="407"/>
      <c r="D41" s="407"/>
      <c r="E41" s="407"/>
      <c r="F41" s="407"/>
      <c r="G41" s="407"/>
      <c r="H41" s="407"/>
      <c r="I41" s="1760"/>
      <c r="J41" s="407"/>
      <c r="K41" s="407"/>
      <c r="L41" s="407"/>
      <c r="M41" s="407"/>
      <c r="N41" s="407"/>
      <c r="O41" s="1760"/>
      <c r="P41" s="407"/>
      <c r="Q41" s="407"/>
      <c r="R41" s="407"/>
      <c r="S41" s="407"/>
      <c r="T41" s="407"/>
      <c r="U41" s="407"/>
      <c r="V41" s="1760"/>
      <c r="W41" s="407"/>
      <c r="X41" s="407"/>
      <c r="Y41" s="407"/>
      <c r="Z41" s="407"/>
      <c r="AA41" s="407"/>
      <c r="AB41" s="1760"/>
      <c r="AC41" s="407"/>
      <c r="AD41" s="407"/>
      <c r="AE41" s="407"/>
      <c r="AF41" s="407"/>
      <c r="AG41" s="407"/>
      <c r="AH41" s="407"/>
      <c r="AI41" s="407"/>
      <c r="AJ41" s="1760"/>
      <c r="AK41" s="407"/>
      <c r="AL41" s="407"/>
      <c r="AM41" s="407"/>
      <c r="AN41" s="407"/>
      <c r="AO41" s="407"/>
      <c r="AP41" s="407"/>
      <c r="AQ41" s="407"/>
      <c r="AR41" s="1760"/>
      <c r="AS41" s="407"/>
      <c r="AT41" s="407"/>
      <c r="AU41" s="407"/>
      <c r="AV41" s="407"/>
      <c r="AW41" s="407"/>
      <c r="AX41" s="407"/>
      <c r="AY41" s="1760"/>
      <c r="AZ41" s="1760"/>
      <c r="BA41" s="407"/>
      <c r="BB41" s="407"/>
      <c r="BC41" s="407"/>
      <c r="BD41" s="407"/>
      <c r="BE41" s="407"/>
      <c r="BF41" s="1760"/>
      <c r="BG41" s="407"/>
      <c r="BH41" s="407"/>
      <c r="BI41" s="407"/>
      <c r="BJ41" s="407"/>
      <c r="BK41" s="407"/>
      <c r="BL41" s="407"/>
      <c r="BM41" s="407"/>
      <c r="BN41" s="407"/>
      <c r="BO41" s="407"/>
      <c r="BP41" s="407"/>
      <c r="BQ41" s="407"/>
      <c r="BR41" s="407"/>
      <c r="BS41" s="407"/>
      <c r="BT41" s="407"/>
      <c r="BU41" s="407"/>
      <c r="BV41" s="407"/>
      <c r="BW41" s="407"/>
      <c r="BX41" s="407"/>
      <c r="BY41" s="407"/>
    </row>
    <row r="42">
      <c r="A42" s="1760"/>
      <c r="B42" s="1760"/>
      <c r="C42" s="407"/>
      <c r="D42" s="407"/>
      <c r="E42" s="407"/>
      <c r="F42" s="407"/>
      <c r="G42" s="407"/>
      <c r="H42" s="407"/>
      <c r="I42" s="1760"/>
      <c r="J42" s="407"/>
      <c r="K42" s="407"/>
      <c r="L42" s="407"/>
      <c r="M42" s="407"/>
      <c r="N42" s="407"/>
      <c r="O42" s="1760"/>
      <c r="P42" s="407"/>
      <c r="Q42" s="407"/>
      <c r="R42" s="407"/>
      <c r="S42" s="407"/>
      <c r="T42" s="407"/>
      <c r="U42" s="407"/>
      <c r="V42" s="1760"/>
      <c r="W42" s="407"/>
      <c r="X42" s="407"/>
      <c r="Y42" s="407"/>
      <c r="Z42" s="407"/>
      <c r="AA42" s="407"/>
      <c r="AB42" s="1760"/>
      <c r="AC42" s="407"/>
      <c r="AD42" s="407"/>
      <c r="AE42" s="407"/>
      <c r="AF42" s="407"/>
      <c r="AG42" s="407"/>
      <c r="AH42" s="407"/>
      <c r="AI42" s="407"/>
      <c r="AJ42" s="1760"/>
      <c r="AK42" s="407"/>
      <c r="AL42" s="407"/>
      <c r="AM42" s="407"/>
      <c r="AN42" s="407"/>
      <c r="AO42" s="407"/>
      <c r="AP42" s="407"/>
      <c r="AQ42" s="407"/>
      <c r="AR42" s="1760"/>
      <c r="AS42" s="407"/>
      <c r="AT42" s="407"/>
      <c r="AU42" s="407"/>
      <c r="AV42" s="407"/>
      <c r="AW42" s="407"/>
      <c r="AX42" s="407"/>
      <c r="AY42" s="1760"/>
      <c r="AZ42" s="1760"/>
      <c r="BA42" s="407"/>
      <c r="BB42" s="407"/>
      <c r="BC42" s="407"/>
      <c r="BD42" s="407"/>
      <c r="BE42" s="407"/>
      <c r="BF42" s="1760"/>
      <c r="BG42" s="407"/>
      <c r="BH42" s="407"/>
      <c r="BI42" s="407"/>
      <c r="BJ42" s="407"/>
      <c r="BK42" s="407"/>
      <c r="BL42" s="407"/>
      <c r="BM42" s="407"/>
      <c r="BN42" s="407"/>
      <c r="BO42" s="407"/>
      <c r="BP42" s="407"/>
      <c r="BQ42" s="407"/>
      <c r="BR42" s="407"/>
      <c r="BS42" s="407"/>
      <c r="BT42" s="407"/>
      <c r="BU42" s="407"/>
      <c r="BV42" s="407"/>
      <c r="BW42" s="407"/>
      <c r="BX42" s="407"/>
      <c r="BY42" s="407"/>
    </row>
    <row r="43">
      <c r="A43" s="1760"/>
      <c r="B43" s="1760"/>
      <c r="C43" s="407"/>
      <c r="D43" s="407"/>
      <c r="E43" s="407"/>
      <c r="F43" s="407"/>
      <c r="G43" s="407"/>
      <c r="H43" s="407"/>
      <c r="I43" s="1760"/>
      <c r="J43" s="407"/>
      <c r="K43" s="407"/>
      <c r="L43" s="407"/>
      <c r="M43" s="407"/>
      <c r="N43" s="407"/>
      <c r="O43" s="1760"/>
      <c r="P43" s="407"/>
      <c r="Q43" s="407"/>
      <c r="R43" s="407"/>
      <c r="S43" s="407"/>
      <c r="T43" s="407"/>
      <c r="U43" s="407"/>
      <c r="V43" s="1760"/>
      <c r="W43" s="407"/>
      <c r="X43" s="407"/>
      <c r="Y43" s="407"/>
      <c r="Z43" s="407"/>
      <c r="AA43" s="407"/>
      <c r="AB43" s="1760"/>
      <c r="AC43" s="407"/>
      <c r="AD43" s="407"/>
      <c r="AE43" s="407"/>
      <c r="AF43" s="407"/>
      <c r="AG43" s="407"/>
      <c r="AH43" s="407"/>
      <c r="AI43" s="407"/>
      <c r="AJ43" s="1760"/>
      <c r="AK43" s="407"/>
      <c r="AL43" s="407"/>
      <c r="AM43" s="407"/>
      <c r="AN43" s="407"/>
      <c r="AO43" s="407"/>
      <c r="AP43" s="407"/>
      <c r="AQ43" s="407"/>
      <c r="AR43" s="1760"/>
      <c r="AS43" s="407"/>
      <c r="AT43" s="407"/>
      <c r="AU43" s="407"/>
      <c r="AV43" s="407"/>
      <c r="AW43" s="407"/>
      <c r="AX43" s="407"/>
      <c r="AY43" s="1760"/>
      <c r="AZ43" s="1760"/>
      <c r="BA43" s="407"/>
      <c r="BB43" s="407"/>
      <c r="BC43" s="407"/>
      <c r="BD43" s="407"/>
      <c r="BE43" s="407"/>
      <c r="BF43" s="1760"/>
      <c r="BG43" s="407"/>
      <c r="BH43" s="407"/>
      <c r="BI43" s="407"/>
      <c r="BJ43" s="407"/>
      <c r="BK43" s="407"/>
      <c r="BL43" s="407"/>
      <c r="BM43" s="407"/>
      <c r="BN43" s="407"/>
      <c r="BO43" s="407"/>
      <c r="BP43" s="407"/>
      <c r="BQ43" s="407"/>
      <c r="BR43" s="407"/>
      <c r="BS43" s="407"/>
      <c r="BT43" s="407"/>
      <c r="BU43" s="407"/>
      <c r="BV43" s="407"/>
      <c r="BW43" s="407"/>
      <c r="BX43" s="407"/>
      <c r="BY43" s="407"/>
    </row>
    <row r="44">
      <c r="A44" s="1760"/>
      <c r="B44" s="1760"/>
      <c r="C44" s="407"/>
      <c r="D44" s="407"/>
      <c r="E44" s="407"/>
      <c r="F44" s="407"/>
      <c r="G44" s="407"/>
      <c r="H44" s="407"/>
      <c r="I44" s="1760"/>
      <c r="J44" s="407"/>
      <c r="K44" s="407"/>
      <c r="L44" s="407"/>
      <c r="M44" s="407"/>
      <c r="N44" s="407"/>
      <c r="O44" s="1760"/>
      <c r="P44" s="407"/>
      <c r="Q44" s="407"/>
      <c r="R44" s="407"/>
      <c r="S44" s="407"/>
      <c r="T44" s="407"/>
      <c r="U44" s="407"/>
      <c r="V44" s="1760"/>
      <c r="W44" s="407"/>
      <c r="X44" s="407"/>
      <c r="Y44" s="407"/>
      <c r="Z44" s="407"/>
      <c r="AA44" s="407"/>
      <c r="AB44" s="1760"/>
      <c r="AC44" s="407"/>
      <c r="AD44" s="407"/>
      <c r="AE44" s="407"/>
      <c r="AF44" s="407"/>
      <c r="AG44" s="407"/>
      <c r="AH44" s="407"/>
      <c r="AI44" s="407"/>
      <c r="AJ44" s="1760"/>
      <c r="AK44" s="407"/>
      <c r="AL44" s="407"/>
      <c r="AM44" s="407"/>
      <c r="AN44" s="407"/>
      <c r="AO44" s="407"/>
      <c r="AP44" s="407"/>
      <c r="AQ44" s="407"/>
      <c r="AR44" s="1760"/>
      <c r="AS44" s="407"/>
      <c r="AT44" s="407"/>
      <c r="AU44" s="407"/>
      <c r="AV44" s="407"/>
      <c r="AW44" s="407"/>
      <c r="AX44" s="407"/>
      <c r="AY44" s="1760"/>
      <c r="AZ44" s="1760"/>
      <c r="BA44" s="407"/>
      <c r="BB44" s="407"/>
      <c r="BC44" s="407"/>
      <c r="BD44" s="407"/>
      <c r="BE44" s="407"/>
      <c r="BF44" s="1760"/>
      <c r="BG44" s="407"/>
      <c r="BH44" s="407"/>
      <c r="BI44" s="407"/>
      <c r="BJ44" s="407"/>
      <c r="BK44" s="407"/>
      <c r="BL44" s="407"/>
      <c r="BM44" s="407"/>
      <c r="BN44" s="407"/>
      <c r="BO44" s="407"/>
      <c r="BP44" s="407"/>
      <c r="BQ44" s="407"/>
      <c r="BR44" s="407"/>
      <c r="BS44" s="407"/>
      <c r="BT44" s="407"/>
      <c r="BU44" s="407"/>
      <c r="BV44" s="407"/>
      <c r="BW44" s="407"/>
      <c r="BX44" s="407"/>
      <c r="BY44" s="407"/>
    </row>
    <row r="45">
      <c r="A45" s="1760"/>
      <c r="B45" s="1760"/>
      <c r="C45" s="407"/>
      <c r="D45" s="407"/>
      <c r="E45" s="407"/>
      <c r="F45" s="407"/>
      <c r="G45" s="407"/>
      <c r="H45" s="407"/>
      <c r="I45" s="1760"/>
      <c r="J45" s="407"/>
      <c r="K45" s="407"/>
      <c r="L45" s="407"/>
      <c r="M45" s="407"/>
      <c r="N45" s="407"/>
      <c r="O45" s="1760"/>
      <c r="P45" s="407"/>
      <c r="Q45" s="407"/>
      <c r="R45" s="407"/>
      <c r="S45" s="407"/>
      <c r="T45" s="407"/>
      <c r="U45" s="407"/>
      <c r="V45" s="1760"/>
      <c r="W45" s="407"/>
      <c r="X45" s="407"/>
      <c r="Y45" s="407"/>
      <c r="Z45" s="407"/>
      <c r="AA45" s="407"/>
      <c r="AB45" s="1760"/>
      <c r="AC45" s="407"/>
      <c r="AD45" s="407"/>
      <c r="AE45" s="407"/>
      <c r="AF45" s="407"/>
      <c r="AG45" s="407"/>
      <c r="AH45" s="407"/>
      <c r="AI45" s="407"/>
      <c r="AJ45" s="1760"/>
      <c r="AK45" s="407"/>
      <c r="AL45" s="407"/>
      <c r="AM45" s="407"/>
      <c r="AN45" s="407"/>
      <c r="AO45" s="407"/>
      <c r="AP45" s="407"/>
      <c r="AQ45" s="407"/>
      <c r="AR45" s="1760"/>
      <c r="AS45" s="407"/>
      <c r="AT45" s="407"/>
      <c r="AU45" s="407"/>
      <c r="AV45" s="407"/>
      <c r="AW45" s="407"/>
      <c r="AX45" s="407"/>
      <c r="AY45" s="1760"/>
      <c r="AZ45" s="1760"/>
      <c r="BA45" s="407"/>
      <c r="BB45" s="407"/>
      <c r="BC45" s="407"/>
      <c r="BD45" s="407"/>
      <c r="BE45" s="407"/>
      <c r="BF45" s="1760"/>
      <c r="BG45" s="407"/>
      <c r="BH45" s="407"/>
      <c r="BI45" s="407"/>
      <c r="BJ45" s="407"/>
      <c r="BK45" s="407"/>
      <c r="BL45" s="407"/>
      <c r="BM45" s="407"/>
      <c r="BN45" s="407"/>
      <c r="BO45" s="407"/>
      <c r="BP45" s="407"/>
      <c r="BQ45" s="407"/>
      <c r="BR45" s="407"/>
      <c r="BS45" s="407"/>
      <c r="BT45" s="407"/>
      <c r="BU45" s="407"/>
      <c r="BV45" s="407"/>
      <c r="BW45" s="407"/>
      <c r="BX45" s="407"/>
      <c r="BY45" s="407"/>
    </row>
    <row r="46">
      <c r="A46" s="1760"/>
      <c r="B46" s="1760"/>
      <c r="C46" s="407"/>
      <c r="D46" s="407"/>
      <c r="E46" s="407"/>
      <c r="F46" s="407"/>
      <c r="G46" s="407"/>
      <c r="H46" s="407"/>
      <c r="I46" s="1760"/>
      <c r="J46" s="407"/>
      <c r="K46" s="407"/>
      <c r="L46" s="407"/>
      <c r="M46" s="407"/>
      <c r="N46" s="407"/>
      <c r="O46" s="1760"/>
      <c r="P46" s="407"/>
      <c r="Q46" s="407"/>
      <c r="R46" s="407"/>
      <c r="S46" s="407"/>
      <c r="T46" s="407"/>
      <c r="U46" s="407"/>
      <c r="V46" s="1760"/>
      <c r="W46" s="407"/>
      <c r="X46" s="407"/>
      <c r="Y46" s="407"/>
      <c r="Z46" s="407"/>
      <c r="AA46" s="407"/>
      <c r="AB46" s="1760"/>
      <c r="AC46" s="407"/>
      <c r="AD46" s="407"/>
      <c r="AE46" s="407"/>
      <c r="AF46" s="407"/>
      <c r="AG46" s="407"/>
      <c r="AH46" s="407"/>
      <c r="AI46" s="407"/>
      <c r="AJ46" s="1760"/>
      <c r="AK46" s="407"/>
      <c r="AL46" s="407"/>
      <c r="AM46" s="407"/>
      <c r="AN46" s="407"/>
      <c r="AO46" s="407"/>
      <c r="AP46" s="407"/>
      <c r="AQ46" s="407"/>
      <c r="AR46" s="1760"/>
      <c r="AS46" s="407"/>
      <c r="AT46" s="407"/>
      <c r="AU46" s="407"/>
      <c r="AV46" s="407"/>
      <c r="AW46" s="407"/>
      <c r="AX46" s="407"/>
      <c r="AY46" s="1760"/>
      <c r="AZ46" s="1760"/>
      <c r="BA46" s="407"/>
      <c r="BB46" s="407"/>
      <c r="BC46" s="407"/>
      <c r="BD46" s="407"/>
      <c r="BE46" s="407"/>
      <c r="BF46" s="1760"/>
      <c r="BG46" s="407"/>
      <c r="BH46" s="407"/>
      <c r="BI46" s="407"/>
      <c r="BJ46" s="407"/>
      <c r="BK46" s="407"/>
      <c r="BL46" s="407"/>
      <c r="BM46" s="407"/>
      <c r="BN46" s="407"/>
      <c r="BO46" s="407"/>
      <c r="BP46" s="407"/>
      <c r="BQ46" s="407"/>
      <c r="BR46" s="407"/>
      <c r="BS46" s="407"/>
      <c r="BT46" s="407"/>
      <c r="BU46" s="407"/>
      <c r="BV46" s="407"/>
      <c r="BW46" s="407"/>
      <c r="BX46" s="407"/>
      <c r="BY46" s="407"/>
    </row>
    <row r="47">
      <c r="A47" s="1760"/>
      <c r="B47" s="1760"/>
      <c r="C47" s="407"/>
      <c r="D47" s="407"/>
      <c r="E47" s="407"/>
      <c r="F47" s="407"/>
      <c r="G47" s="407"/>
      <c r="H47" s="407"/>
      <c r="I47" s="1760"/>
      <c r="J47" s="407"/>
      <c r="K47" s="407"/>
      <c r="L47" s="407"/>
      <c r="M47" s="407"/>
      <c r="N47" s="407"/>
      <c r="O47" s="1760"/>
      <c r="P47" s="407"/>
      <c r="Q47" s="407"/>
      <c r="R47" s="407"/>
      <c r="S47" s="407"/>
      <c r="T47" s="407"/>
      <c r="U47" s="407"/>
      <c r="V47" s="1760"/>
      <c r="W47" s="407"/>
      <c r="X47" s="407"/>
      <c r="Y47" s="407"/>
      <c r="Z47" s="407"/>
      <c r="AA47" s="407"/>
      <c r="AB47" s="1760"/>
      <c r="AC47" s="407"/>
      <c r="AD47" s="407"/>
      <c r="AE47" s="407"/>
      <c r="AF47" s="407"/>
      <c r="AG47" s="407"/>
      <c r="AH47" s="407"/>
      <c r="AI47" s="407"/>
      <c r="AJ47" s="1760"/>
      <c r="AK47" s="407"/>
      <c r="AL47" s="407"/>
      <c r="AM47" s="407"/>
      <c r="AN47" s="407"/>
      <c r="AO47" s="407"/>
      <c r="AP47" s="407"/>
      <c r="AQ47" s="407"/>
      <c r="AR47" s="1760"/>
      <c r="AS47" s="407"/>
      <c r="AT47" s="407"/>
      <c r="AU47" s="407"/>
      <c r="AV47" s="407"/>
      <c r="AW47" s="407"/>
      <c r="AX47" s="407"/>
      <c r="AY47" s="1760"/>
      <c r="AZ47" s="1760"/>
      <c r="BA47" s="407"/>
      <c r="BB47" s="407"/>
      <c r="BC47" s="407"/>
      <c r="BD47" s="407"/>
      <c r="BE47" s="407"/>
      <c r="BF47" s="1760"/>
      <c r="BG47" s="407"/>
      <c r="BH47" s="407"/>
      <c r="BI47" s="407"/>
      <c r="BJ47" s="407"/>
      <c r="BK47" s="407"/>
      <c r="BL47" s="407"/>
      <c r="BM47" s="407"/>
      <c r="BN47" s="407"/>
      <c r="BO47" s="407"/>
      <c r="BP47" s="407"/>
      <c r="BQ47" s="407"/>
      <c r="BR47" s="407"/>
      <c r="BS47" s="407"/>
      <c r="BT47" s="407"/>
      <c r="BU47" s="407"/>
      <c r="BV47" s="407"/>
      <c r="BW47" s="407"/>
      <c r="BX47" s="407"/>
      <c r="BY47" s="407"/>
    </row>
    <row r="48">
      <c r="A48" s="1760"/>
      <c r="B48" s="1760"/>
      <c r="C48" s="407"/>
      <c r="D48" s="407"/>
      <c r="E48" s="407"/>
      <c r="F48" s="407"/>
      <c r="G48" s="407"/>
      <c r="H48" s="407"/>
      <c r="I48" s="1760"/>
      <c r="J48" s="407"/>
      <c r="K48" s="407"/>
      <c r="L48" s="407"/>
      <c r="M48" s="407"/>
      <c r="N48" s="407"/>
      <c r="O48" s="1760"/>
      <c r="P48" s="407"/>
      <c r="Q48" s="407"/>
      <c r="R48" s="407"/>
      <c r="S48" s="407"/>
      <c r="T48" s="407"/>
      <c r="U48" s="407"/>
      <c r="V48" s="1760"/>
      <c r="W48" s="407"/>
      <c r="X48" s="407"/>
      <c r="Y48" s="407"/>
      <c r="Z48" s="407"/>
      <c r="AA48" s="407"/>
      <c r="AB48" s="1760"/>
      <c r="AC48" s="407"/>
      <c r="AD48" s="407"/>
      <c r="AE48" s="407"/>
      <c r="AF48" s="407"/>
      <c r="AG48" s="407"/>
      <c r="AH48" s="407"/>
      <c r="AI48" s="407"/>
      <c r="AJ48" s="1760"/>
      <c r="AK48" s="407"/>
      <c r="AL48" s="407"/>
      <c r="AM48" s="407"/>
      <c r="AN48" s="407"/>
      <c r="AO48" s="407"/>
      <c r="AP48" s="407"/>
      <c r="AQ48" s="407"/>
      <c r="AR48" s="1760"/>
      <c r="AS48" s="407"/>
      <c r="AT48" s="407"/>
      <c r="AU48" s="407"/>
      <c r="AV48" s="407"/>
      <c r="AW48" s="407"/>
      <c r="AX48" s="407"/>
      <c r="AY48" s="1760"/>
      <c r="AZ48" s="1760"/>
      <c r="BA48" s="407"/>
      <c r="BB48" s="407"/>
      <c r="BC48" s="407"/>
      <c r="BD48" s="407"/>
      <c r="BE48" s="407"/>
      <c r="BF48" s="1760"/>
      <c r="BG48" s="407"/>
      <c r="BH48" s="407"/>
      <c r="BI48" s="407"/>
      <c r="BJ48" s="407"/>
      <c r="BK48" s="407"/>
      <c r="BL48" s="407"/>
      <c r="BM48" s="407"/>
      <c r="BN48" s="407"/>
      <c r="BO48" s="407"/>
      <c r="BP48" s="407"/>
      <c r="BQ48" s="407"/>
      <c r="BR48" s="407"/>
      <c r="BS48" s="407"/>
      <c r="BT48" s="407"/>
      <c r="BU48" s="407"/>
      <c r="BV48" s="407"/>
      <c r="BW48" s="407"/>
      <c r="BX48" s="407"/>
      <c r="BY48" s="407"/>
    </row>
    <row r="49">
      <c r="A49" s="1760"/>
      <c r="B49" s="1760"/>
      <c r="C49" s="407"/>
      <c r="D49" s="407"/>
      <c r="E49" s="407"/>
      <c r="F49" s="407"/>
      <c r="G49" s="407"/>
      <c r="H49" s="407"/>
      <c r="I49" s="1760"/>
      <c r="J49" s="407"/>
      <c r="K49" s="407"/>
      <c r="L49" s="407"/>
      <c r="M49" s="407"/>
      <c r="N49" s="407"/>
      <c r="O49" s="1760"/>
      <c r="P49" s="407"/>
      <c r="Q49" s="407"/>
      <c r="R49" s="407"/>
      <c r="S49" s="407"/>
      <c r="T49" s="407"/>
      <c r="U49" s="407"/>
      <c r="V49" s="1760"/>
      <c r="W49" s="407"/>
      <c r="X49" s="407"/>
      <c r="Y49" s="407"/>
      <c r="Z49" s="407"/>
      <c r="AA49" s="407"/>
      <c r="AB49" s="1760"/>
      <c r="AC49" s="407"/>
      <c r="AD49" s="407"/>
      <c r="AE49" s="407"/>
      <c r="AF49" s="407"/>
      <c r="AG49" s="407"/>
      <c r="AH49" s="407"/>
      <c r="AI49" s="407"/>
      <c r="AJ49" s="1760"/>
      <c r="AK49" s="407"/>
      <c r="AL49" s="407"/>
      <c r="AM49" s="407"/>
      <c r="AN49" s="407"/>
      <c r="AO49" s="407"/>
      <c r="AP49" s="407"/>
      <c r="AQ49" s="407"/>
      <c r="AR49" s="1760"/>
      <c r="AS49" s="407"/>
      <c r="AT49" s="407"/>
      <c r="AU49" s="407"/>
      <c r="AV49" s="407"/>
      <c r="AW49" s="407"/>
      <c r="AX49" s="407"/>
      <c r="AY49" s="1760"/>
      <c r="AZ49" s="1760"/>
      <c r="BA49" s="407"/>
      <c r="BB49" s="407"/>
      <c r="BC49" s="407"/>
      <c r="BD49" s="407"/>
      <c r="BE49" s="407"/>
      <c r="BF49" s="1760"/>
      <c r="BG49" s="407"/>
      <c r="BH49" s="407"/>
      <c r="BI49" s="407"/>
      <c r="BJ49" s="407"/>
      <c r="BK49" s="407"/>
      <c r="BL49" s="407"/>
      <c r="BM49" s="407"/>
      <c r="BN49" s="407"/>
      <c r="BO49" s="407"/>
      <c r="BP49" s="407"/>
      <c r="BQ49" s="407"/>
      <c r="BR49" s="407"/>
      <c r="BS49" s="407"/>
      <c r="BT49" s="407"/>
      <c r="BU49" s="407"/>
      <c r="BV49" s="407"/>
      <c r="BW49" s="407"/>
      <c r="BX49" s="407"/>
      <c r="BY49" s="407"/>
    </row>
  </sheetData>
  <mergeCells count="23">
    <mergeCell ref="AQ1:AS1"/>
    <mergeCell ref="AY1:BA1"/>
    <mergeCell ref="AY4:AY18"/>
    <mergeCell ref="BA9:BC9"/>
    <mergeCell ref="AC23:AG25"/>
    <mergeCell ref="A3:B3"/>
    <mergeCell ref="A4:B4"/>
    <mergeCell ref="A5:B5"/>
    <mergeCell ref="A6:B6"/>
    <mergeCell ref="A7:B7"/>
    <mergeCell ref="A8:B8"/>
    <mergeCell ref="A9:B9"/>
    <mergeCell ref="A11:B11"/>
    <mergeCell ref="BD1:BH1"/>
    <mergeCell ref="BM1:BO1"/>
    <mergeCell ref="BS1:BW1"/>
    <mergeCell ref="A1:B2"/>
    <mergeCell ref="C1:F1"/>
    <mergeCell ref="G1:K1"/>
    <mergeCell ref="N1:P1"/>
    <mergeCell ref="U1:W1"/>
    <mergeCell ref="AA1:AC1"/>
    <mergeCell ref="AH1:AL1"/>
  </mergeCells>
  <conditionalFormatting sqref="H3">
    <cfRule type="colorScale" priority="1">
      <colorScale>
        <cfvo type="min"/>
        <cfvo type="max"/>
        <color rgb="FF57BB8A"/>
        <color rgb="FFFFFFFF"/>
      </colorScale>
    </cfRule>
  </conditionalFormatting>
  <hyperlinks>
    <hyperlink r:id="rId2" ref="C4"/>
    <hyperlink r:id="rId3" ref="J4"/>
    <hyperlink r:id="rId4" ref="W4"/>
    <hyperlink r:id="rId5" ref="AC4"/>
    <hyperlink r:id="rId6" ref="AK4"/>
    <hyperlink r:id="rId7" ref="AS4"/>
    <hyperlink r:id="rId8" ref="BA4"/>
    <hyperlink r:id="rId9" ref="BG4"/>
    <hyperlink r:id="rId10" ref="BO4"/>
    <hyperlink r:id="rId11" ref="BV4"/>
    <hyperlink r:id="rId12" ref="C5"/>
    <hyperlink r:id="rId13" ref="J5"/>
    <hyperlink r:id="rId14" ref="P5"/>
    <hyperlink r:id="rId15" ref="W5"/>
    <hyperlink r:id="rId16" ref="AC5"/>
    <hyperlink r:id="rId17" ref="AK5"/>
    <hyperlink r:id="rId18" ref="AS5"/>
    <hyperlink r:id="rId19" ref="BA5"/>
    <hyperlink r:id="rId20" ref="BG5"/>
    <hyperlink r:id="rId21" ref="BO5"/>
    <hyperlink r:id="rId22" ref="BV5"/>
    <hyperlink r:id="rId23" ref="C6"/>
    <hyperlink r:id="rId24" ref="J6"/>
    <hyperlink r:id="rId25" ref="P6"/>
    <hyperlink r:id="rId26" ref="W6"/>
    <hyperlink r:id="rId27" ref="AC6"/>
    <hyperlink r:id="rId28" ref="AK6"/>
    <hyperlink r:id="rId29" ref="AS6"/>
    <hyperlink r:id="rId30" ref="BA6"/>
    <hyperlink r:id="rId31" ref="BG6"/>
    <hyperlink r:id="rId32" ref="BO6"/>
    <hyperlink r:id="rId33" ref="BV6"/>
    <hyperlink r:id="rId34" ref="C7"/>
    <hyperlink r:id="rId35" ref="J7"/>
    <hyperlink r:id="rId36" ref="P7"/>
    <hyperlink r:id="rId37" ref="W7"/>
    <hyperlink r:id="rId38" ref="AS7"/>
    <hyperlink r:id="rId39" ref="BG7"/>
    <hyperlink r:id="rId40" ref="BO7"/>
    <hyperlink r:id="rId41" ref="BV7"/>
    <hyperlink r:id="rId42" ref="C8"/>
    <hyperlink r:id="rId43" ref="W8"/>
    <hyperlink r:id="rId44" ref="AC8"/>
    <hyperlink r:id="rId45" ref="AS8"/>
    <hyperlink r:id="rId46" ref="BA8"/>
    <hyperlink r:id="rId47" ref="BG8"/>
    <hyperlink r:id="rId48" ref="BO8"/>
    <hyperlink r:id="rId49" ref="BV8"/>
    <hyperlink r:id="rId50" ref="C9"/>
    <hyperlink r:id="rId51" ref="J9"/>
    <hyperlink r:id="rId52" ref="P9"/>
    <hyperlink r:id="rId53" ref="W9"/>
    <hyperlink r:id="rId54" ref="AC9"/>
    <hyperlink r:id="rId55" ref="BA9"/>
    <hyperlink r:id="rId56" ref="BG9"/>
  </hyperlinks>
  <drawing r:id="rId57"/>
  <legacyDrawing r:id="rId58"/>
  <tableParts count="1">
    <tablePart r:id="rId60"/>
  </tableParts>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34343"/>
    <outlinePr summaryBelow="0" summaryRight="0"/>
  </sheetPr>
  <sheetViews>
    <sheetView workbookViewId="0"/>
  </sheetViews>
  <sheetFormatPr customHeight="1" defaultColWidth="14.43" defaultRowHeight="15.75"/>
  <cols>
    <col customWidth="1" min="2" max="2" width="29.14"/>
    <col customWidth="1" min="3" max="4" width="29.29"/>
  </cols>
  <sheetData>
    <row r="1" ht="23.25" customHeight="1">
      <c r="A1" s="495"/>
      <c r="B1" s="1924"/>
    </row>
    <row r="2" ht="23.25" customHeight="1">
      <c r="B2" s="1925" t="s">
        <v>1441</v>
      </c>
      <c r="C2" s="549"/>
      <c r="D2" s="550"/>
    </row>
    <row r="3" ht="23.25" customHeight="1">
      <c r="B3" s="607"/>
      <c r="C3" s="7"/>
      <c r="D3" s="8"/>
    </row>
    <row r="4" ht="23.25" customHeight="1">
      <c r="B4" s="1926" t="s">
        <v>1442</v>
      </c>
      <c r="C4" s="1926" t="s">
        <v>1443</v>
      </c>
      <c r="D4" s="1926" t="s">
        <v>1444</v>
      </c>
    </row>
    <row r="5" ht="23.25" customHeight="1">
      <c r="B5" s="1927" t="s">
        <v>1445</v>
      </c>
      <c r="C5" s="1926" t="s">
        <v>1446</v>
      </c>
      <c r="D5" s="1926" t="s">
        <v>1447</v>
      </c>
    </row>
    <row r="6" ht="23.25" customHeight="1">
      <c r="B6" s="1926" t="s">
        <v>1448</v>
      </c>
      <c r="C6" s="1926" t="s">
        <v>1449</v>
      </c>
      <c r="D6" s="1928" t="s">
        <v>51</v>
      </c>
    </row>
    <row r="7" ht="23.25" customHeight="1">
      <c r="B7" s="1926" t="s">
        <v>443</v>
      </c>
      <c r="C7" s="1926" t="s">
        <v>1450</v>
      </c>
      <c r="D7" s="1928" t="s">
        <v>1451</v>
      </c>
    </row>
    <row r="8" ht="23.25" customHeight="1">
      <c r="B8" s="1926" t="s">
        <v>1452</v>
      </c>
      <c r="C8" s="1926" t="s">
        <v>1453</v>
      </c>
      <c r="D8" s="1926" t="s">
        <v>1454</v>
      </c>
    </row>
    <row r="9" ht="23.25" customHeight="1">
      <c r="B9" s="1926" t="s">
        <v>1455</v>
      </c>
      <c r="C9" s="1926" t="s">
        <v>1456</v>
      </c>
    </row>
    <row r="10" ht="23.25" customHeight="1"/>
    <row r="11" ht="23.25" customHeight="1"/>
    <row r="12" ht="23.25" customHeight="1"/>
  </sheetData>
  <mergeCells count="1">
    <mergeCell ref="B2:D3"/>
  </mergeCell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3000"/>
    <outlinePr summaryBelow="0" summaryRight="0"/>
  </sheetPr>
  <sheetViews>
    <sheetView workbookViewId="0"/>
  </sheetViews>
  <sheetFormatPr customHeight="1" defaultColWidth="14.43" defaultRowHeight="15.75"/>
  <cols>
    <col customWidth="1" min="1" max="1" width="3.0"/>
    <col customWidth="1" min="2" max="2" width="35.86"/>
    <col customWidth="1" min="3" max="3" width="3.0"/>
    <col customWidth="1" min="4" max="4" width="35.86"/>
    <col customWidth="1" min="5" max="5" width="3.0"/>
    <col customWidth="1" min="6" max="6" width="35.86"/>
    <col customWidth="1" min="7" max="7" width="3.0"/>
    <col customWidth="1" min="8" max="8" width="35.86"/>
    <col customWidth="1" min="9" max="9" width="3.0"/>
    <col customWidth="1" min="10" max="10" width="35.86"/>
    <col customWidth="1" min="11" max="11" width="3.0"/>
    <col customWidth="1" min="12" max="12" width="35.86"/>
    <col customWidth="1" min="13" max="13" width="3.0"/>
  </cols>
  <sheetData>
    <row r="1">
      <c r="A1" s="1567"/>
      <c r="B1" s="1929" t="s">
        <v>1457</v>
      </c>
      <c r="C1" s="1567"/>
      <c r="D1" s="1567"/>
      <c r="E1" s="1567"/>
      <c r="F1" s="1567"/>
      <c r="G1" s="1567"/>
      <c r="H1" s="1567"/>
      <c r="I1" s="1567"/>
      <c r="J1" s="1567"/>
      <c r="K1" s="1567"/>
      <c r="L1" s="1567"/>
      <c r="M1" s="1567"/>
    </row>
    <row r="2">
      <c r="A2" s="1567"/>
      <c r="B2" s="1930" t="s">
        <v>1458</v>
      </c>
      <c r="C2" s="549"/>
      <c r="D2" s="549"/>
      <c r="E2" s="549"/>
      <c r="F2" s="549"/>
      <c r="G2" s="549"/>
      <c r="H2" s="549"/>
      <c r="I2" s="549"/>
      <c r="J2" s="549"/>
      <c r="K2" s="549"/>
      <c r="L2" s="550"/>
      <c r="M2" s="1567"/>
    </row>
    <row r="3">
      <c r="A3" s="1567"/>
      <c r="B3" s="1931"/>
      <c r="C3" s="504"/>
      <c r="D3" s="504"/>
      <c r="E3" s="504"/>
      <c r="F3" s="504"/>
      <c r="G3" s="504"/>
      <c r="H3" s="504"/>
      <c r="I3" s="504"/>
      <c r="J3" s="504"/>
      <c r="K3" s="504"/>
      <c r="L3" s="1932"/>
      <c r="M3" s="1567"/>
    </row>
    <row r="4">
      <c r="A4" s="1567"/>
      <c r="B4" s="1933" t="s">
        <v>1459</v>
      </c>
      <c r="C4" s="7"/>
      <c r="D4" s="7"/>
      <c r="E4" s="7"/>
      <c r="F4" s="7"/>
      <c r="G4" s="7"/>
      <c r="H4" s="7"/>
      <c r="I4" s="7"/>
      <c r="J4" s="7"/>
      <c r="K4" s="7"/>
      <c r="L4" s="8"/>
      <c r="M4" s="1567"/>
    </row>
    <row r="5">
      <c r="A5" s="1567"/>
      <c r="B5" s="1567"/>
      <c r="C5" s="1567"/>
      <c r="D5" s="1567"/>
      <c r="E5" s="1567"/>
      <c r="F5" s="1567"/>
      <c r="G5" s="1567"/>
      <c r="H5" s="1567"/>
      <c r="I5" s="1567"/>
      <c r="J5" s="1567"/>
      <c r="K5" s="1567"/>
      <c r="L5" s="1567"/>
      <c r="M5" s="1567"/>
    </row>
    <row r="6">
      <c r="A6" s="1567"/>
      <c r="B6" s="1934" t="s">
        <v>1442</v>
      </c>
      <c r="C6" s="1567"/>
      <c r="D6" s="1934" t="s">
        <v>1444</v>
      </c>
      <c r="E6" s="1567"/>
      <c r="F6" s="1934" t="s">
        <v>1460</v>
      </c>
      <c r="G6" s="1567"/>
      <c r="H6" s="1934" t="s">
        <v>1446</v>
      </c>
      <c r="I6" s="1567"/>
      <c r="J6" s="1934" t="s">
        <v>1461</v>
      </c>
      <c r="K6" s="1567"/>
      <c r="L6" s="1934" t="s">
        <v>1449</v>
      </c>
      <c r="M6" s="1567"/>
    </row>
    <row r="7">
      <c r="A7" s="1567"/>
      <c r="B7" s="1935" t="s">
        <v>1462</v>
      </c>
      <c r="C7" s="1567"/>
      <c r="D7" s="1935" t="s">
        <v>1463</v>
      </c>
      <c r="E7" s="1567"/>
      <c r="F7" s="1935" t="s">
        <v>1464</v>
      </c>
      <c r="G7" s="1567"/>
      <c r="H7" s="1935" t="s">
        <v>1465</v>
      </c>
      <c r="I7" s="1567"/>
      <c r="J7" s="1935" t="s">
        <v>1466</v>
      </c>
      <c r="K7" s="1567"/>
      <c r="L7" s="1935" t="s">
        <v>1467</v>
      </c>
      <c r="M7" s="1567"/>
    </row>
    <row r="8">
      <c r="A8" s="1567"/>
      <c r="B8" s="1936" t="s">
        <v>1468</v>
      </c>
      <c r="C8" s="1567"/>
      <c r="D8" s="1937" t="s">
        <v>1469</v>
      </c>
      <c r="E8" s="1567"/>
      <c r="F8" s="1936" t="s">
        <v>1470</v>
      </c>
      <c r="G8" s="1567"/>
      <c r="H8" s="1936" t="s">
        <v>1470</v>
      </c>
      <c r="I8" s="1567"/>
      <c r="J8" s="1936" t="s">
        <v>1471</v>
      </c>
      <c r="K8" s="1567"/>
      <c r="L8" s="1936" t="s">
        <v>1472</v>
      </c>
      <c r="M8" s="1567"/>
    </row>
    <row r="9">
      <c r="A9" s="1567"/>
      <c r="B9" s="1938" t="s">
        <v>1473</v>
      </c>
      <c r="C9" s="1567"/>
      <c r="D9" s="1938" t="s">
        <v>1474</v>
      </c>
      <c r="E9" s="1567"/>
      <c r="F9" s="1938" t="s">
        <v>1475</v>
      </c>
      <c r="G9" s="1567"/>
      <c r="H9" s="1938" t="s">
        <v>509</v>
      </c>
      <c r="I9" s="1567"/>
      <c r="J9" s="1938" t="s">
        <v>509</v>
      </c>
      <c r="K9" s="1567"/>
      <c r="L9" s="1939" t="s">
        <v>511</v>
      </c>
      <c r="M9" s="1567"/>
    </row>
    <row r="10">
      <c r="A10" s="1567"/>
      <c r="B10" s="1940" t="s">
        <v>1476</v>
      </c>
      <c r="C10" s="1567"/>
      <c r="D10" s="1940" t="s">
        <v>1477</v>
      </c>
      <c r="E10" s="1567"/>
      <c r="F10" s="1941" t="s">
        <v>1478</v>
      </c>
      <c r="G10" s="1942"/>
      <c r="H10" s="1943" t="s">
        <v>1479</v>
      </c>
      <c r="I10" s="1569"/>
      <c r="J10" s="1940" t="s">
        <v>1475</v>
      </c>
      <c r="K10" s="1567"/>
      <c r="L10" s="1941" t="s">
        <v>1478</v>
      </c>
      <c r="M10" s="1567"/>
    </row>
    <row r="11">
      <c r="A11" s="1567"/>
      <c r="B11" s="1941" t="s">
        <v>1480</v>
      </c>
      <c r="C11" s="1567"/>
      <c r="D11" s="1944" t="s">
        <v>1481</v>
      </c>
      <c r="E11" s="1567"/>
      <c r="F11" s="1945" t="s">
        <v>1482</v>
      </c>
      <c r="G11" s="1567"/>
      <c r="H11" s="1946" t="s">
        <v>1376</v>
      </c>
      <c r="I11" s="1942"/>
      <c r="J11" s="1941" t="s">
        <v>1478</v>
      </c>
      <c r="K11" s="1569"/>
      <c r="L11" s="1947" t="s">
        <v>500</v>
      </c>
      <c r="M11" s="1567"/>
    </row>
    <row r="12">
      <c r="A12" s="1567"/>
      <c r="B12" s="1948" t="s">
        <v>1483</v>
      </c>
      <c r="C12" s="1567"/>
      <c r="D12" s="1949" t="s">
        <v>1483</v>
      </c>
      <c r="E12" s="1567"/>
      <c r="F12" s="1940" t="s">
        <v>1483</v>
      </c>
      <c r="G12" s="1567"/>
      <c r="H12" s="1941" t="s">
        <v>1484</v>
      </c>
      <c r="I12" s="1567"/>
      <c r="J12" s="1940" t="s">
        <v>1376</v>
      </c>
      <c r="K12" s="1567"/>
      <c r="L12" s="1941" t="s">
        <v>1485</v>
      </c>
      <c r="M12" s="1567"/>
    </row>
    <row r="13">
      <c r="A13" s="1567"/>
      <c r="B13" s="1950" t="s">
        <v>1486</v>
      </c>
      <c r="C13" s="1567"/>
      <c r="D13" s="1948" t="s">
        <v>1487</v>
      </c>
      <c r="E13" s="1942"/>
      <c r="F13" s="1941" t="s">
        <v>1487</v>
      </c>
      <c r="G13" s="1569"/>
      <c r="H13" s="1940" t="s">
        <v>1488</v>
      </c>
      <c r="I13" s="1567"/>
      <c r="J13" s="1941" t="s">
        <v>1489</v>
      </c>
      <c r="K13" s="1567"/>
      <c r="L13" s="1940" t="s">
        <v>1488</v>
      </c>
      <c r="M13" s="1567"/>
    </row>
    <row r="14">
      <c r="A14" s="1567"/>
      <c r="B14" s="1053"/>
      <c r="C14" s="1567"/>
      <c r="D14" s="1950" t="s">
        <v>1490</v>
      </c>
      <c r="E14" s="1942"/>
      <c r="F14" s="1940" t="s">
        <v>1491</v>
      </c>
      <c r="G14" s="1569"/>
      <c r="H14" s="1940" t="s">
        <v>1483</v>
      </c>
      <c r="I14" s="1567"/>
      <c r="J14" s="1940" t="s">
        <v>1488</v>
      </c>
      <c r="K14" s="1567"/>
      <c r="L14" s="1940" t="s">
        <v>1483</v>
      </c>
      <c r="M14" s="1567"/>
    </row>
    <row r="15">
      <c r="A15" s="1942"/>
      <c r="B15" s="1934" t="s">
        <v>443</v>
      </c>
      <c r="C15" s="1569"/>
      <c r="D15" s="1567"/>
      <c r="E15" s="1567"/>
      <c r="F15" s="563"/>
      <c r="G15" s="1567"/>
      <c r="H15" s="1941" t="s">
        <v>1487</v>
      </c>
      <c r="I15" s="1567"/>
      <c r="J15" s="1940" t="s">
        <v>1483</v>
      </c>
      <c r="K15" s="1942"/>
      <c r="L15" s="1941" t="s">
        <v>1487</v>
      </c>
      <c r="M15" s="1569"/>
    </row>
    <row r="16">
      <c r="A16" s="1942"/>
      <c r="B16" s="1935" t="s">
        <v>1492</v>
      </c>
      <c r="C16" s="1569"/>
      <c r="D16" s="1934" t="s">
        <v>1451</v>
      </c>
      <c r="E16" s="1567"/>
      <c r="F16" s="1586"/>
      <c r="G16" s="1567"/>
      <c r="H16" s="1951" t="s">
        <v>1493</v>
      </c>
      <c r="I16" s="1567"/>
      <c r="J16" s="1941" t="s">
        <v>1487</v>
      </c>
      <c r="K16" s="1942"/>
      <c r="L16" s="1940" t="s">
        <v>1494</v>
      </c>
      <c r="M16" s="1569"/>
    </row>
    <row r="17">
      <c r="A17" s="1942"/>
      <c r="B17" s="1936" t="s">
        <v>1495</v>
      </c>
      <c r="C17" s="1569"/>
      <c r="D17" s="1935" t="s">
        <v>1496</v>
      </c>
      <c r="E17" s="1567"/>
      <c r="F17" s="1934" t="s">
        <v>1497</v>
      </c>
      <c r="G17" s="1567"/>
      <c r="H17" s="1567"/>
      <c r="I17" s="1567"/>
      <c r="J17" s="1951" t="s">
        <v>1498</v>
      </c>
      <c r="K17" s="1942"/>
      <c r="L17" s="1952"/>
      <c r="M17" s="1569"/>
    </row>
    <row r="18">
      <c r="A18" s="1942"/>
      <c r="B18" s="1940" t="s">
        <v>1499</v>
      </c>
      <c r="C18" s="1569"/>
      <c r="D18" s="1936" t="s">
        <v>1500</v>
      </c>
      <c r="E18" s="1567"/>
      <c r="F18" s="1935" t="s">
        <v>1501</v>
      </c>
      <c r="G18" s="1567"/>
      <c r="H18" s="1934" t="s">
        <v>1450</v>
      </c>
      <c r="I18" s="1567"/>
      <c r="J18" s="1567"/>
      <c r="K18" s="1567"/>
      <c r="L18" s="563"/>
      <c r="M18" s="1567"/>
    </row>
    <row r="19">
      <c r="A19" s="1942"/>
      <c r="B19" s="1939" t="s">
        <v>511</v>
      </c>
      <c r="C19" s="1569"/>
      <c r="D19" s="1939" t="s">
        <v>511</v>
      </c>
      <c r="E19" s="1567"/>
      <c r="F19" s="1936" t="s">
        <v>1500</v>
      </c>
      <c r="G19" s="1567"/>
      <c r="H19" s="1935" t="s">
        <v>1502</v>
      </c>
      <c r="I19" s="1567"/>
      <c r="J19" s="1934" t="s">
        <v>51</v>
      </c>
      <c r="K19" s="1567"/>
      <c r="L19" s="1586"/>
      <c r="M19" s="1567"/>
    </row>
    <row r="20">
      <c r="A20" s="1942"/>
      <c r="B20" s="1941" t="s">
        <v>1478</v>
      </c>
      <c r="C20" s="1569"/>
      <c r="D20" s="1940" t="s">
        <v>1475</v>
      </c>
      <c r="E20" s="1567"/>
      <c r="F20" s="1938" t="s">
        <v>509</v>
      </c>
      <c r="G20" s="1567"/>
      <c r="H20" s="1936" t="s">
        <v>1503</v>
      </c>
      <c r="I20" s="1567"/>
      <c r="J20" s="1935" t="s">
        <v>1504</v>
      </c>
      <c r="K20" s="1567"/>
      <c r="L20" s="1934" t="s">
        <v>1455</v>
      </c>
      <c r="M20" s="1567"/>
    </row>
    <row r="21">
      <c r="A21" s="1942"/>
      <c r="B21" s="1939" t="s">
        <v>500</v>
      </c>
      <c r="C21" s="1569"/>
      <c r="D21" s="1941" t="s">
        <v>1478</v>
      </c>
      <c r="E21" s="1567"/>
      <c r="F21" s="1939" t="s">
        <v>1505</v>
      </c>
      <c r="G21" s="1567"/>
      <c r="H21" s="1939" t="s">
        <v>511</v>
      </c>
      <c r="I21" s="1567"/>
      <c r="J21" s="1936" t="s">
        <v>1506</v>
      </c>
      <c r="K21" s="1567"/>
      <c r="L21" s="1935" t="s">
        <v>1507</v>
      </c>
      <c r="M21" s="1567"/>
    </row>
    <row r="22">
      <c r="A22" s="1942"/>
      <c r="B22" s="1939" t="s">
        <v>1376</v>
      </c>
      <c r="C22" s="1569"/>
      <c r="D22" s="1947" t="s">
        <v>500</v>
      </c>
      <c r="E22" s="1567"/>
      <c r="F22" s="1941" t="s">
        <v>1478</v>
      </c>
      <c r="G22" s="1942"/>
      <c r="H22" s="1940" t="s">
        <v>1475</v>
      </c>
      <c r="I22" s="1569"/>
      <c r="J22" s="1939" t="s">
        <v>511</v>
      </c>
      <c r="K22" s="1567"/>
      <c r="L22" s="1936" t="s">
        <v>1508</v>
      </c>
      <c r="M22" s="1567"/>
    </row>
    <row r="23">
      <c r="A23" s="1942"/>
      <c r="B23" s="1940" t="s">
        <v>1509</v>
      </c>
      <c r="C23" s="1569"/>
      <c r="D23" s="1940" t="s">
        <v>1376</v>
      </c>
      <c r="E23" s="1567"/>
      <c r="F23" s="1947" t="s">
        <v>1376</v>
      </c>
      <c r="G23" s="1567"/>
      <c r="H23" s="1941" t="s">
        <v>1478</v>
      </c>
      <c r="I23" s="1567"/>
      <c r="J23" s="1940" t="s">
        <v>1475</v>
      </c>
      <c r="K23" s="1567"/>
      <c r="L23" s="1939" t="s">
        <v>511</v>
      </c>
      <c r="M23" s="1567"/>
    </row>
    <row r="24">
      <c r="A24" s="1942"/>
      <c r="B24" s="1946" t="s">
        <v>1488</v>
      </c>
      <c r="C24" s="1569"/>
      <c r="D24" s="1941" t="s">
        <v>1510</v>
      </c>
      <c r="E24" s="1567"/>
      <c r="F24" s="1953" t="s">
        <v>1511</v>
      </c>
      <c r="G24" s="1567"/>
      <c r="H24" s="1940" t="s">
        <v>1512</v>
      </c>
      <c r="I24" s="1567"/>
      <c r="J24" s="1944" t="s">
        <v>1513</v>
      </c>
      <c r="K24" s="1567"/>
      <c r="L24" s="1940" t="s">
        <v>1475</v>
      </c>
      <c r="M24" s="1567"/>
    </row>
    <row r="25">
      <c r="A25" s="1942"/>
      <c r="B25" s="1941" t="s">
        <v>1483</v>
      </c>
      <c r="C25" s="1569"/>
      <c r="D25" s="1940" t="s">
        <v>1488</v>
      </c>
      <c r="E25" s="1567"/>
      <c r="F25" s="1940" t="s">
        <v>1488</v>
      </c>
      <c r="G25" s="1567"/>
      <c r="H25" s="1941" t="s">
        <v>1514</v>
      </c>
      <c r="I25" s="1567"/>
      <c r="J25" s="1940" t="s">
        <v>1488</v>
      </c>
      <c r="K25" s="1567"/>
      <c r="L25" s="1941" t="s">
        <v>1478</v>
      </c>
      <c r="M25" s="1567"/>
    </row>
    <row r="26">
      <c r="A26" s="1942"/>
      <c r="B26" s="1940" t="s">
        <v>1515</v>
      </c>
      <c r="C26" s="1569"/>
      <c r="D26" s="1940" t="s">
        <v>1483</v>
      </c>
      <c r="E26" s="1942"/>
      <c r="F26" s="1940" t="s">
        <v>1483</v>
      </c>
      <c r="G26" s="1569"/>
      <c r="H26" s="1940" t="s">
        <v>1483</v>
      </c>
      <c r="I26" s="1567"/>
      <c r="J26" s="1940" t="s">
        <v>1483</v>
      </c>
      <c r="K26" s="1567"/>
      <c r="L26" s="1947" t="s">
        <v>1516</v>
      </c>
      <c r="M26" s="1567"/>
    </row>
    <row r="27">
      <c r="A27" s="1942"/>
      <c r="B27" s="563"/>
      <c r="C27" s="1569"/>
      <c r="D27" s="1941" t="s">
        <v>1487</v>
      </c>
      <c r="E27" s="1942"/>
      <c r="F27" s="1941" t="s">
        <v>1487</v>
      </c>
      <c r="G27" s="1569"/>
      <c r="H27" s="1941" t="s">
        <v>1487</v>
      </c>
      <c r="I27" s="1942"/>
      <c r="J27" s="1941" t="s">
        <v>1487</v>
      </c>
      <c r="K27" s="1954"/>
      <c r="L27" s="1946" t="s">
        <v>1488</v>
      </c>
      <c r="M27" s="1569"/>
    </row>
    <row r="28">
      <c r="A28" s="1567"/>
      <c r="B28" s="1586"/>
      <c r="C28" s="1567"/>
      <c r="D28" s="1955" t="s">
        <v>1517</v>
      </c>
      <c r="E28" s="1942"/>
      <c r="F28" s="1956" t="s">
        <v>1518</v>
      </c>
      <c r="G28" s="1569"/>
      <c r="H28" s="1951" t="s">
        <v>1519</v>
      </c>
      <c r="I28" s="1942"/>
      <c r="J28" s="1946" t="s">
        <v>1520</v>
      </c>
      <c r="K28" s="1954"/>
      <c r="L28" s="1940" t="s">
        <v>1483</v>
      </c>
      <c r="M28" s="1569"/>
    </row>
    <row r="29">
      <c r="A29" s="1567"/>
      <c r="B29" s="1934" t="s">
        <v>1445</v>
      </c>
      <c r="C29" s="1957"/>
      <c r="D29" s="563"/>
      <c r="E29" s="1367"/>
      <c r="F29" s="563"/>
      <c r="G29" s="1567"/>
      <c r="H29" s="1567"/>
      <c r="I29" s="1942"/>
      <c r="J29" s="1952"/>
      <c r="K29" s="1954"/>
      <c r="L29" s="1941" t="s">
        <v>1487</v>
      </c>
      <c r="M29" s="1569"/>
    </row>
    <row r="30">
      <c r="A30" s="1567"/>
      <c r="B30" s="1935" t="s">
        <v>1521</v>
      </c>
      <c r="C30" s="1958"/>
      <c r="D30" s="1621"/>
      <c r="E30" s="1621"/>
      <c r="F30" s="1639"/>
      <c r="G30" s="1567"/>
      <c r="H30" s="1934" t="s">
        <v>1453</v>
      </c>
      <c r="I30" s="1567"/>
      <c r="J30" s="563"/>
      <c r="K30" s="1942"/>
      <c r="L30" s="1940" t="s">
        <v>1522</v>
      </c>
      <c r="M30" s="1569"/>
    </row>
    <row r="31">
      <c r="A31" s="1942"/>
      <c r="B31" s="1936" t="s">
        <v>1523</v>
      </c>
      <c r="C31" s="1569"/>
      <c r="D31" s="1934" t="s">
        <v>1452</v>
      </c>
      <c r="E31" s="1567"/>
      <c r="F31" s="1934" t="s">
        <v>1524</v>
      </c>
      <c r="G31" s="1567"/>
      <c r="H31" s="1935" t="s">
        <v>1525</v>
      </c>
      <c r="I31" s="1567"/>
      <c r="J31" s="1586"/>
      <c r="K31" s="1942"/>
      <c r="L31" s="1952"/>
      <c r="M31" s="1569"/>
    </row>
    <row r="32">
      <c r="A32" s="1942"/>
      <c r="B32" s="1938" t="s">
        <v>509</v>
      </c>
      <c r="C32" s="1954"/>
      <c r="D32" s="1935" t="s">
        <v>1526</v>
      </c>
      <c r="E32" s="1569"/>
      <c r="F32" s="1935" t="s">
        <v>1527</v>
      </c>
      <c r="G32" s="1942"/>
      <c r="H32" s="1936" t="s">
        <v>1528</v>
      </c>
      <c r="I32" s="1569"/>
      <c r="J32" s="1934" t="s">
        <v>459</v>
      </c>
      <c r="K32" s="1567"/>
      <c r="L32" s="563"/>
      <c r="M32" s="1567"/>
    </row>
    <row r="33">
      <c r="A33" s="1942"/>
      <c r="B33" s="1941" t="s">
        <v>1478</v>
      </c>
      <c r="C33" s="1954"/>
      <c r="D33" s="1936" t="s">
        <v>1529</v>
      </c>
      <c r="E33" s="1569"/>
      <c r="F33" s="1936" t="s">
        <v>1530</v>
      </c>
      <c r="G33" s="1942"/>
      <c r="H33" s="1938" t="s">
        <v>1475</v>
      </c>
      <c r="I33" s="1569"/>
      <c r="J33" s="1935" t="s">
        <v>1531</v>
      </c>
      <c r="K33" s="1567"/>
      <c r="L33" s="1586"/>
      <c r="M33" s="1567"/>
    </row>
    <row r="34">
      <c r="A34" s="1942"/>
      <c r="B34" s="1946" t="s">
        <v>1376</v>
      </c>
      <c r="C34" s="1954"/>
      <c r="D34" s="1939" t="s">
        <v>511</v>
      </c>
      <c r="E34" s="1954"/>
      <c r="F34" s="1939" t="s">
        <v>1478</v>
      </c>
      <c r="G34" s="1569"/>
      <c r="H34" s="1941" t="s">
        <v>1478</v>
      </c>
      <c r="I34" s="1567"/>
      <c r="J34" s="1936" t="s">
        <v>1532</v>
      </c>
      <c r="K34" s="1567"/>
      <c r="L34" s="1934" t="s">
        <v>1454</v>
      </c>
      <c r="M34" s="1567"/>
    </row>
    <row r="35">
      <c r="A35" s="1942"/>
      <c r="B35" s="1940" t="s">
        <v>1533</v>
      </c>
      <c r="C35" s="1954"/>
      <c r="D35" s="1940" t="s">
        <v>1475</v>
      </c>
      <c r="E35" s="1569"/>
      <c r="F35" s="1947" t="s">
        <v>500</v>
      </c>
      <c r="G35" s="1567"/>
      <c r="H35" s="1940" t="s">
        <v>1376</v>
      </c>
      <c r="I35" s="1567"/>
      <c r="J35" s="1939" t="s">
        <v>511</v>
      </c>
      <c r="K35" s="1567"/>
      <c r="L35" s="1935" t="s">
        <v>1534</v>
      </c>
      <c r="M35" s="1567"/>
    </row>
    <row r="36">
      <c r="A36" s="1567"/>
      <c r="B36" s="1959"/>
      <c r="C36" s="1942"/>
      <c r="D36" s="1946" t="s">
        <v>1535</v>
      </c>
      <c r="E36" s="1569"/>
      <c r="F36" s="1940" t="s">
        <v>1376</v>
      </c>
      <c r="G36" s="1567"/>
      <c r="H36" s="1941" t="s">
        <v>1536</v>
      </c>
      <c r="I36" s="1567"/>
      <c r="J36" s="1940" t="s">
        <v>1475</v>
      </c>
      <c r="K36" s="1567"/>
      <c r="L36" s="1936" t="s">
        <v>1537</v>
      </c>
      <c r="M36" s="1567"/>
    </row>
    <row r="37">
      <c r="A37" s="1567"/>
      <c r="B37" s="1940" t="s">
        <v>1488</v>
      </c>
      <c r="C37" s="1567"/>
      <c r="D37" s="1959"/>
      <c r="E37" s="1567"/>
      <c r="F37" s="1941" t="s">
        <v>1538</v>
      </c>
      <c r="G37" s="1567"/>
      <c r="H37" s="1940" t="s">
        <v>1483</v>
      </c>
      <c r="I37" s="1567"/>
      <c r="J37" s="1946" t="s">
        <v>1539</v>
      </c>
      <c r="K37" s="1567"/>
      <c r="L37" s="1938" t="s">
        <v>1479</v>
      </c>
      <c r="M37" s="1567"/>
    </row>
    <row r="38">
      <c r="A38" s="1567"/>
      <c r="B38" s="1940" t="s">
        <v>1483</v>
      </c>
      <c r="C38" s="1567"/>
      <c r="D38" s="1940" t="s">
        <v>1483</v>
      </c>
      <c r="E38" s="1567"/>
      <c r="F38" s="1940" t="s">
        <v>1488</v>
      </c>
      <c r="G38" s="1567"/>
      <c r="H38" s="1941" t="s">
        <v>1487</v>
      </c>
      <c r="I38" s="1942"/>
      <c r="J38" s="1946" t="s">
        <v>1488</v>
      </c>
      <c r="K38" s="1954"/>
      <c r="L38" s="1941" t="s">
        <v>1475</v>
      </c>
      <c r="M38" s="1569"/>
    </row>
    <row r="39">
      <c r="A39" s="1567"/>
      <c r="B39" s="1941" t="s">
        <v>1487</v>
      </c>
      <c r="C39" s="1567"/>
      <c r="D39" s="1960" t="s">
        <v>1540</v>
      </c>
      <c r="E39" s="1567"/>
      <c r="F39" s="1940" t="s">
        <v>1483</v>
      </c>
      <c r="G39" s="1567"/>
      <c r="H39" s="1960" t="s">
        <v>1541</v>
      </c>
      <c r="I39" s="1942"/>
      <c r="J39" s="1940" t="s">
        <v>1483</v>
      </c>
      <c r="K39" s="1954"/>
      <c r="L39" s="1947" t="s">
        <v>500</v>
      </c>
      <c r="M39" s="1569"/>
    </row>
    <row r="40">
      <c r="A40" s="1567"/>
      <c r="B40" s="1951" t="s">
        <v>1542</v>
      </c>
      <c r="C40" s="1567"/>
      <c r="D40" s="1567"/>
      <c r="E40" s="1567"/>
      <c r="F40" s="1941" t="s">
        <v>1487</v>
      </c>
      <c r="G40" s="1567"/>
      <c r="H40" s="1567"/>
      <c r="I40" s="1942"/>
      <c r="J40" s="1941" t="s">
        <v>1487</v>
      </c>
      <c r="K40" s="1954"/>
      <c r="L40" s="1940" t="s">
        <v>1543</v>
      </c>
      <c r="M40" s="1569"/>
    </row>
    <row r="41">
      <c r="A41" s="1567"/>
      <c r="B41" s="1567"/>
      <c r="C41" s="1567"/>
      <c r="D41" s="1934" t="s">
        <v>464</v>
      </c>
      <c r="E41" s="1567"/>
      <c r="F41" s="1960" t="s">
        <v>1544</v>
      </c>
      <c r="G41" s="1567"/>
      <c r="H41" s="1934" t="s">
        <v>27</v>
      </c>
      <c r="I41" s="1567"/>
      <c r="J41" s="1946" t="s">
        <v>1545</v>
      </c>
      <c r="K41" s="1954"/>
      <c r="L41" s="1946" t="s">
        <v>1488</v>
      </c>
      <c r="M41" s="1569"/>
    </row>
    <row r="42">
      <c r="A42" s="1567"/>
      <c r="B42" s="1934" t="s">
        <v>1456</v>
      </c>
      <c r="C42" s="1567"/>
      <c r="D42" s="1935" t="s">
        <v>1546</v>
      </c>
      <c r="E42" s="1567"/>
      <c r="F42" s="1567"/>
      <c r="G42" s="1567"/>
      <c r="H42" s="1935" t="s">
        <v>1547</v>
      </c>
      <c r="I42" s="1567"/>
      <c r="J42" s="563"/>
      <c r="K42" s="1954"/>
      <c r="L42" s="1940" t="s">
        <v>1483</v>
      </c>
      <c r="M42" s="1569"/>
    </row>
    <row r="43">
      <c r="A43" s="1567"/>
      <c r="B43" s="1935" t="s">
        <v>1548</v>
      </c>
      <c r="C43" s="1942"/>
      <c r="D43" s="1936" t="s">
        <v>1549</v>
      </c>
      <c r="E43" s="1569"/>
      <c r="F43" s="1934" t="s">
        <v>1550</v>
      </c>
      <c r="G43" s="1567"/>
      <c r="H43" s="1936" t="s">
        <v>1551</v>
      </c>
      <c r="I43" s="1567"/>
      <c r="J43" s="1586"/>
      <c r="K43" s="1942"/>
      <c r="L43" s="1960" t="s">
        <v>1552</v>
      </c>
      <c r="M43" s="1569"/>
    </row>
    <row r="44">
      <c r="A44" s="1567"/>
      <c r="B44" s="1936" t="s">
        <v>1549</v>
      </c>
      <c r="C44" s="1567"/>
      <c r="D44" s="1938" t="s">
        <v>1479</v>
      </c>
      <c r="E44" s="1567"/>
      <c r="F44" s="1935" t="s">
        <v>1553</v>
      </c>
      <c r="G44" s="1942"/>
      <c r="H44" s="1938" t="s">
        <v>1477</v>
      </c>
      <c r="I44" s="1569"/>
      <c r="J44" s="1934" t="s">
        <v>38</v>
      </c>
      <c r="K44" s="1567"/>
      <c r="L44" s="1567"/>
      <c r="M44" s="1567"/>
    </row>
    <row r="45">
      <c r="A45" s="1567"/>
      <c r="B45" s="1939" t="s">
        <v>511</v>
      </c>
      <c r="C45" s="1567"/>
      <c r="D45" s="1940" t="s">
        <v>1475</v>
      </c>
      <c r="E45" s="1567"/>
      <c r="F45" s="1936" t="s">
        <v>1551</v>
      </c>
      <c r="G45" s="1942"/>
      <c r="H45" s="1940" t="s">
        <v>511</v>
      </c>
      <c r="I45" s="1569"/>
      <c r="J45" s="1935" t="s">
        <v>1554</v>
      </c>
      <c r="K45" s="1567"/>
      <c r="L45" s="1934" t="s">
        <v>463</v>
      </c>
      <c r="M45" s="1567"/>
    </row>
    <row r="46">
      <c r="A46" s="1567"/>
      <c r="B46" s="1946" t="s">
        <v>1376</v>
      </c>
      <c r="C46" s="1567"/>
      <c r="D46" s="1941" t="s">
        <v>1478</v>
      </c>
      <c r="E46" s="1567"/>
      <c r="F46" s="1938" t="s">
        <v>509</v>
      </c>
      <c r="G46" s="1942"/>
      <c r="H46" s="1940" t="s">
        <v>1475</v>
      </c>
      <c r="I46" s="1569"/>
      <c r="J46" s="1936" t="s">
        <v>1551</v>
      </c>
      <c r="K46" s="1567"/>
      <c r="L46" s="1935" t="s">
        <v>1555</v>
      </c>
      <c r="M46" s="1567"/>
    </row>
    <row r="47">
      <c r="A47" s="1942"/>
      <c r="B47" s="1939" t="s">
        <v>1538</v>
      </c>
      <c r="C47" s="1569"/>
      <c r="D47" s="1947" t="s">
        <v>500</v>
      </c>
      <c r="E47" s="1567"/>
      <c r="F47" s="1939" t="s">
        <v>1505</v>
      </c>
      <c r="G47" s="1942"/>
      <c r="H47" s="1940" t="s">
        <v>1556</v>
      </c>
      <c r="I47" s="1569"/>
      <c r="J47" s="1938" t="s">
        <v>511</v>
      </c>
      <c r="K47" s="1567"/>
      <c r="L47" s="1936" t="s">
        <v>1557</v>
      </c>
      <c r="M47" s="1567"/>
    </row>
    <row r="48">
      <c r="A48" s="1942"/>
      <c r="B48" s="1946" t="s">
        <v>1488</v>
      </c>
      <c r="C48" s="1569"/>
      <c r="D48" s="1940" t="s">
        <v>1376</v>
      </c>
      <c r="E48" s="1567"/>
      <c r="F48" s="1940" t="s">
        <v>1475</v>
      </c>
      <c r="G48" s="1942"/>
      <c r="H48" s="1941" t="s">
        <v>1478</v>
      </c>
      <c r="I48" s="1954"/>
      <c r="J48" s="1940" t="s">
        <v>1475</v>
      </c>
      <c r="K48" s="1569"/>
      <c r="L48" s="1941" t="s">
        <v>1478</v>
      </c>
      <c r="M48" s="1567"/>
    </row>
    <row r="49">
      <c r="A49" s="1942"/>
      <c r="B49" s="1940" t="s">
        <v>1483</v>
      </c>
      <c r="C49" s="1569"/>
      <c r="D49" s="1941" t="s">
        <v>1538</v>
      </c>
      <c r="E49" s="1567"/>
      <c r="F49" s="1941" t="s">
        <v>1478</v>
      </c>
      <c r="G49" s="1942"/>
      <c r="H49" s="1940" t="s">
        <v>500</v>
      </c>
      <c r="I49" s="1569"/>
      <c r="J49" s="1941" t="s">
        <v>1478</v>
      </c>
      <c r="K49" s="1567"/>
      <c r="L49" s="1940" t="s">
        <v>500</v>
      </c>
      <c r="M49" s="1567"/>
    </row>
    <row r="50">
      <c r="A50" s="1942"/>
      <c r="B50" s="1946" t="s">
        <v>1558</v>
      </c>
      <c r="C50" s="1954"/>
      <c r="D50" s="1946" t="s">
        <v>1488</v>
      </c>
      <c r="E50" s="1569"/>
      <c r="F50" s="1940" t="s">
        <v>1376</v>
      </c>
      <c r="G50" s="1942"/>
      <c r="H50" s="1940" t="s">
        <v>1376</v>
      </c>
      <c r="I50" s="1569"/>
      <c r="J50" s="1940" t="s">
        <v>1559</v>
      </c>
      <c r="K50" s="1567"/>
      <c r="L50" s="1940" t="s">
        <v>1376</v>
      </c>
      <c r="M50" s="1567"/>
    </row>
    <row r="51">
      <c r="A51" s="1942"/>
      <c r="B51" s="1952"/>
      <c r="C51" s="1954"/>
      <c r="D51" s="1941" t="s">
        <v>1483</v>
      </c>
      <c r="E51" s="1569"/>
      <c r="F51" s="1941" t="s">
        <v>1560</v>
      </c>
      <c r="G51" s="1942"/>
      <c r="H51" s="1941" t="s">
        <v>1485</v>
      </c>
      <c r="I51" s="1569"/>
      <c r="J51" s="1946" t="s">
        <v>1488</v>
      </c>
      <c r="K51" s="1567"/>
      <c r="L51" s="1941" t="s">
        <v>1561</v>
      </c>
      <c r="M51" s="1567"/>
    </row>
    <row r="52">
      <c r="A52" s="1567"/>
      <c r="B52" s="563"/>
      <c r="C52" s="1942"/>
      <c r="D52" s="1940" t="s">
        <v>1562</v>
      </c>
      <c r="E52" s="1569"/>
      <c r="F52" s="1940" t="s">
        <v>1488</v>
      </c>
      <c r="G52" s="1942"/>
      <c r="H52" s="1940" t="s">
        <v>1488</v>
      </c>
      <c r="I52" s="1569"/>
      <c r="J52" s="1940" t="s">
        <v>1483</v>
      </c>
      <c r="K52" s="1942"/>
      <c r="L52" s="1940" t="s">
        <v>1488</v>
      </c>
      <c r="M52" s="1569"/>
    </row>
    <row r="53">
      <c r="A53" s="1567"/>
      <c r="B53" s="1567"/>
      <c r="C53" s="1567"/>
      <c r="D53" s="563"/>
      <c r="E53" s="1567"/>
      <c r="F53" s="1940" t="s">
        <v>1483</v>
      </c>
      <c r="G53" s="1942"/>
      <c r="H53" s="1940" t="s">
        <v>1483</v>
      </c>
      <c r="I53" s="1569"/>
      <c r="J53" s="1960" t="s">
        <v>1563</v>
      </c>
      <c r="K53" s="1567"/>
      <c r="L53" s="1940" t="s">
        <v>1483</v>
      </c>
      <c r="M53" s="1567"/>
    </row>
    <row r="54">
      <c r="A54" s="1567"/>
      <c r="B54" s="1934" t="s">
        <v>1564</v>
      </c>
      <c r="C54" s="1567"/>
      <c r="D54" s="1567"/>
      <c r="E54" s="1567"/>
      <c r="F54" s="1941" t="s">
        <v>1487</v>
      </c>
      <c r="G54" s="1567"/>
      <c r="H54" s="1940" t="s">
        <v>1487</v>
      </c>
      <c r="I54" s="1567"/>
      <c r="J54" s="1567"/>
      <c r="K54" s="1567"/>
      <c r="L54" s="1940" t="s">
        <v>1487</v>
      </c>
      <c r="M54" s="1567"/>
    </row>
    <row r="55">
      <c r="A55" s="1567"/>
      <c r="B55" s="1935" t="s">
        <v>1565</v>
      </c>
      <c r="C55" s="1567"/>
      <c r="D55" s="1567"/>
      <c r="E55" s="1567"/>
      <c r="F55" s="1960" t="s">
        <v>1566</v>
      </c>
      <c r="G55" s="1567"/>
      <c r="H55" s="1960" t="s">
        <v>1567</v>
      </c>
      <c r="I55" s="1567"/>
      <c r="J55" s="1567"/>
      <c r="K55" s="1567"/>
      <c r="L55" s="1960" t="s">
        <v>1568</v>
      </c>
      <c r="M55" s="1567"/>
    </row>
    <row r="56">
      <c r="A56" s="1567"/>
      <c r="B56" s="1936" t="s">
        <v>1569</v>
      </c>
      <c r="C56" s="1567"/>
      <c r="D56" s="1567"/>
      <c r="E56" s="1567"/>
      <c r="F56" s="1567"/>
      <c r="G56" s="1567"/>
      <c r="H56" s="1586"/>
      <c r="I56" s="1567"/>
      <c r="J56" s="1567"/>
      <c r="K56" s="1567"/>
      <c r="L56" s="1567"/>
      <c r="M56" s="1567"/>
    </row>
    <row r="57">
      <c r="A57" s="1567"/>
      <c r="B57" s="1939" t="s">
        <v>511</v>
      </c>
      <c r="C57" s="1567"/>
      <c r="D57" s="1567"/>
      <c r="E57" s="1567"/>
      <c r="F57" s="1567"/>
      <c r="G57" s="1567"/>
      <c r="H57" s="1567"/>
      <c r="I57" s="1567"/>
      <c r="J57" s="1567"/>
      <c r="K57" s="1567"/>
      <c r="L57" s="1567"/>
      <c r="M57" s="1567"/>
    </row>
    <row r="58">
      <c r="A58" s="1567"/>
      <c r="B58" s="1946" t="s">
        <v>1488</v>
      </c>
      <c r="C58" s="1567"/>
      <c r="D58" s="1567"/>
      <c r="E58" s="1567"/>
      <c r="F58" s="1567"/>
      <c r="G58" s="1567"/>
      <c r="H58" s="1567"/>
      <c r="I58" s="1567"/>
      <c r="J58" s="1567"/>
      <c r="K58" s="1567"/>
      <c r="L58" s="1567"/>
      <c r="M58" s="1567"/>
    </row>
    <row r="59">
      <c r="A59" s="1567"/>
      <c r="B59" s="1940" t="s">
        <v>1483</v>
      </c>
      <c r="C59" s="1567"/>
      <c r="D59" s="1567"/>
      <c r="E59" s="1567"/>
      <c r="F59" s="1567"/>
      <c r="G59" s="1567"/>
      <c r="H59" s="1567"/>
      <c r="I59" s="1567"/>
      <c r="J59" s="1567"/>
      <c r="K59" s="1567"/>
      <c r="L59" s="1567"/>
      <c r="M59" s="1567"/>
    </row>
    <row r="60">
      <c r="A60" s="1567"/>
      <c r="B60" s="1940" t="s">
        <v>1487</v>
      </c>
      <c r="C60" s="1567"/>
      <c r="D60" s="1567"/>
      <c r="E60" s="1567"/>
      <c r="F60" s="1567"/>
      <c r="G60" s="1567"/>
      <c r="H60" s="1567"/>
      <c r="I60" s="1567"/>
      <c r="J60" s="1567"/>
      <c r="K60" s="1567"/>
      <c r="L60" s="1567"/>
      <c r="M60" s="1567"/>
    </row>
    <row r="61">
      <c r="A61" s="1567"/>
      <c r="B61" s="1960" t="s">
        <v>1570</v>
      </c>
      <c r="C61" s="1567"/>
      <c r="D61" s="1567"/>
      <c r="E61" s="1567"/>
      <c r="F61" s="1567"/>
      <c r="G61" s="1567"/>
      <c r="H61" s="1567"/>
      <c r="I61" s="1567"/>
      <c r="J61" s="1567"/>
      <c r="K61" s="1567"/>
      <c r="L61" s="1567"/>
      <c r="M61" s="1567"/>
    </row>
    <row r="62">
      <c r="A62" s="1567"/>
      <c r="B62" s="1567"/>
      <c r="C62" s="1567"/>
      <c r="D62" s="1567"/>
      <c r="E62" s="1567"/>
      <c r="F62" s="1567"/>
      <c r="G62" s="1567"/>
      <c r="H62" s="1567"/>
      <c r="I62" s="1567"/>
      <c r="J62" s="1567"/>
      <c r="K62" s="1567"/>
      <c r="L62" s="1567"/>
      <c r="M62" s="1567"/>
    </row>
    <row r="63">
      <c r="A63" s="1567"/>
      <c r="B63" s="1567"/>
      <c r="C63" s="1567"/>
      <c r="D63" s="1567"/>
      <c r="E63" s="1567"/>
      <c r="F63" s="1567"/>
      <c r="G63" s="1567"/>
      <c r="H63" s="1567"/>
      <c r="I63" s="1567"/>
      <c r="J63" s="1567"/>
      <c r="K63" s="1567"/>
      <c r="L63" s="1567"/>
      <c r="M63" s="1567"/>
    </row>
    <row r="64">
      <c r="A64" s="1567"/>
      <c r="B64" s="1567"/>
      <c r="C64" s="1567"/>
      <c r="D64" s="1567"/>
      <c r="E64" s="1567"/>
      <c r="F64" s="1567"/>
      <c r="G64" s="1567"/>
      <c r="H64" s="1567"/>
      <c r="I64" s="1567"/>
      <c r="J64" s="1567"/>
      <c r="K64" s="1567"/>
      <c r="L64" s="1567"/>
      <c r="M64" s="1567"/>
    </row>
    <row r="65">
      <c r="A65" s="926"/>
      <c r="B65" s="926"/>
      <c r="C65" s="926"/>
      <c r="D65" s="926"/>
      <c r="E65" s="926"/>
      <c r="F65" s="926"/>
      <c r="G65" s="926"/>
      <c r="H65" s="1567"/>
      <c r="I65" s="926"/>
      <c r="J65" s="926"/>
      <c r="K65" s="926"/>
      <c r="L65" s="926"/>
      <c r="M65" s="926"/>
    </row>
    <row r="66">
      <c r="A66" s="926"/>
      <c r="B66" s="926"/>
      <c r="C66" s="926"/>
      <c r="D66" s="926"/>
      <c r="E66" s="926"/>
      <c r="F66" s="926"/>
      <c r="G66" s="926"/>
      <c r="H66" s="1567"/>
      <c r="I66" s="926"/>
      <c r="J66" s="926"/>
      <c r="K66" s="926"/>
      <c r="L66" s="926"/>
      <c r="M66" s="926"/>
    </row>
  </sheetData>
  <mergeCells count="15">
    <mergeCell ref="F28:F29"/>
    <mergeCell ref="C30:F30"/>
    <mergeCell ref="B35:B36"/>
    <mergeCell ref="D36:D37"/>
    <mergeCell ref="J41:J42"/>
    <mergeCell ref="B50:B52"/>
    <mergeCell ref="D52:D53"/>
    <mergeCell ref="B2:L3"/>
    <mergeCell ref="B4:L4"/>
    <mergeCell ref="F14:F15"/>
    <mergeCell ref="L16:L18"/>
    <mergeCell ref="B26:B27"/>
    <mergeCell ref="D28:D29"/>
    <mergeCell ref="J28:J30"/>
    <mergeCell ref="L30:L32"/>
  </mergeCell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4125"/>
    <outlinePr summaryBelow="0" summaryRight="0"/>
  </sheetPr>
  <sheetViews>
    <sheetView workbookViewId="0">
      <pane xSplit="3.0" ySplit="6.0" topLeftCell="D7" activePane="bottomRight" state="frozen"/>
      <selection activeCell="D1" sqref="D1" pane="topRight"/>
      <selection activeCell="A7" sqref="A7" pane="bottomLeft"/>
      <selection activeCell="D7" sqref="D7" pane="bottomRight"/>
    </sheetView>
  </sheetViews>
  <sheetFormatPr customHeight="1" defaultColWidth="14.43" defaultRowHeight="15.75"/>
  <cols>
    <col customWidth="1" min="1" max="1" width="10.86"/>
    <col customWidth="1" min="2" max="2" width="11.0"/>
    <col customWidth="1" min="3" max="3" width="26.29"/>
    <col customWidth="1" min="49" max="50" width="20.43"/>
  </cols>
  <sheetData>
    <row r="1" ht="18.75" customHeight="1">
      <c r="A1" s="104"/>
      <c r="B1" s="105"/>
      <c r="C1" s="105"/>
      <c r="D1" s="105"/>
      <c r="E1" s="105"/>
      <c r="F1" s="105"/>
      <c r="G1" s="105"/>
      <c r="H1" s="105"/>
      <c r="I1" s="105"/>
      <c r="J1" s="105"/>
      <c r="K1" s="105"/>
      <c r="L1" s="105"/>
      <c r="M1" s="105"/>
      <c r="N1" s="105"/>
      <c r="O1" s="105"/>
      <c r="P1" s="105"/>
      <c r="Q1" s="105"/>
      <c r="R1" s="106"/>
      <c r="S1" s="106"/>
      <c r="T1" s="106"/>
      <c r="U1" s="106"/>
      <c r="V1" s="106"/>
      <c r="W1" s="106"/>
      <c r="X1" s="106"/>
      <c r="Y1" s="106"/>
      <c r="Z1" s="106"/>
      <c r="AA1" s="106"/>
      <c r="AB1" s="106"/>
      <c r="AC1" s="106"/>
      <c r="AD1" s="106"/>
      <c r="AE1" s="106"/>
      <c r="AF1" s="106"/>
      <c r="AG1" s="106"/>
      <c r="AH1" s="106"/>
      <c r="AI1" s="106"/>
      <c r="AJ1" s="106"/>
      <c r="AK1" s="106"/>
      <c r="AL1" s="106"/>
      <c r="AM1" s="106"/>
      <c r="AN1" s="106"/>
      <c r="AO1" s="106"/>
      <c r="AP1" s="106"/>
      <c r="AQ1" s="106"/>
      <c r="AR1" s="106"/>
      <c r="AS1" s="106"/>
      <c r="AT1" s="106"/>
      <c r="AU1" s="106"/>
      <c r="AV1" s="106"/>
      <c r="AW1" s="106"/>
      <c r="AX1" s="106"/>
    </row>
    <row r="2" ht="18.75" customHeight="1">
      <c r="A2" s="108" t="s">
        <v>1014</v>
      </c>
      <c r="B2" s="109"/>
      <c r="C2" s="110"/>
      <c r="D2" s="111" t="s">
        <v>1571</v>
      </c>
      <c r="E2" s="112"/>
      <c r="F2" s="112"/>
      <c r="G2" s="112"/>
      <c r="H2" s="112"/>
      <c r="I2" s="112"/>
      <c r="J2" s="112"/>
      <c r="K2" s="112"/>
      <c r="L2" s="112"/>
      <c r="M2" s="112"/>
      <c r="N2" s="112"/>
      <c r="O2" s="112"/>
      <c r="P2" s="112"/>
      <c r="Q2" s="112"/>
      <c r="R2" s="112"/>
      <c r="S2" s="112"/>
      <c r="T2" s="112"/>
      <c r="U2" s="112"/>
      <c r="V2" s="112"/>
      <c r="W2" s="112"/>
      <c r="X2" s="112"/>
      <c r="Y2" s="112"/>
      <c r="Z2" s="112"/>
      <c r="AA2" s="112"/>
      <c r="AB2" s="112"/>
      <c r="AC2" s="112"/>
      <c r="AD2" s="112"/>
      <c r="AE2" s="112"/>
      <c r="AF2" s="112"/>
      <c r="AG2" s="112"/>
      <c r="AH2" s="112"/>
      <c r="AI2" s="112"/>
      <c r="AJ2" s="112"/>
      <c r="AK2" s="112"/>
      <c r="AL2" s="112"/>
      <c r="AM2" s="112"/>
      <c r="AN2" s="112"/>
      <c r="AO2" s="112"/>
      <c r="AP2" s="112"/>
      <c r="AQ2" s="112"/>
      <c r="AR2" s="112"/>
      <c r="AS2" s="112"/>
      <c r="AT2" s="112"/>
      <c r="AU2" s="112"/>
      <c r="AV2" s="112"/>
      <c r="AW2" s="20"/>
      <c r="AX2" s="113"/>
    </row>
    <row r="3" ht="18.75" customHeight="1">
      <c r="A3" s="1961" t="s">
        <v>1572</v>
      </c>
      <c r="C3" s="115"/>
      <c r="D3" s="43"/>
      <c r="AW3" s="44"/>
      <c r="AX3" s="113"/>
    </row>
    <row r="4" ht="18.75" customHeight="1">
      <c r="C4" s="115"/>
      <c r="D4" s="26"/>
      <c r="E4" s="504"/>
      <c r="F4" s="504"/>
      <c r="G4" s="504"/>
      <c r="H4" s="504"/>
      <c r="I4" s="504"/>
      <c r="J4" s="504"/>
      <c r="K4" s="504"/>
      <c r="L4" s="504"/>
      <c r="M4" s="504"/>
      <c r="N4" s="504"/>
      <c r="O4" s="504"/>
      <c r="P4" s="504"/>
      <c r="Q4" s="504"/>
      <c r="R4" s="504"/>
      <c r="S4" s="504"/>
      <c r="T4" s="504"/>
      <c r="U4" s="504"/>
      <c r="V4" s="504"/>
      <c r="W4" s="504"/>
      <c r="X4" s="504"/>
      <c r="Y4" s="504"/>
      <c r="Z4" s="504"/>
      <c r="AA4" s="504"/>
      <c r="AB4" s="504"/>
      <c r="AC4" s="504"/>
      <c r="AD4" s="504"/>
      <c r="AE4" s="504"/>
      <c r="AF4" s="504"/>
      <c r="AG4" s="504"/>
      <c r="AH4" s="504"/>
      <c r="AI4" s="504"/>
      <c r="AJ4" s="504"/>
      <c r="AK4" s="504"/>
      <c r="AL4" s="504"/>
      <c r="AM4" s="504"/>
      <c r="AN4" s="504"/>
      <c r="AO4" s="504"/>
      <c r="AP4" s="504"/>
      <c r="AQ4" s="504"/>
      <c r="AR4" s="504"/>
      <c r="AS4" s="504"/>
      <c r="AT4" s="504"/>
      <c r="AU4" s="504"/>
      <c r="AV4" s="504"/>
      <c r="AW4" s="27"/>
      <c r="AX4" s="113"/>
    </row>
    <row r="5" ht="18.75" customHeight="1">
      <c r="A5" s="121" t="s">
        <v>82</v>
      </c>
      <c r="B5" s="122" t="s">
        <v>83</v>
      </c>
      <c r="C5" s="123" t="s">
        <v>84</v>
      </c>
      <c r="D5" s="124" t="str">
        <f>hyperlink("https://www.reddit.com/r/RMTK/comments/e1jtyu/m0126_motie_tot_opzetten_stimuleringsfonds/","M0126")</f>
        <v>M0126</v>
      </c>
      <c r="E5" s="124" t="str">
        <f>hyperlink("https://www.reddit.com/r/RMTK/comments/e208vb/m0127_motie_tot_verzoek_oorlogsverklaring/","M0127")</f>
        <v>M0127</v>
      </c>
      <c r="F5" s="124" t="str">
        <f>hyperlink("https://www.reddit.com/r/RMTK/comments/e2ztqm/m0128_motie_tot_een_ruimhartiger_asielbeleid/","M0128")</f>
        <v>M0128</v>
      </c>
      <c r="G5" s="127" t="str">
        <f>hyperlink("https://www.reddit.com/r/RMTK/comments/e4zuxw/m0129_motie_omtrent_het_opruimen_van_korrels_van/","M0129")</f>
        <v>M0129</v>
      </c>
      <c r="H5" s="127" t="str">
        <f>hyperlink("https://www.reddit.com/r/RMTK/comments/e5hzkw/m0131_motie_tot_het_instellen_van_een_meldplicht/","M0131")</f>
        <v>M0131</v>
      </c>
      <c r="I5" s="127" t="str">
        <f>hyperlink("https://www.reddit.com/r/RMTK/comments/e5znmk/w0054_grondwetswijziging_ter/","W0054")</f>
        <v>W0054</v>
      </c>
      <c r="J5" s="127" t="str">
        <f>hyperlink("https://www.reddit.com/r/RMTK/comments/e6gw21/w0055_wetswijziging_tot_het_uitbreiden_van_de/","W0055")</f>
        <v>W0055</v>
      </c>
      <c r="K5" s="127" t="str">
        <f>hyperlink("https://www.reddit.com/r/RMTK/comments/e8pqs7/w0056_wijziging_van_de_algemene_ouderdomswet/","W0056")</f>
        <v>W0056</v>
      </c>
      <c r="L5" s="127" t="str">
        <f>hyperlink("https://www.reddit.com/r/RMTK/comments/ecd9jh/m0132_motie_van_afkeuring_tegen_de_voorzitter/","M0132")</f>
        <v>M0132</v>
      </c>
      <c r="M5" s="127" t="str">
        <f>hyperlink("https://www.reddit.com/r/RMTK/comments/ecsj9d/m0133_motie_tot_erkenning_armeense_genocide/","M0133")</f>
        <v>M0133</v>
      </c>
      <c r="N5" s="127" t="str">
        <f>hyperlink("https://www.reddit.com/r/RMTK/comments/ecbver/w0058_wet_verkorting_uitkeringsduur_appa_2020/","W0058")</f>
        <v>W0058</v>
      </c>
      <c r="O5" s="127" t="str">
        <f>hyperlink("https://www.reddit.com/r/RMTK/comments/edxhs2/m0134_motie_tot_erkenning_van_de_genocide_op_de/","M0134")</f>
        <v>M0134</v>
      </c>
      <c r="P5" s="127" t="str">
        <f>hyperlink("https://www.reddit.com/r/RMTK/comments/eek1v9/w0057i_amendement_tot_wijziging_van_het/","W0057-I")</f>
        <v>W0057-I</v>
      </c>
      <c r="Q5" s="127" t="str">
        <f>hyperlink("https://www.reddit.com/r/RMTK/comments/efm3vz/w0059_wetsvoorstel_tot_budgettaire_begroting/","W0059")</f>
        <v>W0059</v>
      </c>
      <c r="R5" s="127" t="str">
        <f>hyperlink("https://www.reddit.com/r/RMTK/comments/eixzg8/w0060_wetswijziging_tot_verhoging_algemene/","W0060")</f>
        <v>W0060</v>
      </c>
      <c r="S5" s="127" t="str">
        <f>hyperlink("https://www.reddit.com/r/RMTK/comments/eixzgh/m0135_motie_tot_het_gratis_maken_van/","M0135")</f>
        <v>M0135</v>
      </c>
      <c r="T5" s="127" t="str">
        <f>hyperlink("https://www.reddit.com/r/RMTK/comments/em9c3k/w0061_rijkswet_afkondigings_en/","W0061")</f>
        <v>W0061</v>
      </c>
      <c r="U5" s="127" t="str">
        <f>hyperlink("https://www.reddit.com/r/RMTK/comments/emrfn7/m0136_motie_tot_terugtrekking_van_amerikaanse/","M0136")</f>
        <v>M0136</v>
      </c>
      <c r="V5" s="127" t="str">
        <f>hyperlink("https://www.reddit.com/r/RMTK/comments/eo3tv9/w0062_wet_tot_het_samenvoegen_van_de_rustwetten/","W0062")</f>
        <v>W0062</v>
      </c>
      <c r="W5" s="127" t="str">
        <f>hyperlink("https://www.reddit.com/r/RMTK/comments/eokzf9/w0063_wet_tot_oprichting_van_het/","W0063")</f>
        <v>W0063</v>
      </c>
      <c r="X5" s="127" t="str">
        <f>hyperlink("https://www.reddit.com/r/RMTK/comments/epax7w/w0057_wetsvoorstel_tot_oprichting_van_het_erica/","W0057")</f>
        <v>W0057</v>
      </c>
      <c r="Y5" s="1962" t="str">
        <f>hyperlink("https://www.reddit.com/r/RMTK/comments/ep21sj/m0137_motie_tot_het_goedkoper_maken_van_de/","M0137")</f>
        <v>M0137</v>
      </c>
      <c r="Z5" s="243" t="str">
        <f>hyperlink("https://www.reddit.com/r/RMTK/comments/epj1fz/m0138_motie_tot_het_steunen_van_iraanse/","M0138")</f>
        <v>M0138</v>
      </c>
      <c r="AA5" s="243" t="str">
        <f>hyperlink("https://www.reddit.com/r/RMTK/comments/epj1g9/m0139_motie_tot_verhoging_maximumsnelheid/","M0139")</f>
        <v>M0139</v>
      </c>
      <c r="AB5" s="243" t="str">
        <f>hyperlink("https://www.reddit.com/r/RMTK/comments/ercxen/m0140_motie_tot_het_behouden_van_het_friese/","M0140")</f>
        <v>M0140</v>
      </c>
      <c r="AC5" s="243" t="str">
        <f>hyperlink("https://www.reddit.com/r/RMTK/comments/esblyw/m0141_motie_tot_verbreding_staatsieportret_van/","M0141")</f>
        <v>M0141</v>
      </c>
      <c r="AD5" s="243" t="str">
        <f>hyperlink("https://www.reddit.com/r/RMTK/comments/esssij/w0064_wet_gelijke_behandeling_op_grond_van/","W0064")</f>
        <v>W0064</v>
      </c>
      <c r="AE5" s="1962" t="str">
        <f>hyperlink("https://www.reddit.com/r/RMTK/comments/ev5bje/w0066_wijziging_van_de_kernenergiewet_ter/","W0066")</f>
        <v>W0066</v>
      </c>
      <c r="AF5" s="243" t="str">
        <f>hyperlink("https://www.reddit.com/r/RMTK/comments/evvxqc/w0065_wetswijziging_drank_en_horecawet/","W0065")</f>
        <v>W0065</v>
      </c>
      <c r="AG5" s="243" t="str">
        <f>hyperlink("https://www.reddit.com/r/RMTK/comments/ewnh2a/w0067_wetswijziging_afschaffing_verzwaarde/","W0067")</f>
        <v>W0067</v>
      </c>
      <c r="AH5" s="243" t="str">
        <f>hyperlink("https://www.reddit.com/r/RMTK/comments/ey660k/w0068_wijziging_van_de_algemene_rustwet_voor_de/","W0068")</f>
        <v>W0068</v>
      </c>
      <c r="AI5" s="243" t="str">
        <f>hyperlink("https://www.reddit.com/r/RMTK/comments/f1hnca/w0069i_wetsvoorstel_tot_oprichting_van_het_alan/","W0069-I")</f>
        <v>W0069-I</v>
      </c>
      <c r="AJ5" s="243" t="str">
        <f>hyperlink("https://www.reddit.com/r/RMTK/comments/ez8jds/m0143_motie_tot_vestiging_nederlandse_ambassade/","M0143")</f>
        <v>M0143</v>
      </c>
      <c r="AK5" s="243" t="str">
        <f>hyperlink("https://www.reddit.com/r/RMTK/comments/ewsp2r/m0144_motie_tot_onderzoek_naar_de_mogelijkheid/","M0144")</f>
        <v>M0144</v>
      </c>
      <c r="AL5" s="243" t="str">
        <f>hyperlink("https://www.reddit.com/r/RMTK/comments/f1zkdu/m0145_motie_tot_het_oprichten_van_een_permanent/","M0145")</f>
        <v>M0145</v>
      </c>
      <c r="AM5" s="243" t="str">
        <f>hyperlink("https://www.reddit.com/r/RMTK/comments/ewsp33/w0069_wetsvoorstel_tot_oprichting_alan/","W0069")</f>
        <v>W0069</v>
      </c>
      <c r="AN5" s="243" t="str">
        <f>hyperlink("https://www.reddit.com/r/RMTK/comments/f58gig/w0070_voorstel_wet_derde_geslacht/","W0070")</f>
        <v>W0070</v>
      </c>
      <c r="AO5" s="243" t="str">
        <f>hyperlink("https://www.reddit.com/r/RMTK/comments/f5rhvs/w0071_wet_op_de_kansspelen_2020/","W0071")</f>
        <v>W0071</v>
      </c>
      <c r="AP5" s="243" t="str">
        <f>hyperlink("https://www.reddit.com/r/RMTK/comments/f99ym2/m0146_motie_tot_negatief_reisadvies_naar/","M0146")</f>
        <v>M0146</v>
      </c>
      <c r="AQ5" s="243" t="str">
        <f>hyperlink("https://www.reddit.com/r/RMTK/comments/f71ubr/w0072_wet_tot_inkomensafhankelijke_regeling/","W0072")</f>
        <v>W0072</v>
      </c>
      <c r="AR5" s="243" t="str">
        <f>hyperlink("https://www.reddit.com/r/RMTK/comments/falkwf/m0146_motie_tot_het_afschaffen_van_de_permanente/","M0147")</f>
        <v>M0147</v>
      </c>
      <c r="AS5" s="243" t="str">
        <f>hyperlink("https://www.reddit.com/r/RMTK/comments/fc37je/m0148_motie_tot_het_in_werking_doen_treden_van/","M0148")</f>
        <v>M0148</v>
      </c>
      <c r="AT5" s="243" t="str">
        <f>hyperlink("https://www.reddit.com/r/RMTK/comments/fd455m/w0072i_amendement_tot_wijziging_van_w0072_wet_tot/","W0072-I")</f>
        <v>W0072-I</v>
      </c>
      <c r="AU5" s="243" t="str">
        <f>hyperlink("https://www.reddit.com/r/RMTK/comments/f9swuj/w0073_wet_tot_invoering_reinheitsgebot20/","W0073")</f>
        <v>W0073</v>
      </c>
      <c r="AV5" s="243" t="str">
        <f>hyperlink("https://www.reddit.com/r/RMTK/comments/fd455r/w0073i_amendement_tot_wijziging_van_het/","W0073-I")</f>
        <v>W0073-I</v>
      </c>
      <c r="AW5" s="243" t="str">
        <f>hyperlink("https://www.reddit.com/r/RMTK/comments/fcbr2f/w0074_wet_tot_invoeren_van_een_verplichte/","W0074")</f>
        <v>W0074</v>
      </c>
      <c r="AX5" s="1963"/>
    </row>
    <row r="6" ht="6.0" customHeight="1">
      <c r="A6" s="128"/>
      <c r="B6" s="129"/>
      <c r="C6" s="129"/>
      <c r="D6" s="130"/>
      <c r="E6" s="131"/>
      <c r="F6" s="131"/>
      <c r="G6" s="128"/>
      <c r="H6" s="1964"/>
      <c r="I6" s="133"/>
      <c r="J6" s="131"/>
      <c r="K6" s="131"/>
      <c r="L6" s="131"/>
      <c r="M6" s="131"/>
      <c r="N6" s="131"/>
      <c r="O6" s="1965"/>
      <c r="P6" s="131"/>
      <c r="Q6" s="131"/>
      <c r="R6" s="131"/>
      <c r="S6" s="131"/>
      <c r="T6" s="131"/>
      <c r="U6" s="131"/>
      <c r="V6" s="131"/>
      <c r="W6" s="131"/>
      <c r="X6" s="131"/>
      <c r="Y6" s="131"/>
      <c r="Z6" s="131"/>
      <c r="AA6" s="131"/>
      <c r="AB6" s="131"/>
      <c r="AC6" s="1964"/>
      <c r="AD6" s="1964"/>
      <c r="AE6" s="1966"/>
      <c r="AF6" s="1966"/>
      <c r="AG6" s="1966"/>
      <c r="AH6" s="1966"/>
      <c r="AI6" s="131"/>
      <c r="AJ6" s="131"/>
      <c r="AK6" s="131"/>
      <c r="AL6" s="131"/>
      <c r="AM6" s="1964"/>
      <c r="AN6" s="1966"/>
      <c r="AO6" s="1966"/>
      <c r="AP6" s="1964"/>
      <c r="AQ6" s="1964"/>
      <c r="AR6" s="1966"/>
      <c r="AS6" s="1966"/>
      <c r="AT6" s="1966"/>
      <c r="AU6" s="1964"/>
      <c r="AV6" s="1966"/>
      <c r="AW6" s="1966"/>
      <c r="AX6" s="1967"/>
    </row>
    <row r="7" ht="18.75" customHeight="1">
      <c r="A7" s="138" t="s">
        <v>1573</v>
      </c>
      <c r="B7" s="153" t="s">
        <v>24</v>
      </c>
      <c r="C7" s="154" t="s">
        <v>25</v>
      </c>
      <c r="D7" s="141" t="s">
        <v>110</v>
      </c>
      <c r="E7" s="141" t="s">
        <v>109</v>
      </c>
      <c r="F7" s="141" t="s">
        <v>110</v>
      </c>
      <c r="G7" s="151" t="s">
        <v>110</v>
      </c>
      <c r="H7" s="141" t="s">
        <v>110</v>
      </c>
      <c r="I7" s="141" t="s">
        <v>110</v>
      </c>
      <c r="J7" s="144" t="s">
        <v>110</v>
      </c>
      <c r="K7" s="144" t="s">
        <v>109</v>
      </c>
      <c r="L7" s="144" t="s">
        <v>109</v>
      </c>
      <c r="M7" s="141" t="s">
        <v>108</v>
      </c>
      <c r="N7" s="144" t="s">
        <v>108</v>
      </c>
      <c r="O7" s="141" t="s">
        <v>110</v>
      </c>
      <c r="P7" s="141" t="s">
        <v>109</v>
      </c>
      <c r="Q7" s="144" t="s">
        <v>110</v>
      </c>
      <c r="R7" s="141" t="s">
        <v>110</v>
      </c>
      <c r="S7" s="144" t="s">
        <v>110</v>
      </c>
      <c r="T7" s="141" t="s">
        <v>110</v>
      </c>
      <c r="U7" s="141" t="s">
        <v>110</v>
      </c>
      <c r="V7" s="141" t="s">
        <v>110</v>
      </c>
      <c r="W7" s="141" t="s">
        <v>110</v>
      </c>
      <c r="X7" s="144" t="s">
        <v>109</v>
      </c>
      <c r="Y7" s="141" t="s">
        <v>108</v>
      </c>
      <c r="Z7" s="141" t="s">
        <v>108</v>
      </c>
      <c r="AA7" s="141" t="s">
        <v>108</v>
      </c>
      <c r="AB7" s="144" t="s">
        <v>108</v>
      </c>
      <c r="AC7" s="1968" t="s">
        <v>109</v>
      </c>
      <c r="AD7" s="181" t="s">
        <v>110</v>
      </c>
      <c r="AE7" s="141" t="s">
        <v>110</v>
      </c>
      <c r="AF7" s="141" t="s">
        <v>110</v>
      </c>
      <c r="AG7" s="141" t="s">
        <v>110</v>
      </c>
      <c r="AH7" s="144" t="s">
        <v>110</v>
      </c>
      <c r="AI7" s="141" t="s">
        <v>109</v>
      </c>
      <c r="AJ7" s="141" t="s">
        <v>110</v>
      </c>
      <c r="AK7" s="141" t="s">
        <v>110</v>
      </c>
      <c r="AL7" s="144" t="s">
        <v>110</v>
      </c>
      <c r="AM7" s="141" t="s">
        <v>110</v>
      </c>
      <c r="AN7" s="141" t="s">
        <v>109</v>
      </c>
      <c r="AO7" s="144" t="s">
        <v>110</v>
      </c>
      <c r="AP7" s="141" t="s">
        <v>110</v>
      </c>
      <c r="AQ7" s="144" t="s">
        <v>110</v>
      </c>
      <c r="AR7" s="141" t="s">
        <v>110</v>
      </c>
      <c r="AS7" s="141" t="s">
        <v>109</v>
      </c>
      <c r="AT7" s="141" t="s">
        <v>109</v>
      </c>
      <c r="AU7" s="141" t="s">
        <v>110</v>
      </c>
      <c r="AV7" s="141" t="s">
        <v>110</v>
      </c>
      <c r="AW7" s="144" t="s">
        <v>110</v>
      </c>
      <c r="AX7" s="141"/>
    </row>
    <row r="8" ht="18.75" customHeight="1">
      <c r="A8" s="147"/>
      <c r="B8" s="115"/>
      <c r="C8" s="155" t="s">
        <v>866</v>
      </c>
      <c r="D8" s="141" t="s">
        <v>110</v>
      </c>
      <c r="E8" s="141" t="s">
        <v>109</v>
      </c>
      <c r="F8" s="141" t="s">
        <v>110</v>
      </c>
      <c r="G8" s="151" t="s">
        <v>110</v>
      </c>
      <c r="H8" s="141" t="s">
        <v>110</v>
      </c>
      <c r="I8" s="141" t="s">
        <v>110</v>
      </c>
      <c r="J8" s="144" t="s">
        <v>110</v>
      </c>
      <c r="K8" s="144" t="s">
        <v>110</v>
      </c>
      <c r="L8" s="144" t="s">
        <v>109</v>
      </c>
      <c r="M8" s="141" t="s">
        <v>110</v>
      </c>
      <c r="N8" s="144" t="s">
        <v>110</v>
      </c>
      <c r="O8" s="180" t="s">
        <v>110</v>
      </c>
      <c r="P8" s="141" t="s">
        <v>109</v>
      </c>
      <c r="Q8" s="181" t="s">
        <v>110</v>
      </c>
      <c r="R8" s="1969" t="s">
        <v>110</v>
      </c>
      <c r="S8" s="181" t="s">
        <v>110</v>
      </c>
      <c r="T8" s="141" t="s">
        <v>110</v>
      </c>
      <c r="U8" s="141" t="s">
        <v>110</v>
      </c>
      <c r="V8" s="141" t="s">
        <v>110</v>
      </c>
      <c r="W8" s="141" t="s">
        <v>110</v>
      </c>
      <c r="X8" s="144" t="s">
        <v>109</v>
      </c>
      <c r="Y8" s="141" t="s">
        <v>108</v>
      </c>
      <c r="Z8" s="141" t="s">
        <v>108</v>
      </c>
      <c r="AA8" s="141" t="s">
        <v>108</v>
      </c>
      <c r="AB8" s="144" t="s">
        <v>108</v>
      </c>
      <c r="AC8" s="1968" t="s">
        <v>109</v>
      </c>
      <c r="AD8" s="181" t="s">
        <v>110</v>
      </c>
      <c r="AE8" s="141" t="s">
        <v>110</v>
      </c>
      <c r="AF8" s="141" t="s">
        <v>110</v>
      </c>
      <c r="AG8" s="141" t="s">
        <v>110</v>
      </c>
      <c r="AH8" s="144" t="s">
        <v>110</v>
      </c>
      <c r="AI8" s="141" t="s">
        <v>109</v>
      </c>
      <c r="AJ8" s="141" t="s">
        <v>110</v>
      </c>
      <c r="AK8" s="141" t="s">
        <v>110</v>
      </c>
      <c r="AL8" s="144" t="s">
        <v>110</v>
      </c>
      <c r="AM8" s="141" t="s">
        <v>110</v>
      </c>
      <c r="AN8" s="141" t="s">
        <v>110</v>
      </c>
      <c r="AO8" s="144" t="s">
        <v>110</v>
      </c>
      <c r="AP8" s="141" t="s">
        <v>110</v>
      </c>
      <c r="AQ8" s="144" t="s">
        <v>110</v>
      </c>
      <c r="AR8" s="141" t="s">
        <v>110</v>
      </c>
      <c r="AS8" s="141" t="s">
        <v>109</v>
      </c>
      <c r="AT8" s="141" t="s">
        <v>110</v>
      </c>
      <c r="AU8" s="141" t="s">
        <v>110</v>
      </c>
      <c r="AV8" s="141" t="s">
        <v>110</v>
      </c>
      <c r="AW8" s="144" t="s">
        <v>110</v>
      </c>
      <c r="AX8" s="141"/>
    </row>
    <row r="9" ht="18.75" customHeight="1">
      <c r="A9" s="147"/>
      <c r="B9" s="115"/>
      <c r="C9" s="155" t="s">
        <v>126</v>
      </c>
      <c r="D9" s="141" t="s">
        <v>110</v>
      </c>
      <c r="E9" s="141" t="s">
        <v>110</v>
      </c>
      <c r="F9" s="141" t="s">
        <v>110</v>
      </c>
      <c r="G9" s="151" t="s">
        <v>110</v>
      </c>
      <c r="H9" s="141" t="s">
        <v>110</v>
      </c>
      <c r="I9" s="141" t="s">
        <v>109</v>
      </c>
      <c r="J9" s="144" t="s">
        <v>117</v>
      </c>
      <c r="K9" s="144" t="s">
        <v>109</v>
      </c>
      <c r="L9" s="144" t="s">
        <v>110</v>
      </c>
      <c r="M9" s="141" t="s">
        <v>108</v>
      </c>
      <c r="N9" s="144" t="s">
        <v>108</v>
      </c>
      <c r="O9" s="141" t="s">
        <v>110</v>
      </c>
      <c r="P9" s="141" t="s">
        <v>110</v>
      </c>
      <c r="Q9" s="144" t="s">
        <v>110</v>
      </c>
      <c r="R9" s="141" t="s">
        <v>110</v>
      </c>
      <c r="S9" s="144" t="s">
        <v>110</v>
      </c>
      <c r="T9" s="141" t="s">
        <v>110</v>
      </c>
      <c r="U9" s="141" t="s">
        <v>110</v>
      </c>
      <c r="V9" s="141" t="s">
        <v>110</v>
      </c>
      <c r="W9" s="141" t="s">
        <v>110</v>
      </c>
      <c r="X9" s="144" t="s">
        <v>109</v>
      </c>
      <c r="Y9" s="141" t="s">
        <v>108</v>
      </c>
      <c r="Z9" s="141" t="s">
        <v>108</v>
      </c>
      <c r="AA9" s="141" t="s">
        <v>108</v>
      </c>
      <c r="AB9" s="144" t="s">
        <v>108</v>
      </c>
      <c r="AC9" s="149" t="s">
        <v>108</v>
      </c>
      <c r="AD9" s="1970" t="s">
        <v>108</v>
      </c>
      <c r="AE9" s="141" t="s">
        <v>110</v>
      </c>
      <c r="AF9" s="141" t="s">
        <v>110</v>
      </c>
      <c r="AG9" s="141" t="s">
        <v>110</v>
      </c>
      <c r="AH9" s="144" t="s">
        <v>110</v>
      </c>
      <c r="AI9" s="141" t="s">
        <v>110</v>
      </c>
      <c r="AJ9" s="141" t="s">
        <v>110</v>
      </c>
      <c r="AK9" s="141" t="s">
        <v>110</v>
      </c>
      <c r="AL9" s="144" t="s">
        <v>110</v>
      </c>
      <c r="AM9" s="141" t="s">
        <v>110</v>
      </c>
      <c r="AN9" s="141" t="s">
        <v>109</v>
      </c>
      <c r="AO9" s="144" t="s">
        <v>110</v>
      </c>
      <c r="AP9" s="141" t="s">
        <v>110</v>
      </c>
      <c r="AQ9" s="144" t="s">
        <v>110</v>
      </c>
      <c r="AR9" s="149" t="s">
        <v>108</v>
      </c>
      <c r="AS9" s="149" t="s">
        <v>108</v>
      </c>
      <c r="AT9" s="1971" t="s">
        <v>108</v>
      </c>
      <c r="AU9" s="149" t="s">
        <v>108</v>
      </c>
      <c r="AV9" s="149" t="s">
        <v>108</v>
      </c>
      <c r="AW9" s="1970" t="s">
        <v>108</v>
      </c>
      <c r="AX9" s="149"/>
    </row>
    <row r="10" ht="18.75" customHeight="1">
      <c r="A10" s="147"/>
      <c r="B10" s="1972" t="s">
        <v>36</v>
      </c>
      <c r="C10" s="1973" t="s">
        <v>157</v>
      </c>
      <c r="D10" s="141" t="s">
        <v>110</v>
      </c>
      <c r="E10" s="141" t="s">
        <v>109</v>
      </c>
      <c r="F10" s="141" t="s">
        <v>110</v>
      </c>
      <c r="G10" s="151" t="s">
        <v>108</v>
      </c>
      <c r="H10" s="149" t="s">
        <v>108</v>
      </c>
      <c r="I10" s="141" t="s">
        <v>108</v>
      </c>
      <c r="J10" s="144" t="s">
        <v>108</v>
      </c>
      <c r="K10" s="144" t="s">
        <v>108</v>
      </c>
      <c r="L10" s="144" t="s">
        <v>108</v>
      </c>
      <c r="M10" s="141" t="s">
        <v>108</v>
      </c>
      <c r="N10" s="144" t="s">
        <v>108</v>
      </c>
      <c r="O10" s="141" t="s">
        <v>108</v>
      </c>
      <c r="P10" s="141" t="s">
        <v>108</v>
      </c>
      <c r="Q10" s="144" t="s">
        <v>108</v>
      </c>
      <c r="R10" s="141" t="s">
        <v>108</v>
      </c>
      <c r="S10" s="144" t="s">
        <v>108</v>
      </c>
      <c r="T10" s="141" t="s">
        <v>108</v>
      </c>
      <c r="U10" s="141" t="s">
        <v>108</v>
      </c>
      <c r="V10" s="141" t="s">
        <v>108</v>
      </c>
      <c r="W10" s="141" t="s">
        <v>108</v>
      </c>
      <c r="X10" s="144" t="s">
        <v>108</v>
      </c>
      <c r="Y10" s="141" t="s">
        <v>108</v>
      </c>
      <c r="Z10" s="141" t="s">
        <v>108</v>
      </c>
      <c r="AA10" s="141" t="s">
        <v>108</v>
      </c>
      <c r="AB10" s="144" t="s">
        <v>108</v>
      </c>
      <c r="AC10" s="1974" t="s">
        <v>119</v>
      </c>
      <c r="AD10" s="1975" t="s">
        <v>119</v>
      </c>
      <c r="AE10" s="1974" t="s">
        <v>119</v>
      </c>
      <c r="AF10" s="1974" t="s">
        <v>119</v>
      </c>
      <c r="AG10" s="1974" t="s">
        <v>119</v>
      </c>
      <c r="AH10" s="1975" t="s">
        <v>119</v>
      </c>
      <c r="AI10" s="141" t="s">
        <v>119</v>
      </c>
      <c r="AJ10" s="141" t="s">
        <v>119</v>
      </c>
      <c r="AK10" s="141" t="s">
        <v>119</v>
      </c>
      <c r="AL10" s="144" t="s">
        <v>119</v>
      </c>
      <c r="AM10" s="1976" t="s">
        <v>119</v>
      </c>
      <c r="AN10" s="1974" t="s">
        <v>119</v>
      </c>
      <c r="AO10" s="1975" t="s">
        <v>119</v>
      </c>
      <c r="AP10" s="1974" t="s">
        <v>119</v>
      </c>
      <c r="AQ10" s="1975" t="s">
        <v>119</v>
      </c>
      <c r="AR10" s="1974" t="s">
        <v>119</v>
      </c>
      <c r="AS10" s="1974" t="s">
        <v>119</v>
      </c>
      <c r="AT10" s="1977" t="s">
        <v>119</v>
      </c>
      <c r="AU10" s="1976" t="s">
        <v>119</v>
      </c>
      <c r="AV10" s="1974" t="s">
        <v>119</v>
      </c>
      <c r="AW10" s="1975" t="s">
        <v>119</v>
      </c>
      <c r="AX10" s="1974"/>
    </row>
    <row r="11" ht="18.75" customHeight="1">
      <c r="A11" s="147"/>
      <c r="B11" s="115"/>
      <c r="C11" s="1978" t="s">
        <v>176</v>
      </c>
      <c r="D11" s="141" t="s">
        <v>119</v>
      </c>
      <c r="E11" s="141" t="s">
        <v>119</v>
      </c>
      <c r="F11" s="141" t="s">
        <v>119</v>
      </c>
      <c r="G11" s="141" t="s">
        <v>119</v>
      </c>
      <c r="H11" s="141" t="s">
        <v>119</v>
      </c>
      <c r="I11" s="141" t="s">
        <v>119</v>
      </c>
      <c r="J11" s="141" t="s">
        <v>119</v>
      </c>
      <c r="K11" s="141" t="s">
        <v>119</v>
      </c>
      <c r="L11" s="141" t="s">
        <v>119</v>
      </c>
      <c r="M11" s="141" t="s">
        <v>119</v>
      </c>
      <c r="N11" s="141" t="s">
        <v>119</v>
      </c>
      <c r="O11" s="141" t="s">
        <v>119</v>
      </c>
      <c r="P11" s="141" t="s">
        <v>119</v>
      </c>
      <c r="Q11" s="141" t="s">
        <v>119</v>
      </c>
      <c r="R11" s="141" t="s">
        <v>119</v>
      </c>
      <c r="S11" s="141" t="s">
        <v>119</v>
      </c>
      <c r="T11" s="141" t="s">
        <v>119</v>
      </c>
      <c r="U11" s="141" t="s">
        <v>119</v>
      </c>
      <c r="V11" s="141" t="s">
        <v>119</v>
      </c>
      <c r="W11" s="141" t="s">
        <v>119</v>
      </c>
      <c r="X11" s="141" t="s">
        <v>119</v>
      </c>
      <c r="Y11" s="141" t="s">
        <v>119</v>
      </c>
      <c r="Z11" s="141" t="s">
        <v>119</v>
      </c>
      <c r="AA11" s="141" t="s">
        <v>119</v>
      </c>
      <c r="AB11" s="144" t="s">
        <v>119</v>
      </c>
      <c r="AC11" s="141" t="s">
        <v>110</v>
      </c>
      <c r="AD11" s="144" t="s">
        <v>110</v>
      </c>
      <c r="AE11" s="141" t="s">
        <v>110</v>
      </c>
      <c r="AF11" s="141" t="s">
        <v>110</v>
      </c>
      <c r="AG11" s="141" t="s">
        <v>109</v>
      </c>
      <c r="AH11" s="144" t="s">
        <v>110</v>
      </c>
      <c r="AI11" s="141" t="s">
        <v>109</v>
      </c>
      <c r="AJ11" s="141" t="s">
        <v>109</v>
      </c>
      <c r="AK11" s="141" t="s">
        <v>110</v>
      </c>
      <c r="AL11" s="144" t="s">
        <v>109</v>
      </c>
      <c r="AM11" s="141" t="s">
        <v>109</v>
      </c>
      <c r="AN11" s="141" t="s">
        <v>109</v>
      </c>
      <c r="AO11" s="144" t="s">
        <v>110</v>
      </c>
      <c r="AP11" s="149" t="s">
        <v>108</v>
      </c>
      <c r="AQ11" s="1970" t="s">
        <v>108</v>
      </c>
      <c r="AR11" s="149" t="s">
        <v>108</v>
      </c>
      <c r="AS11" s="149" t="s">
        <v>108</v>
      </c>
      <c r="AT11" s="1971" t="s">
        <v>108</v>
      </c>
      <c r="AU11" s="149" t="s">
        <v>108</v>
      </c>
      <c r="AV11" s="149" t="s">
        <v>108</v>
      </c>
      <c r="AW11" s="1970" t="s">
        <v>108</v>
      </c>
      <c r="AX11" s="149"/>
    </row>
    <row r="12" ht="18.75" customHeight="1">
      <c r="A12" s="147"/>
      <c r="B12" s="115"/>
      <c r="C12" s="1978" t="s">
        <v>118</v>
      </c>
      <c r="D12" s="141" t="s">
        <v>108</v>
      </c>
      <c r="E12" s="141" t="s">
        <v>108</v>
      </c>
      <c r="F12" s="141" t="s">
        <v>108</v>
      </c>
      <c r="G12" s="151" t="s">
        <v>110</v>
      </c>
      <c r="H12" s="141" t="s">
        <v>109</v>
      </c>
      <c r="I12" s="141" t="s">
        <v>110</v>
      </c>
      <c r="J12" s="144" t="s">
        <v>110</v>
      </c>
      <c r="K12" s="144" t="s">
        <v>109</v>
      </c>
      <c r="L12" s="144" t="s">
        <v>109</v>
      </c>
      <c r="M12" s="141" t="s">
        <v>110</v>
      </c>
      <c r="N12" s="144" t="s">
        <v>110</v>
      </c>
      <c r="O12" s="141" t="s">
        <v>110</v>
      </c>
      <c r="P12" s="141" t="s">
        <v>109</v>
      </c>
      <c r="Q12" s="144" t="s">
        <v>110</v>
      </c>
      <c r="R12" s="141" t="s">
        <v>108</v>
      </c>
      <c r="S12" s="144" t="s">
        <v>108</v>
      </c>
      <c r="T12" s="141" t="s">
        <v>109</v>
      </c>
      <c r="U12" s="141" t="s">
        <v>109</v>
      </c>
      <c r="V12" s="141" t="s">
        <v>110</v>
      </c>
      <c r="W12" s="141" t="s">
        <v>110</v>
      </c>
      <c r="X12" s="144" t="s">
        <v>109</v>
      </c>
      <c r="Y12" s="141" t="s">
        <v>110</v>
      </c>
      <c r="Z12" s="141" t="s">
        <v>110</v>
      </c>
      <c r="AA12" s="141" t="s">
        <v>110</v>
      </c>
      <c r="AB12" s="144" t="s">
        <v>117</v>
      </c>
      <c r="AC12" s="141" t="s">
        <v>110</v>
      </c>
      <c r="AD12" s="144" t="s">
        <v>110</v>
      </c>
      <c r="AE12" s="149" t="s">
        <v>108</v>
      </c>
      <c r="AF12" s="149" t="s">
        <v>108</v>
      </c>
      <c r="AG12" s="149" t="s">
        <v>108</v>
      </c>
      <c r="AH12" s="1970" t="s">
        <v>108</v>
      </c>
      <c r="AI12" s="141" t="s">
        <v>109</v>
      </c>
      <c r="AJ12" s="141" t="s">
        <v>117</v>
      </c>
      <c r="AK12" s="141" t="s">
        <v>109</v>
      </c>
      <c r="AL12" s="144" t="s">
        <v>110</v>
      </c>
      <c r="AM12" s="150" t="s">
        <v>108</v>
      </c>
      <c r="AN12" s="149" t="s">
        <v>108</v>
      </c>
      <c r="AO12" s="1970" t="s">
        <v>108</v>
      </c>
      <c r="AP12" s="141" t="s">
        <v>117</v>
      </c>
      <c r="AQ12" s="144" t="s">
        <v>110</v>
      </c>
      <c r="AR12" s="141" t="s">
        <v>109</v>
      </c>
      <c r="AS12" s="141" t="s">
        <v>109</v>
      </c>
      <c r="AT12" s="141" t="s">
        <v>109</v>
      </c>
      <c r="AU12" s="141" t="s">
        <v>109</v>
      </c>
      <c r="AV12" s="141" t="s">
        <v>109</v>
      </c>
      <c r="AW12" s="144" t="s">
        <v>109</v>
      </c>
      <c r="AX12" s="141"/>
    </row>
    <row r="13" ht="18.75" customHeight="1">
      <c r="A13" s="147"/>
      <c r="B13" s="115"/>
      <c r="C13" s="177" t="s">
        <v>153</v>
      </c>
      <c r="D13" s="141" t="s">
        <v>110</v>
      </c>
      <c r="E13" s="141" t="s">
        <v>109</v>
      </c>
      <c r="F13" s="141" t="s">
        <v>110</v>
      </c>
      <c r="G13" s="151" t="s">
        <v>110</v>
      </c>
      <c r="H13" s="141" t="s">
        <v>117</v>
      </c>
      <c r="I13" s="141" t="s">
        <v>117</v>
      </c>
      <c r="J13" s="144" t="s">
        <v>117</v>
      </c>
      <c r="K13" s="144" t="s">
        <v>108</v>
      </c>
      <c r="L13" s="144" t="s">
        <v>109</v>
      </c>
      <c r="M13" s="141" t="s">
        <v>108</v>
      </c>
      <c r="N13" s="144" t="s">
        <v>108</v>
      </c>
      <c r="O13" s="141" t="s">
        <v>110</v>
      </c>
      <c r="P13" s="141" t="s">
        <v>109</v>
      </c>
      <c r="Q13" s="144" t="s">
        <v>110</v>
      </c>
      <c r="R13" s="141" t="s">
        <v>110</v>
      </c>
      <c r="S13" s="144" t="s">
        <v>109</v>
      </c>
      <c r="T13" s="141" t="s">
        <v>109</v>
      </c>
      <c r="U13" s="141" t="s">
        <v>110</v>
      </c>
      <c r="V13" s="141" t="s">
        <v>110</v>
      </c>
      <c r="W13" s="141" t="s">
        <v>110</v>
      </c>
      <c r="X13" s="144" t="s">
        <v>109</v>
      </c>
      <c r="Y13" s="141" t="s">
        <v>110</v>
      </c>
      <c r="Z13" s="141" t="s">
        <v>110</v>
      </c>
      <c r="AA13" s="141" t="s">
        <v>110</v>
      </c>
      <c r="AB13" s="144" t="s">
        <v>110</v>
      </c>
      <c r="AC13" s="1968" t="s">
        <v>109</v>
      </c>
      <c r="AD13" s="181" t="s">
        <v>110</v>
      </c>
      <c r="AE13" s="141" t="s">
        <v>110</v>
      </c>
      <c r="AF13" s="141" t="s">
        <v>110</v>
      </c>
      <c r="AG13" s="141" t="s">
        <v>110</v>
      </c>
      <c r="AH13" s="144" t="s">
        <v>110</v>
      </c>
      <c r="AI13" s="141" t="s">
        <v>110</v>
      </c>
      <c r="AJ13" s="141" t="s">
        <v>110</v>
      </c>
      <c r="AK13" s="141" t="s">
        <v>110</v>
      </c>
      <c r="AL13" s="144" t="s">
        <v>110</v>
      </c>
      <c r="AM13" s="141" t="s">
        <v>109</v>
      </c>
      <c r="AN13" s="141" t="s">
        <v>109</v>
      </c>
      <c r="AO13" s="144" t="s">
        <v>110</v>
      </c>
      <c r="AP13" s="149" t="s">
        <v>108</v>
      </c>
      <c r="AQ13" s="1970" t="s">
        <v>108</v>
      </c>
      <c r="AR13" s="149" t="s">
        <v>108</v>
      </c>
      <c r="AS13" s="149" t="s">
        <v>108</v>
      </c>
      <c r="AT13" s="1971" t="s">
        <v>108</v>
      </c>
      <c r="AU13" s="149" t="s">
        <v>108</v>
      </c>
      <c r="AV13" s="149" t="s">
        <v>108</v>
      </c>
      <c r="AW13" s="1970" t="s">
        <v>108</v>
      </c>
      <c r="AX13" s="149"/>
    </row>
    <row r="14" ht="18.75" customHeight="1">
      <c r="A14" s="147"/>
      <c r="B14" s="115"/>
      <c r="C14" s="177" t="s">
        <v>1270</v>
      </c>
      <c r="D14" s="141" t="s">
        <v>110</v>
      </c>
      <c r="E14" s="141" t="s">
        <v>109</v>
      </c>
      <c r="F14" s="141" t="s">
        <v>110</v>
      </c>
      <c r="G14" s="151" t="s">
        <v>109</v>
      </c>
      <c r="H14" s="141" t="s">
        <v>109</v>
      </c>
      <c r="I14" s="141" t="s">
        <v>110</v>
      </c>
      <c r="J14" s="144" t="s">
        <v>110</v>
      </c>
      <c r="K14" s="144" t="s">
        <v>109</v>
      </c>
      <c r="L14" s="144" t="s">
        <v>109</v>
      </c>
      <c r="M14" s="141" t="s">
        <v>117</v>
      </c>
      <c r="N14" s="144" t="s">
        <v>110</v>
      </c>
      <c r="O14" s="141" t="s">
        <v>110</v>
      </c>
      <c r="P14" s="141" t="s">
        <v>109</v>
      </c>
      <c r="Q14" s="144" t="s">
        <v>110</v>
      </c>
      <c r="R14" s="141" t="s">
        <v>110</v>
      </c>
      <c r="S14" s="144" t="s">
        <v>117</v>
      </c>
      <c r="T14" s="141" t="s">
        <v>109</v>
      </c>
      <c r="U14" s="141" t="s">
        <v>109</v>
      </c>
      <c r="V14" s="141" t="s">
        <v>110</v>
      </c>
      <c r="W14" s="141" t="s">
        <v>110</v>
      </c>
      <c r="X14" s="144" t="s">
        <v>109</v>
      </c>
      <c r="Y14" s="141" t="s">
        <v>110</v>
      </c>
      <c r="Z14" s="141" t="s">
        <v>110</v>
      </c>
      <c r="AA14" s="141" t="s">
        <v>110</v>
      </c>
      <c r="AB14" s="144" t="s">
        <v>109</v>
      </c>
      <c r="AC14" s="149" t="s">
        <v>108</v>
      </c>
      <c r="AD14" s="1970" t="s">
        <v>108</v>
      </c>
      <c r="AE14" s="141" t="s">
        <v>110</v>
      </c>
      <c r="AF14" s="141" t="s">
        <v>110</v>
      </c>
      <c r="AG14" s="141" t="s">
        <v>109</v>
      </c>
      <c r="AH14" s="144" t="s">
        <v>110</v>
      </c>
      <c r="AI14" s="141" t="s">
        <v>109</v>
      </c>
      <c r="AJ14" s="141" t="s">
        <v>109</v>
      </c>
      <c r="AK14" s="141" t="s">
        <v>110</v>
      </c>
      <c r="AL14" s="144" t="s">
        <v>109</v>
      </c>
      <c r="AM14" s="141" t="s">
        <v>110</v>
      </c>
      <c r="AN14" s="141" t="s">
        <v>109</v>
      </c>
      <c r="AO14" s="144" t="s">
        <v>110</v>
      </c>
      <c r="AP14" s="141" t="s">
        <v>109</v>
      </c>
      <c r="AQ14" s="144" t="s">
        <v>110</v>
      </c>
      <c r="AR14" s="149" t="s">
        <v>108</v>
      </c>
      <c r="AS14" s="149" t="s">
        <v>108</v>
      </c>
      <c r="AT14" s="1971" t="s">
        <v>108</v>
      </c>
      <c r="AU14" s="149" t="s">
        <v>108</v>
      </c>
      <c r="AV14" s="149" t="s">
        <v>108</v>
      </c>
      <c r="AW14" s="1970" t="s">
        <v>108</v>
      </c>
      <c r="AX14" s="149"/>
    </row>
    <row r="15" ht="18.75" customHeight="1">
      <c r="A15" s="147"/>
      <c r="B15" s="115"/>
      <c r="C15" s="177" t="s">
        <v>37</v>
      </c>
      <c r="D15" s="141" t="s">
        <v>110</v>
      </c>
      <c r="E15" s="141" t="s">
        <v>109</v>
      </c>
      <c r="F15" s="141" t="s">
        <v>110</v>
      </c>
      <c r="G15" s="151" t="s">
        <v>110</v>
      </c>
      <c r="H15" s="141" t="s">
        <v>109</v>
      </c>
      <c r="I15" s="141" t="s">
        <v>110</v>
      </c>
      <c r="J15" s="144" t="s">
        <v>110</v>
      </c>
      <c r="K15" s="144" t="s">
        <v>110</v>
      </c>
      <c r="L15" s="144" t="s">
        <v>117</v>
      </c>
      <c r="M15" s="141" t="s">
        <v>110</v>
      </c>
      <c r="N15" s="144" t="s">
        <v>110</v>
      </c>
      <c r="O15" s="141" t="s">
        <v>110</v>
      </c>
      <c r="P15" s="141" t="s">
        <v>109</v>
      </c>
      <c r="Q15" s="144" t="s">
        <v>110</v>
      </c>
      <c r="R15" s="141" t="s">
        <v>110</v>
      </c>
      <c r="S15" s="144" t="s">
        <v>110</v>
      </c>
      <c r="T15" s="141" t="s">
        <v>109</v>
      </c>
      <c r="U15" s="141" t="s">
        <v>110</v>
      </c>
      <c r="V15" s="141" t="s">
        <v>110</v>
      </c>
      <c r="W15" s="141" t="s">
        <v>110</v>
      </c>
      <c r="X15" s="144" t="s">
        <v>109</v>
      </c>
      <c r="Y15" s="141" t="s">
        <v>110</v>
      </c>
      <c r="Z15" s="141" t="s">
        <v>110</v>
      </c>
      <c r="AA15" s="141" t="s">
        <v>117</v>
      </c>
      <c r="AB15" s="144" t="s">
        <v>109</v>
      </c>
      <c r="AC15" s="1968" t="s">
        <v>109</v>
      </c>
      <c r="AD15" s="181" t="s">
        <v>110</v>
      </c>
      <c r="AE15" s="141" t="s">
        <v>110</v>
      </c>
      <c r="AF15" s="141" t="s">
        <v>110</v>
      </c>
      <c r="AG15" s="141" t="s">
        <v>109</v>
      </c>
      <c r="AH15" s="144" t="s">
        <v>110</v>
      </c>
      <c r="AI15" s="141" t="s">
        <v>109</v>
      </c>
      <c r="AJ15" s="141" t="s">
        <v>110</v>
      </c>
      <c r="AK15" s="141" t="s">
        <v>110</v>
      </c>
      <c r="AL15" s="144" t="s">
        <v>109</v>
      </c>
      <c r="AM15" s="141" t="s">
        <v>110</v>
      </c>
      <c r="AN15" s="141" t="s">
        <v>109</v>
      </c>
      <c r="AO15" s="144" t="s">
        <v>110</v>
      </c>
      <c r="AP15" s="141" t="s">
        <v>109</v>
      </c>
      <c r="AQ15" s="144" t="s">
        <v>110</v>
      </c>
      <c r="AR15" s="141" t="s">
        <v>109</v>
      </c>
      <c r="AS15" s="141" t="s">
        <v>109</v>
      </c>
      <c r="AT15" s="141" t="s">
        <v>109</v>
      </c>
      <c r="AU15" s="141" t="s">
        <v>110</v>
      </c>
      <c r="AV15" s="141" t="s">
        <v>110</v>
      </c>
      <c r="AW15" s="144" t="s">
        <v>110</v>
      </c>
      <c r="AX15" s="141"/>
    </row>
    <row r="16" ht="18.75" customHeight="1">
      <c r="A16" s="147"/>
      <c r="B16" s="115"/>
      <c r="C16" s="176" t="s">
        <v>691</v>
      </c>
      <c r="D16" s="141" t="s">
        <v>108</v>
      </c>
      <c r="E16" s="141" t="s">
        <v>108</v>
      </c>
      <c r="F16" s="141" t="s">
        <v>108</v>
      </c>
      <c r="G16" s="151" t="s">
        <v>108</v>
      </c>
      <c r="H16" s="149" t="s">
        <v>108</v>
      </c>
      <c r="I16" s="141" t="s">
        <v>108</v>
      </c>
      <c r="J16" s="144" t="s">
        <v>108</v>
      </c>
      <c r="K16" s="144" t="s">
        <v>108</v>
      </c>
      <c r="L16" s="1979" t="s">
        <v>108</v>
      </c>
      <c r="M16" s="141" t="s">
        <v>108</v>
      </c>
      <c r="N16" s="144" t="s">
        <v>108</v>
      </c>
      <c r="O16" s="141" t="s">
        <v>108</v>
      </c>
      <c r="P16" s="141" t="s">
        <v>108</v>
      </c>
      <c r="Q16" s="144" t="s">
        <v>108</v>
      </c>
      <c r="R16" s="141" t="s">
        <v>108</v>
      </c>
      <c r="S16" s="144" t="s">
        <v>108</v>
      </c>
      <c r="T16" s="141" t="s">
        <v>108</v>
      </c>
      <c r="U16" s="141" t="s">
        <v>108</v>
      </c>
      <c r="V16" s="141" t="s">
        <v>108</v>
      </c>
      <c r="W16" s="141" t="s">
        <v>108</v>
      </c>
      <c r="X16" s="144" t="s">
        <v>108</v>
      </c>
      <c r="Y16" s="141" t="s">
        <v>108</v>
      </c>
      <c r="Z16" s="141" t="s">
        <v>108</v>
      </c>
      <c r="AA16" s="141" t="s">
        <v>108</v>
      </c>
      <c r="AB16" s="144" t="s">
        <v>108</v>
      </c>
      <c r="AC16" s="1968" t="s">
        <v>109</v>
      </c>
      <c r="AD16" s="181" t="s">
        <v>110</v>
      </c>
      <c r="AE16" s="141" t="s">
        <v>110</v>
      </c>
      <c r="AF16" s="141" t="s">
        <v>110</v>
      </c>
      <c r="AG16" s="141" t="s">
        <v>109</v>
      </c>
      <c r="AH16" s="144" t="s">
        <v>110</v>
      </c>
      <c r="AI16" s="141" t="s">
        <v>108</v>
      </c>
      <c r="AJ16" s="141" t="s">
        <v>108</v>
      </c>
      <c r="AK16" s="141" t="s">
        <v>108</v>
      </c>
      <c r="AL16" s="144" t="s">
        <v>108</v>
      </c>
      <c r="AM16" s="141" t="s">
        <v>110</v>
      </c>
      <c r="AN16" s="141" t="s">
        <v>109</v>
      </c>
      <c r="AO16" s="144" t="s">
        <v>110</v>
      </c>
      <c r="AP16" s="149" t="s">
        <v>108</v>
      </c>
      <c r="AQ16" s="1970" t="s">
        <v>108</v>
      </c>
      <c r="AR16" s="149" t="s">
        <v>108</v>
      </c>
      <c r="AS16" s="149" t="s">
        <v>108</v>
      </c>
      <c r="AT16" s="1971" t="s">
        <v>108</v>
      </c>
      <c r="AU16" s="149" t="s">
        <v>108</v>
      </c>
      <c r="AV16" s="149" t="s">
        <v>108</v>
      </c>
      <c r="AW16" s="1970" t="s">
        <v>108</v>
      </c>
      <c r="AX16" s="149"/>
    </row>
    <row r="17" ht="18.75" customHeight="1">
      <c r="A17" s="147"/>
      <c r="B17" s="115"/>
      <c r="C17" s="177" t="s">
        <v>1276</v>
      </c>
      <c r="D17" s="141" t="s">
        <v>108</v>
      </c>
      <c r="E17" s="141" t="s">
        <v>108</v>
      </c>
      <c r="F17" s="141" t="s">
        <v>108</v>
      </c>
      <c r="G17" s="151" t="s">
        <v>108</v>
      </c>
      <c r="H17" s="149" t="s">
        <v>108</v>
      </c>
      <c r="I17" s="141" t="s">
        <v>108</v>
      </c>
      <c r="J17" s="144" t="s">
        <v>108</v>
      </c>
      <c r="K17" s="144" t="s">
        <v>108</v>
      </c>
      <c r="L17" s="1979" t="s">
        <v>108</v>
      </c>
      <c r="M17" s="141" t="s">
        <v>108</v>
      </c>
      <c r="N17" s="144" t="s">
        <v>108</v>
      </c>
      <c r="O17" s="141" t="s">
        <v>108</v>
      </c>
      <c r="P17" s="141" t="s">
        <v>108</v>
      </c>
      <c r="Q17" s="144" t="s">
        <v>108</v>
      </c>
      <c r="R17" s="141" t="s">
        <v>108</v>
      </c>
      <c r="S17" s="144" t="s">
        <v>108</v>
      </c>
      <c r="T17" s="141" t="s">
        <v>108</v>
      </c>
      <c r="U17" s="141" t="s">
        <v>108</v>
      </c>
      <c r="V17" s="141" t="s">
        <v>108</v>
      </c>
      <c r="W17" s="141" t="s">
        <v>108</v>
      </c>
      <c r="X17" s="144" t="s">
        <v>108</v>
      </c>
      <c r="Y17" s="141" t="s">
        <v>108</v>
      </c>
      <c r="Z17" s="141" t="s">
        <v>108</v>
      </c>
      <c r="AA17" s="141" t="s">
        <v>108</v>
      </c>
      <c r="AB17" s="144" t="s">
        <v>108</v>
      </c>
      <c r="AC17" s="149" t="s">
        <v>108</v>
      </c>
      <c r="AD17" s="1970" t="s">
        <v>108</v>
      </c>
      <c r="AE17" s="149" t="s">
        <v>108</v>
      </c>
      <c r="AF17" s="149" t="s">
        <v>108</v>
      </c>
      <c r="AG17" s="149" t="s">
        <v>108</v>
      </c>
      <c r="AH17" s="1970" t="s">
        <v>108</v>
      </c>
      <c r="AI17" s="141" t="s">
        <v>108</v>
      </c>
      <c r="AJ17" s="141" t="s">
        <v>108</v>
      </c>
      <c r="AK17" s="141" t="s">
        <v>108</v>
      </c>
      <c r="AL17" s="144" t="s">
        <v>108</v>
      </c>
      <c r="AM17" s="150" t="s">
        <v>108</v>
      </c>
      <c r="AN17" s="149" t="s">
        <v>108</v>
      </c>
      <c r="AO17" s="1970" t="s">
        <v>108</v>
      </c>
      <c r="AP17" s="149" t="s">
        <v>108</v>
      </c>
      <c r="AQ17" s="1970" t="s">
        <v>108</v>
      </c>
      <c r="AR17" s="149" t="s">
        <v>108</v>
      </c>
      <c r="AS17" s="149" t="s">
        <v>108</v>
      </c>
      <c r="AT17" s="1971" t="s">
        <v>108</v>
      </c>
      <c r="AU17" s="149" t="s">
        <v>108</v>
      </c>
      <c r="AV17" s="149" t="s">
        <v>108</v>
      </c>
      <c r="AW17" s="1970" t="s">
        <v>108</v>
      </c>
      <c r="AX17" s="149"/>
    </row>
    <row r="18" ht="18.75" customHeight="1">
      <c r="A18" s="147"/>
      <c r="B18" s="1980" t="s">
        <v>740</v>
      </c>
      <c r="C18" s="1981" t="s">
        <v>122</v>
      </c>
      <c r="D18" s="141" t="s">
        <v>110</v>
      </c>
      <c r="E18" s="141" t="s">
        <v>109</v>
      </c>
      <c r="F18" s="141" t="s">
        <v>110</v>
      </c>
      <c r="G18" s="151" t="s">
        <v>110</v>
      </c>
      <c r="H18" s="141" t="s">
        <v>110</v>
      </c>
      <c r="I18" s="141" t="s">
        <v>110</v>
      </c>
      <c r="J18" s="144" t="s">
        <v>110</v>
      </c>
      <c r="K18" s="144" t="s">
        <v>109</v>
      </c>
      <c r="L18" s="144" t="s">
        <v>109</v>
      </c>
      <c r="M18" s="141" t="s">
        <v>110</v>
      </c>
      <c r="N18" s="144" t="s">
        <v>110</v>
      </c>
      <c r="O18" s="141" t="s">
        <v>117</v>
      </c>
      <c r="P18" s="141" t="s">
        <v>109</v>
      </c>
      <c r="Q18" s="144" t="s">
        <v>110</v>
      </c>
      <c r="R18" s="141" t="s">
        <v>110</v>
      </c>
      <c r="S18" s="144" t="s">
        <v>109</v>
      </c>
      <c r="T18" s="141" t="s">
        <v>109</v>
      </c>
      <c r="U18" s="141" t="s">
        <v>109</v>
      </c>
      <c r="V18" s="141" t="s">
        <v>110</v>
      </c>
      <c r="W18" s="141" t="s">
        <v>110</v>
      </c>
      <c r="X18" s="144" t="s">
        <v>109</v>
      </c>
      <c r="Y18" s="141" t="s">
        <v>110</v>
      </c>
      <c r="Z18" s="141" t="s">
        <v>109</v>
      </c>
      <c r="AA18" s="141" t="s">
        <v>109</v>
      </c>
      <c r="AB18" s="144" t="s">
        <v>109</v>
      </c>
      <c r="AC18" s="1968" t="s">
        <v>109</v>
      </c>
      <c r="AD18" s="181" t="s">
        <v>110</v>
      </c>
      <c r="AE18" s="1969" t="s">
        <v>110</v>
      </c>
      <c r="AF18" s="179" t="s">
        <v>109</v>
      </c>
      <c r="AG18" s="179" t="s">
        <v>109</v>
      </c>
      <c r="AH18" s="1982" t="s">
        <v>110</v>
      </c>
      <c r="AI18" s="141" t="s">
        <v>109</v>
      </c>
      <c r="AJ18" s="141" t="s">
        <v>110</v>
      </c>
      <c r="AK18" s="141" t="s">
        <v>110</v>
      </c>
      <c r="AL18" s="144" t="s">
        <v>110</v>
      </c>
      <c r="AM18" s="141" t="s">
        <v>110</v>
      </c>
      <c r="AN18" s="141" t="s">
        <v>110</v>
      </c>
      <c r="AO18" s="144" t="s">
        <v>109</v>
      </c>
      <c r="AP18" s="141" t="s">
        <v>117</v>
      </c>
      <c r="AQ18" s="144" t="s">
        <v>110</v>
      </c>
      <c r="AR18" s="149" t="s">
        <v>108</v>
      </c>
      <c r="AS18" s="149" t="s">
        <v>108</v>
      </c>
      <c r="AT18" s="1971" t="s">
        <v>108</v>
      </c>
      <c r="AU18" s="149" t="s">
        <v>108</v>
      </c>
      <c r="AV18" s="149" t="s">
        <v>108</v>
      </c>
      <c r="AW18" s="1970" t="s">
        <v>108</v>
      </c>
      <c r="AX18" s="149"/>
    </row>
    <row r="19" ht="18.75" customHeight="1">
      <c r="A19" s="147"/>
      <c r="B19" s="115"/>
      <c r="C19" s="1983" t="s">
        <v>16</v>
      </c>
      <c r="D19" s="141" t="s">
        <v>110</v>
      </c>
      <c r="E19" s="141" t="s">
        <v>109</v>
      </c>
      <c r="F19" s="141" t="s">
        <v>110</v>
      </c>
      <c r="G19" s="151" t="s">
        <v>110</v>
      </c>
      <c r="H19" s="141" t="s">
        <v>110</v>
      </c>
      <c r="I19" s="141" t="s">
        <v>110</v>
      </c>
      <c r="J19" s="144" t="s">
        <v>110</v>
      </c>
      <c r="K19" s="144" t="s">
        <v>109</v>
      </c>
      <c r="L19" s="144" t="s">
        <v>109</v>
      </c>
      <c r="M19" s="141" t="s">
        <v>110</v>
      </c>
      <c r="N19" s="144" t="s">
        <v>110</v>
      </c>
      <c r="O19" s="141" t="s">
        <v>117</v>
      </c>
      <c r="P19" s="141" t="s">
        <v>109</v>
      </c>
      <c r="Q19" s="144" t="s">
        <v>110</v>
      </c>
      <c r="R19" s="141" t="s">
        <v>108</v>
      </c>
      <c r="S19" s="144" t="s">
        <v>108</v>
      </c>
      <c r="T19" s="141" t="s">
        <v>109</v>
      </c>
      <c r="U19" s="141" t="s">
        <v>109</v>
      </c>
      <c r="V19" s="141" t="s">
        <v>110</v>
      </c>
      <c r="W19" s="141" t="s">
        <v>110</v>
      </c>
      <c r="X19" s="144" t="s">
        <v>109</v>
      </c>
      <c r="Y19" s="141" t="s">
        <v>110</v>
      </c>
      <c r="Z19" s="141" t="s">
        <v>109</v>
      </c>
      <c r="AA19" s="141" t="s">
        <v>109</v>
      </c>
      <c r="AB19" s="144" t="s">
        <v>109</v>
      </c>
      <c r="AC19" s="1968" t="s">
        <v>109</v>
      </c>
      <c r="AD19" s="181" t="s">
        <v>110</v>
      </c>
      <c r="AE19" s="1969" t="s">
        <v>110</v>
      </c>
      <c r="AF19" s="179" t="s">
        <v>109</v>
      </c>
      <c r="AG19" s="179" t="s">
        <v>109</v>
      </c>
      <c r="AH19" s="1982" t="s">
        <v>110</v>
      </c>
      <c r="AI19" s="141" t="s">
        <v>109</v>
      </c>
      <c r="AJ19" s="141" t="s">
        <v>110</v>
      </c>
      <c r="AK19" s="141" t="s">
        <v>110</v>
      </c>
      <c r="AL19" s="144" t="s">
        <v>110</v>
      </c>
      <c r="AM19" s="141" t="s">
        <v>110</v>
      </c>
      <c r="AN19" s="141" t="s">
        <v>110</v>
      </c>
      <c r="AO19" s="144" t="s">
        <v>109</v>
      </c>
      <c r="AP19" s="141" t="s">
        <v>117</v>
      </c>
      <c r="AQ19" s="144" t="s">
        <v>110</v>
      </c>
      <c r="AR19" s="141" t="s">
        <v>109</v>
      </c>
      <c r="AS19" s="141" t="s">
        <v>109</v>
      </c>
      <c r="AT19" s="141" t="s">
        <v>109</v>
      </c>
      <c r="AU19" s="141" t="s">
        <v>117</v>
      </c>
      <c r="AV19" s="141" t="s">
        <v>110</v>
      </c>
      <c r="AW19" s="144" t="s">
        <v>110</v>
      </c>
      <c r="AX19" s="141"/>
    </row>
    <row r="20" ht="18.75" customHeight="1">
      <c r="A20" s="147"/>
      <c r="B20" s="115"/>
      <c r="C20" s="1983" t="s">
        <v>121</v>
      </c>
      <c r="D20" s="141" t="s">
        <v>110</v>
      </c>
      <c r="E20" s="141" t="s">
        <v>109</v>
      </c>
      <c r="F20" s="141" t="s">
        <v>110</v>
      </c>
      <c r="G20" s="151" t="s">
        <v>110</v>
      </c>
      <c r="H20" s="141" t="s">
        <v>110</v>
      </c>
      <c r="I20" s="141" t="s">
        <v>110</v>
      </c>
      <c r="J20" s="144" t="s">
        <v>110</v>
      </c>
      <c r="K20" s="144" t="s">
        <v>109</v>
      </c>
      <c r="L20" s="144" t="s">
        <v>109</v>
      </c>
      <c r="M20" s="141" t="s">
        <v>110</v>
      </c>
      <c r="N20" s="144" t="s">
        <v>110</v>
      </c>
      <c r="O20" s="141" t="s">
        <v>108</v>
      </c>
      <c r="P20" s="141" t="s">
        <v>109</v>
      </c>
      <c r="Q20" s="144" t="s">
        <v>110</v>
      </c>
      <c r="R20" s="141" t="s">
        <v>110</v>
      </c>
      <c r="S20" s="144" t="s">
        <v>110</v>
      </c>
      <c r="T20" s="141" t="s">
        <v>109</v>
      </c>
      <c r="U20" s="141" t="s">
        <v>109</v>
      </c>
      <c r="V20" s="141" t="s">
        <v>110</v>
      </c>
      <c r="W20" s="141" t="s">
        <v>110</v>
      </c>
      <c r="X20" s="144" t="s">
        <v>109</v>
      </c>
      <c r="Y20" s="141" t="s">
        <v>110</v>
      </c>
      <c r="Z20" s="141" t="s">
        <v>109</v>
      </c>
      <c r="AA20" s="141" t="s">
        <v>109</v>
      </c>
      <c r="AB20" s="144" t="s">
        <v>109</v>
      </c>
      <c r="AC20" s="141" t="s">
        <v>110</v>
      </c>
      <c r="AD20" s="144" t="s">
        <v>110</v>
      </c>
      <c r="AE20" s="1969" t="s">
        <v>110</v>
      </c>
      <c r="AF20" s="179" t="s">
        <v>109</v>
      </c>
      <c r="AG20" s="179" t="s">
        <v>109</v>
      </c>
      <c r="AH20" s="1982" t="s">
        <v>110</v>
      </c>
      <c r="AI20" s="141" t="s">
        <v>109</v>
      </c>
      <c r="AJ20" s="141" t="s">
        <v>110</v>
      </c>
      <c r="AK20" s="141" t="s">
        <v>110</v>
      </c>
      <c r="AL20" s="144" t="s">
        <v>110</v>
      </c>
      <c r="AM20" s="141" t="s">
        <v>110</v>
      </c>
      <c r="AN20" s="141" t="s">
        <v>110</v>
      </c>
      <c r="AO20" s="144" t="s">
        <v>109</v>
      </c>
      <c r="AP20" s="141" t="s">
        <v>110</v>
      </c>
      <c r="AQ20" s="144" t="s">
        <v>110</v>
      </c>
      <c r="AR20" s="141" t="s">
        <v>109</v>
      </c>
      <c r="AS20" s="141" t="s">
        <v>109</v>
      </c>
      <c r="AT20" s="141" t="s">
        <v>109</v>
      </c>
      <c r="AU20" s="141" t="s">
        <v>117</v>
      </c>
      <c r="AV20" s="141" t="s">
        <v>110</v>
      </c>
      <c r="AW20" s="144" t="s">
        <v>110</v>
      </c>
      <c r="AX20" s="141"/>
    </row>
    <row r="21" ht="18.75" customHeight="1">
      <c r="A21" s="159"/>
      <c r="B21" s="115"/>
      <c r="C21" s="1984" t="s">
        <v>1280</v>
      </c>
      <c r="D21" s="141" t="s">
        <v>108</v>
      </c>
      <c r="E21" s="141" t="s">
        <v>108</v>
      </c>
      <c r="F21" s="141" t="s">
        <v>108</v>
      </c>
      <c r="G21" s="151" t="s">
        <v>108</v>
      </c>
      <c r="H21" s="158" t="s">
        <v>108</v>
      </c>
      <c r="I21" s="141" t="s">
        <v>108</v>
      </c>
      <c r="J21" s="144" t="s">
        <v>108</v>
      </c>
      <c r="K21" s="144" t="s">
        <v>109</v>
      </c>
      <c r="L21" s="144" t="s">
        <v>109</v>
      </c>
      <c r="M21" s="141" t="s">
        <v>110</v>
      </c>
      <c r="N21" s="144" t="s">
        <v>110</v>
      </c>
      <c r="O21" s="141" t="s">
        <v>108</v>
      </c>
      <c r="P21" s="141" t="s">
        <v>109</v>
      </c>
      <c r="Q21" s="144" t="s">
        <v>110</v>
      </c>
      <c r="R21" s="141" t="s">
        <v>110</v>
      </c>
      <c r="S21" s="144" t="s">
        <v>109</v>
      </c>
      <c r="T21" s="141" t="s">
        <v>109</v>
      </c>
      <c r="U21" s="141" t="s">
        <v>109</v>
      </c>
      <c r="V21" s="141" t="s">
        <v>110</v>
      </c>
      <c r="W21" s="141" t="s">
        <v>110</v>
      </c>
      <c r="X21" s="144" t="s">
        <v>109</v>
      </c>
      <c r="Y21" s="141" t="s">
        <v>108</v>
      </c>
      <c r="Z21" s="141" t="s">
        <v>108</v>
      </c>
      <c r="AA21" s="141" t="s">
        <v>108</v>
      </c>
      <c r="AB21" s="144" t="s">
        <v>108</v>
      </c>
      <c r="AC21" s="158" t="s">
        <v>108</v>
      </c>
      <c r="AD21" s="1985" t="s">
        <v>108</v>
      </c>
      <c r="AE21" s="158" t="s">
        <v>108</v>
      </c>
      <c r="AF21" s="158" t="s">
        <v>108</v>
      </c>
      <c r="AG21" s="158" t="s">
        <v>108</v>
      </c>
      <c r="AH21" s="1985" t="s">
        <v>108</v>
      </c>
      <c r="AI21" s="141" t="s">
        <v>108</v>
      </c>
      <c r="AJ21" s="141" t="s">
        <v>108</v>
      </c>
      <c r="AK21" s="141" t="s">
        <v>108</v>
      </c>
      <c r="AL21" s="144" t="s">
        <v>108</v>
      </c>
      <c r="AM21" s="1986" t="s">
        <v>108</v>
      </c>
      <c r="AN21" s="158" t="s">
        <v>108</v>
      </c>
      <c r="AO21" s="1985" t="s">
        <v>108</v>
      </c>
      <c r="AP21" s="158" t="s">
        <v>108</v>
      </c>
      <c r="AQ21" s="1985" t="s">
        <v>108</v>
      </c>
      <c r="AR21" s="158" t="s">
        <v>108</v>
      </c>
      <c r="AS21" s="158" t="s">
        <v>108</v>
      </c>
      <c r="AT21" s="1987" t="s">
        <v>108</v>
      </c>
      <c r="AU21" s="149" t="s">
        <v>108</v>
      </c>
      <c r="AV21" s="158" t="s">
        <v>108</v>
      </c>
      <c r="AW21" s="1985" t="s">
        <v>108</v>
      </c>
      <c r="AX21" s="149"/>
    </row>
    <row r="22" ht="9.75" customHeight="1">
      <c r="A22" s="160"/>
      <c r="B22" s="161"/>
      <c r="C22" s="161"/>
      <c r="D22" s="1988" t="str">
        <f t="shared" ref="D22:H22" si="1">LINKURL(D5)</f>
        <v>https://www.reddit.com/r/RMTK/comments/e1jtyu/m0126_motie_tot_opzetten_stimuleringsfonds/</v>
      </c>
      <c r="E22" s="1988" t="str">
        <f t="shared" si="1"/>
        <v>https://www.reddit.com/r/RMTK/comments/e208vb/m0127_motie_tot_verzoek_oorlogsverklaring/</v>
      </c>
      <c r="F22" s="1988" t="str">
        <f t="shared" si="1"/>
        <v>https://www.reddit.com/r/RMTK/comments/e2ztqm/m0128_motie_tot_een_ruimhartiger_asielbeleid/</v>
      </c>
      <c r="G22" s="1989" t="str">
        <f t="shared" si="1"/>
        <v>https://www.reddit.com/r/RMTK/comments/e4zuxw/m0129_motie_omtrent_het_opruimen_van_korrels_van/</v>
      </c>
      <c r="H22" s="1989" t="str">
        <f t="shared" si="1"/>
        <v>https://www.reddit.com/r/RMTK/comments/e5hzkw/m0131_motie_tot_het_instellen_van_een_meldplicht/</v>
      </c>
      <c r="I22" s="1990" t="s">
        <v>1574</v>
      </c>
      <c r="J22" s="1989" t="str">
        <f t="shared" ref="J22:AW22" si="2">LINKURL(J5)</f>
        <v>https://www.reddit.com/r/RMTK/comments/e6gw21/w0055_wetswijziging_tot_het_uitbreiden_van_de/</v>
      </c>
      <c r="K22" s="1989" t="str">
        <f t="shared" si="2"/>
        <v>https://www.reddit.com/r/RMTK/comments/e8pqs7/w0056_wijziging_van_de_algemene_ouderdomswet/</v>
      </c>
      <c r="L22" s="1989" t="str">
        <f t="shared" si="2"/>
        <v>https://www.reddit.com/r/RMTK/comments/ecd9jh/m0132_motie_van_afkeuring_tegen_de_voorzitter/</v>
      </c>
      <c r="M22" s="1989" t="str">
        <f t="shared" si="2"/>
        <v>https://www.reddit.com/r/RMTK/comments/ecsj9d/m0133_motie_tot_erkenning_armeense_genocide/</v>
      </c>
      <c r="N22" s="1989" t="str">
        <f t="shared" si="2"/>
        <v>https://www.reddit.com/r/RMTK/comments/ecbver/w0058_wet_verkorting_uitkeringsduur_appa_2020/</v>
      </c>
      <c r="O22" s="1988" t="str">
        <f t="shared" si="2"/>
        <v>https://www.reddit.com/r/RMTK/comments/edxhs2/m0134_motie_tot_erkenning_van_de_genocide_op_de/</v>
      </c>
      <c r="P22" s="1988" t="str">
        <f t="shared" si="2"/>
        <v>https://www.reddit.com/r/RMTK/comments/eek1v9/w0057i_amendement_tot_wijziging_van_het/</v>
      </c>
      <c r="Q22" s="1989" t="str">
        <f t="shared" si="2"/>
        <v>https://www.reddit.com/r/RMTK/comments/efm3vz/w0059_wetsvoorstel_tot_budgettaire_begroting/</v>
      </c>
      <c r="R22" s="1989" t="str">
        <f t="shared" si="2"/>
        <v>https://www.reddit.com/r/RMTK/comments/eixzg8/w0060_wetswijziging_tot_verhoging_algemene/</v>
      </c>
      <c r="S22" s="1988" t="str">
        <f t="shared" si="2"/>
        <v>https://www.reddit.com/r/RMTK/comments/eixzgh/m0135_motie_tot_het_gratis_maken_van/</v>
      </c>
      <c r="T22" s="1989" t="str">
        <f t="shared" si="2"/>
        <v>https://www.reddit.com/r/RMTK/comments/em9c3k/w0061_rijkswet_afkondigings_en/</v>
      </c>
      <c r="U22" s="1989" t="str">
        <f t="shared" si="2"/>
        <v>https://www.reddit.com/r/RMTK/comments/emrfn7/m0136_motie_tot_terugtrekking_van_amerikaanse/</v>
      </c>
      <c r="V22" s="1989" t="str">
        <f t="shared" si="2"/>
        <v>https://www.reddit.com/r/RMTK/comments/eo3tv9/w0062_wet_tot_het_samenvoegen_van_de_rustwetten/</v>
      </c>
      <c r="W22" s="1989" t="str">
        <f t="shared" si="2"/>
        <v>https://www.reddit.com/r/RMTK/comments/eokzf9/w0063_wet_tot_oprichting_van_het/</v>
      </c>
      <c r="X22" s="1989" t="str">
        <f t="shared" si="2"/>
        <v>https://www.reddit.com/r/RMTK/comments/epax7w/w0057_wetsvoorstel_tot_oprichting_van_het_erica/</v>
      </c>
      <c r="Y22" s="1989" t="str">
        <f t="shared" si="2"/>
        <v>https://www.reddit.com/r/RMTK/comments/ep21sj/m0137_motie_tot_het_goedkoper_maken_van_de/</v>
      </c>
      <c r="Z22" s="1989" t="str">
        <f t="shared" si="2"/>
        <v>https://www.reddit.com/r/RMTK/comments/epj1fz/m0138_motie_tot_het_steunen_van_iraanse/</v>
      </c>
      <c r="AA22" s="1989" t="str">
        <f t="shared" si="2"/>
        <v>https://www.reddit.com/r/RMTK/comments/epj1g9/m0139_motie_tot_verhoging_maximumsnelheid/</v>
      </c>
      <c r="AB22" s="1991" t="str">
        <f t="shared" si="2"/>
        <v>https://www.reddit.com/r/RMTK/comments/ercxen/m0140_motie_tot_het_behouden_van_het_friese/</v>
      </c>
      <c r="AC22" s="1989" t="str">
        <f t="shared" si="2"/>
        <v>https://www.reddit.com/r/RMTK/comments/esblyw/m0141_motie_tot_verbreding_staatsieportret_van/</v>
      </c>
      <c r="AD22" s="1991" t="str">
        <f t="shared" si="2"/>
        <v>https://www.reddit.com/r/RMTK/comments/esssij/w0064_wet_gelijke_behandeling_op_grond_van/</v>
      </c>
      <c r="AE22" s="1989" t="str">
        <f t="shared" si="2"/>
        <v>https://www.reddit.com/r/RMTK/comments/ev5bje/w0066_wijziging_van_de_kernenergiewet_ter/</v>
      </c>
      <c r="AF22" s="1989" t="str">
        <f t="shared" si="2"/>
        <v>https://www.reddit.com/r/RMTK/comments/evvxqc/w0065_wetswijziging_drank_en_horecawet/</v>
      </c>
      <c r="AG22" s="1989" t="str">
        <f t="shared" si="2"/>
        <v>https://www.reddit.com/r/RMTK/comments/ewnh2a/w0067_wetswijziging_afschaffing_verzwaarde/</v>
      </c>
      <c r="AH22" s="1991" t="str">
        <f t="shared" si="2"/>
        <v>https://www.reddit.com/r/RMTK/comments/ey660k/w0068_wijziging_van_de_algemene_rustwet_voor_de/</v>
      </c>
      <c r="AI22" s="1989" t="str">
        <f t="shared" si="2"/>
        <v>https://www.reddit.com/r/RMTK/comments/f1hnca/w0069i_wetsvoorstel_tot_oprichting_van_het_alan/</v>
      </c>
      <c r="AJ22" s="1989" t="str">
        <f t="shared" si="2"/>
        <v>https://www.reddit.com/r/RMTK/comments/ez8jds/m0143_motie_tot_vestiging_nederlandse_ambassade/</v>
      </c>
      <c r="AK22" s="1989" t="str">
        <f t="shared" si="2"/>
        <v>https://www.reddit.com/r/RMTK/comments/ewsp2r/m0144_motie_tot_onderzoek_naar_de_mogelijkheid/</v>
      </c>
      <c r="AL22" s="1991" t="str">
        <f t="shared" si="2"/>
        <v>https://www.reddit.com/r/RMTK/comments/f1zkdu/m0145_motie_tot_het_oprichten_van_een_permanent/</v>
      </c>
      <c r="AM22" s="1989" t="str">
        <f t="shared" si="2"/>
        <v>https://www.reddit.com/r/RMTK/comments/ewsp33/w0069_wetsvoorstel_tot_oprichting_alan/</v>
      </c>
      <c r="AN22" s="1989" t="str">
        <f t="shared" si="2"/>
        <v>https://www.reddit.com/r/RMTK/comments/f58gig/w0070_voorstel_wet_derde_geslacht/</v>
      </c>
      <c r="AO22" s="1991" t="str">
        <f t="shared" si="2"/>
        <v>https://www.reddit.com/r/RMTK/comments/f5rhvs/w0071_wet_op_de_kansspelen_2020/</v>
      </c>
      <c r="AP22" s="1989" t="str">
        <f t="shared" si="2"/>
        <v>https://www.reddit.com/r/RMTK/comments/f99ym2/m0146_motie_tot_negatief_reisadvies_naar/</v>
      </c>
      <c r="AQ22" s="1991" t="str">
        <f t="shared" si="2"/>
        <v>https://www.reddit.com/r/RMTK/comments/f71ubr/w0072_wet_tot_inkomensafhankelijke_regeling/</v>
      </c>
      <c r="AR22" s="1989" t="str">
        <f t="shared" si="2"/>
        <v>https://www.reddit.com/r/RMTK/comments/falkwf/m0146_motie_tot_het_afschaffen_van_de_permanente/</v>
      </c>
      <c r="AS22" s="1989" t="str">
        <f t="shared" si="2"/>
        <v>https://www.reddit.com/r/RMTK/comments/fc37je/m0148_motie_tot_het_in_werking_doen_treden_van/</v>
      </c>
      <c r="AT22" s="1989" t="str">
        <f t="shared" si="2"/>
        <v>https://www.reddit.com/r/RMTK/comments/fd455m/w0072i_amendement_tot_wijziging_van_w0072_wet_tot/</v>
      </c>
      <c r="AU22" s="1989" t="str">
        <f t="shared" si="2"/>
        <v>https://www.reddit.com/r/RMTK/comments/f9swuj/w0073_wet_tot_invoering_reinheitsgebot20/</v>
      </c>
      <c r="AV22" s="1989" t="str">
        <f t="shared" si="2"/>
        <v>https://www.reddit.com/r/RMTK/comments/fd455r/w0073i_amendement_tot_wijziging_van_het/</v>
      </c>
      <c r="AW22" s="1991" t="str">
        <f t="shared" si="2"/>
        <v>https://www.reddit.com/r/RMTK/comments/fcbr2f/w0074_wet_tot_invoeren_van_een_verplichte/</v>
      </c>
      <c r="AX22" s="1992"/>
    </row>
    <row r="23" ht="18.75" customHeight="1">
      <c r="A23" s="171" t="s">
        <v>1575</v>
      </c>
      <c r="B23" s="172" t="s">
        <v>31</v>
      </c>
      <c r="C23" s="173" t="s">
        <v>32</v>
      </c>
      <c r="D23" s="141" t="s">
        <v>110</v>
      </c>
      <c r="E23" s="141" t="s">
        <v>109</v>
      </c>
      <c r="F23" s="141" t="s">
        <v>110</v>
      </c>
      <c r="G23" s="151" t="s">
        <v>110</v>
      </c>
      <c r="H23" s="141" t="s">
        <v>110</v>
      </c>
      <c r="I23" s="141" t="s">
        <v>109</v>
      </c>
      <c r="J23" s="144" t="s">
        <v>110</v>
      </c>
      <c r="K23" s="144" t="s">
        <v>110</v>
      </c>
      <c r="L23" s="144" t="s">
        <v>110</v>
      </c>
      <c r="M23" s="141" t="s">
        <v>110</v>
      </c>
      <c r="N23" s="144" t="s">
        <v>110</v>
      </c>
      <c r="O23" s="141" t="s">
        <v>110</v>
      </c>
      <c r="P23" s="180" t="s">
        <v>110</v>
      </c>
      <c r="Q23" s="181" t="s">
        <v>110</v>
      </c>
      <c r="R23" s="1969" t="s">
        <v>110</v>
      </c>
      <c r="S23" s="181" t="s">
        <v>110</v>
      </c>
      <c r="T23" s="141" t="s">
        <v>110</v>
      </c>
      <c r="U23" s="141" t="s">
        <v>110</v>
      </c>
      <c r="V23" s="141" t="s">
        <v>109</v>
      </c>
      <c r="W23" s="141" t="s">
        <v>109</v>
      </c>
      <c r="X23" s="144" t="s">
        <v>110</v>
      </c>
      <c r="Y23" s="141" t="s">
        <v>110</v>
      </c>
      <c r="Z23" s="141" t="s">
        <v>109</v>
      </c>
      <c r="AA23" s="141" t="s">
        <v>109</v>
      </c>
      <c r="AB23" s="144" t="s">
        <v>110</v>
      </c>
      <c r="AC23" s="1968" t="s">
        <v>109</v>
      </c>
      <c r="AD23" s="181" t="s">
        <v>110</v>
      </c>
      <c r="AE23" s="1969" t="s">
        <v>110</v>
      </c>
      <c r="AF23" s="179" t="s">
        <v>109</v>
      </c>
      <c r="AG23" s="180" t="s">
        <v>110</v>
      </c>
      <c r="AH23" s="1982" t="s">
        <v>110</v>
      </c>
      <c r="AI23" s="141" t="s">
        <v>110</v>
      </c>
      <c r="AJ23" s="141" t="s">
        <v>110</v>
      </c>
      <c r="AK23" s="141" t="s">
        <v>110</v>
      </c>
      <c r="AL23" s="144" t="s">
        <v>110</v>
      </c>
      <c r="AM23" s="1968" t="s">
        <v>109</v>
      </c>
      <c r="AN23" s="180" t="s">
        <v>110</v>
      </c>
      <c r="AO23" s="1993" t="s">
        <v>109</v>
      </c>
      <c r="AP23" s="141" t="s">
        <v>110</v>
      </c>
      <c r="AQ23" s="144" t="s">
        <v>110</v>
      </c>
      <c r="AR23" s="141" t="s">
        <v>110</v>
      </c>
      <c r="AS23" s="141" t="s">
        <v>117</v>
      </c>
      <c r="AT23" s="141" t="s">
        <v>110</v>
      </c>
      <c r="AU23" s="141" t="s">
        <v>110</v>
      </c>
      <c r="AV23" s="141" t="s">
        <v>110</v>
      </c>
      <c r="AW23" s="144" t="s">
        <v>110</v>
      </c>
      <c r="AX23" s="141"/>
    </row>
    <row r="24" ht="18.75" customHeight="1">
      <c r="A24" s="147"/>
      <c r="B24" s="115"/>
      <c r="C24" s="174" t="s">
        <v>148</v>
      </c>
      <c r="D24" s="141" t="s">
        <v>110</v>
      </c>
      <c r="E24" s="141" t="s">
        <v>109</v>
      </c>
      <c r="F24" s="141" t="s">
        <v>110</v>
      </c>
      <c r="G24" s="151" t="s">
        <v>110</v>
      </c>
      <c r="H24" s="141" t="s">
        <v>110</v>
      </c>
      <c r="I24" s="141" t="s">
        <v>109</v>
      </c>
      <c r="J24" s="144" t="s">
        <v>110</v>
      </c>
      <c r="K24" s="144" t="s">
        <v>110</v>
      </c>
      <c r="L24" s="144" t="s">
        <v>109</v>
      </c>
      <c r="M24" s="141" t="s">
        <v>110</v>
      </c>
      <c r="N24" s="144" t="s">
        <v>110</v>
      </c>
      <c r="O24" s="141" t="s">
        <v>110</v>
      </c>
      <c r="P24" s="141" t="s">
        <v>110</v>
      </c>
      <c r="Q24" s="144" t="s">
        <v>110</v>
      </c>
      <c r="R24" s="141" t="s">
        <v>110</v>
      </c>
      <c r="S24" s="144" t="s">
        <v>110</v>
      </c>
      <c r="T24" s="141" t="s">
        <v>110</v>
      </c>
      <c r="U24" s="141" t="s">
        <v>110</v>
      </c>
      <c r="V24" s="141" t="s">
        <v>109</v>
      </c>
      <c r="W24" s="141" t="s">
        <v>109</v>
      </c>
      <c r="X24" s="144" t="s">
        <v>110</v>
      </c>
      <c r="Y24" s="141" t="s">
        <v>110</v>
      </c>
      <c r="Z24" s="141" t="s">
        <v>109</v>
      </c>
      <c r="AA24" s="141" t="s">
        <v>109</v>
      </c>
      <c r="AB24" s="144" t="s">
        <v>110</v>
      </c>
      <c r="AC24" s="1968" t="s">
        <v>109</v>
      </c>
      <c r="AD24" s="181" t="s">
        <v>110</v>
      </c>
      <c r="AE24" s="141" t="s">
        <v>110</v>
      </c>
      <c r="AF24" s="141" t="s">
        <v>109</v>
      </c>
      <c r="AG24" s="141" t="s">
        <v>110</v>
      </c>
      <c r="AH24" s="181" t="s">
        <v>110</v>
      </c>
      <c r="AI24" s="141" t="s">
        <v>110</v>
      </c>
      <c r="AJ24" s="141" t="s">
        <v>110</v>
      </c>
      <c r="AK24" s="141" t="s">
        <v>110</v>
      </c>
      <c r="AL24" s="144" t="s">
        <v>110</v>
      </c>
      <c r="AM24" s="141" t="s">
        <v>109</v>
      </c>
      <c r="AN24" s="141" t="s">
        <v>110</v>
      </c>
      <c r="AO24" s="144" t="s">
        <v>109</v>
      </c>
      <c r="AP24" s="141" t="s">
        <v>110</v>
      </c>
      <c r="AQ24" s="144" t="s">
        <v>110</v>
      </c>
      <c r="AR24" s="141" t="s">
        <v>110</v>
      </c>
      <c r="AS24" s="141" t="s">
        <v>117</v>
      </c>
      <c r="AT24" s="141" t="s">
        <v>110</v>
      </c>
      <c r="AU24" s="141" t="s">
        <v>110</v>
      </c>
      <c r="AV24" s="141" t="s">
        <v>110</v>
      </c>
      <c r="AW24" s="144" t="s">
        <v>110</v>
      </c>
      <c r="AX24" s="141"/>
    </row>
    <row r="25" ht="18.75" customHeight="1">
      <c r="A25" s="147"/>
      <c r="B25" s="115"/>
      <c r="C25" s="174" t="s">
        <v>1281</v>
      </c>
      <c r="D25" s="141" t="s">
        <v>110</v>
      </c>
      <c r="E25" s="141" t="s">
        <v>109</v>
      </c>
      <c r="F25" s="141" t="s">
        <v>110</v>
      </c>
      <c r="G25" s="151" t="s">
        <v>110</v>
      </c>
      <c r="H25" s="141" t="s">
        <v>110</v>
      </c>
      <c r="I25" s="141" t="s">
        <v>109</v>
      </c>
      <c r="J25" s="144" t="s">
        <v>110</v>
      </c>
      <c r="K25" s="144" t="s">
        <v>110</v>
      </c>
      <c r="L25" s="144" t="s">
        <v>110</v>
      </c>
      <c r="M25" s="141" t="s">
        <v>108</v>
      </c>
      <c r="N25" s="144" t="s">
        <v>108</v>
      </c>
      <c r="O25" s="141" t="s">
        <v>110</v>
      </c>
      <c r="P25" s="141" t="s">
        <v>110</v>
      </c>
      <c r="Q25" s="144" t="s">
        <v>110</v>
      </c>
      <c r="R25" s="141" t="s">
        <v>110</v>
      </c>
      <c r="S25" s="144" t="s">
        <v>110</v>
      </c>
      <c r="T25" s="141" t="s">
        <v>110</v>
      </c>
      <c r="U25" s="141" t="s">
        <v>110</v>
      </c>
      <c r="V25" s="141" t="s">
        <v>109</v>
      </c>
      <c r="W25" s="141" t="s">
        <v>109</v>
      </c>
      <c r="X25" s="144" t="s">
        <v>110</v>
      </c>
      <c r="Y25" s="141" t="s">
        <v>110</v>
      </c>
      <c r="Z25" s="141" t="s">
        <v>109</v>
      </c>
      <c r="AA25" s="141" t="s">
        <v>109</v>
      </c>
      <c r="AB25" s="144" t="s">
        <v>110</v>
      </c>
      <c r="AC25" s="149" t="s">
        <v>108</v>
      </c>
      <c r="AD25" s="1970" t="s">
        <v>108</v>
      </c>
      <c r="AE25" s="141" t="s">
        <v>110</v>
      </c>
      <c r="AF25" s="141" t="s">
        <v>109</v>
      </c>
      <c r="AG25" s="141" t="s">
        <v>110</v>
      </c>
      <c r="AH25" s="181" t="s">
        <v>110</v>
      </c>
      <c r="AI25" s="141" t="s">
        <v>110</v>
      </c>
      <c r="AJ25" s="141" t="s">
        <v>110</v>
      </c>
      <c r="AK25" s="141" t="s">
        <v>110</v>
      </c>
      <c r="AL25" s="144" t="s">
        <v>110</v>
      </c>
      <c r="AM25" s="141" t="s">
        <v>109</v>
      </c>
      <c r="AN25" s="141" t="s">
        <v>110</v>
      </c>
      <c r="AO25" s="144" t="s">
        <v>109</v>
      </c>
      <c r="AP25" s="141" t="s">
        <v>110</v>
      </c>
      <c r="AQ25" s="144" t="s">
        <v>110</v>
      </c>
      <c r="AR25" s="141" t="s">
        <v>110</v>
      </c>
      <c r="AS25" s="141" t="s">
        <v>117</v>
      </c>
      <c r="AT25" s="141" t="s">
        <v>110</v>
      </c>
      <c r="AU25" s="141" t="s">
        <v>110</v>
      </c>
      <c r="AV25" s="141" t="s">
        <v>110</v>
      </c>
      <c r="AW25" s="144" t="s">
        <v>110</v>
      </c>
      <c r="AX25" s="141"/>
    </row>
    <row r="26" ht="18.75" customHeight="1">
      <c r="A26" s="147"/>
      <c r="B26" s="115"/>
      <c r="C26" s="174" t="s">
        <v>149</v>
      </c>
      <c r="D26" s="141" t="s">
        <v>110</v>
      </c>
      <c r="E26" s="141" t="s">
        <v>109</v>
      </c>
      <c r="F26" s="141" t="s">
        <v>110</v>
      </c>
      <c r="G26" s="151" t="s">
        <v>110</v>
      </c>
      <c r="H26" s="141" t="s">
        <v>110</v>
      </c>
      <c r="I26" s="141" t="s">
        <v>109</v>
      </c>
      <c r="J26" s="144" t="s">
        <v>110</v>
      </c>
      <c r="K26" s="144" t="s">
        <v>110</v>
      </c>
      <c r="L26" s="144" t="s">
        <v>110</v>
      </c>
      <c r="M26" s="141" t="s">
        <v>110</v>
      </c>
      <c r="N26" s="144" t="s">
        <v>110</v>
      </c>
      <c r="O26" s="141" t="s">
        <v>110</v>
      </c>
      <c r="P26" s="141" t="s">
        <v>110</v>
      </c>
      <c r="Q26" s="144" t="s">
        <v>110</v>
      </c>
      <c r="R26" s="141" t="s">
        <v>110</v>
      </c>
      <c r="S26" s="144" t="s">
        <v>110</v>
      </c>
      <c r="T26" s="141" t="s">
        <v>110</v>
      </c>
      <c r="U26" s="141" t="s">
        <v>110</v>
      </c>
      <c r="V26" s="141" t="s">
        <v>109</v>
      </c>
      <c r="W26" s="141" t="s">
        <v>109</v>
      </c>
      <c r="X26" s="144" t="s">
        <v>110</v>
      </c>
      <c r="Y26" s="141" t="s">
        <v>110</v>
      </c>
      <c r="Z26" s="141" t="s">
        <v>109</v>
      </c>
      <c r="AA26" s="141" t="s">
        <v>109</v>
      </c>
      <c r="AB26" s="144" t="s">
        <v>110</v>
      </c>
      <c r="AC26" s="1968" t="s">
        <v>109</v>
      </c>
      <c r="AD26" s="181" t="s">
        <v>110</v>
      </c>
      <c r="AE26" s="141" t="s">
        <v>110</v>
      </c>
      <c r="AF26" s="141" t="s">
        <v>109</v>
      </c>
      <c r="AG26" s="141" t="s">
        <v>110</v>
      </c>
      <c r="AH26" s="181" t="s">
        <v>110</v>
      </c>
      <c r="AI26" s="141" t="s">
        <v>110</v>
      </c>
      <c r="AJ26" s="141" t="s">
        <v>110</v>
      </c>
      <c r="AK26" s="141" t="s">
        <v>110</v>
      </c>
      <c r="AL26" s="144" t="s">
        <v>110</v>
      </c>
      <c r="AM26" s="141" t="s">
        <v>109</v>
      </c>
      <c r="AN26" s="141" t="s">
        <v>110</v>
      </c>
      <c r="AO26" s="144" t="s">
        <v>109</v>
      </c>
      <c r="AP26" s="141" t="s">
        <v>110</v>
      </c>
      <c r="AQ26" s="144" t="s">
        <v>110</v>
      </c>
      <c r="AR26" s="141" t="s">
        <v>110</v>
      </c>
      <c r="AS26" s="141" t="s">
        <v>117</v>
      </c>
      <c r="AT26" s="141" t="s">
        <v>110</v>
      </c>
      <c r="AU26" s="141" t="s">
        <v>110</v>
      </c>
      <c r="AV26" s="141" t="s">
        <v>110</v>
      </c>
      <c r="AW26" s="144" t="s">
        <v>110</v>
      </c>
      <c r="AX26" s="141"/>
    </row>
    <row r="27" ht="18.75" customHeight="1">
      <c r="A27" s="147"/>
      <c r="B27" s="115"/>
      <c r="C27" s="174" t="s">
        <v>1285</v>
      </c>
      <c r="D27" s="141" t="s">
        <v>110</v>
      </c>
      <c r="E27" s="141" t="s">
        <v>109</v>
      </c>
      <c r="F27" s="141" t="s">
        <v>110</v>
      </c>
      <c r="G27" s="151" t="s">
        <v>110</v>
      </c>
      <c r="H27" s="141" t="s">
        <v>110</v>
      </c>
      <c r="I27" s="141" t="s">
        <v>109</v>
      </c>
      <c r="J27" s="144" t="s">
        <v>110</v>
      </c>
      <c r="K27" s="144" t="s">
        <v>110</v>
      </c>
      <c r="L27" s="1979" t="s">
        <v>108</v>
      </c>
      <c r="M27" s="141" t="s">
        <v>110</v>
      </c>
      <c r="N27" s="144" t="s">
        <v>110</v>
      </c>
      <c r="O27" s="141" t="s">
        <v>110</v>
      </c>
      <c r="P27" s="141" t="s">
        <v>110</v>
      </c>
      <c r="Q27" s="144" t="s">
        <v>110</v>
      </c>
      <c r="R27" s="141" t="s">
        <v>110</v>
      </c>
      <c r="S27" s="144" t="s">
        <v>110</v>
      </c>
      <c r="T27" s="141" t="s">
        <v>110</v>
      </c>
      <c r="U27" s="141" t="s">
        <v>110</v>
      </c>
      <c r="V27" s="141" t="s">
        <v>109</v>
      </c>
      <c r="W27" s="141" t="s">
        <v>109</v>
      </c>
      <c r="X27" s="144" t="s">
        <v>110</v>
      </c>
      <c r="Y27" s="141" t="s">
        <v>110</v>
      </c>
      <c r="Z27" s="141" t="s">
        <v>109</v>
      </c>
      <c r="AA27" s="141" t="s">
        <v>109</v>
      </c>
      <c r="AB27" s="144" t="s">
        <v>110</v>
      </c>
      <c r="AC27" s="141" t="s">
        <v>109</v>
      </c>
      <c r="AD27" s="144" t="s">
        <v>110</v>
      </c>
      <c r="AE27" s="141" t="s">
        <v>110</v>
      </c>
      <c r="AF27" s="141" t="s">
        <v>109</v>
      </c>
      <c r="AG27" s="141" t="s">
        <v>110</v>
      </c>
      <c r="AH27" s="181" t="s">
        <v>110</v>
      </c>
      <c r="AI27" s="141" t="s">
        <v>110</v>
      </c>
      <c r="AJ27" s="141" t="s">
        <v>110</v>
      </c>
      <c r="AK27" s="141" t="s">
        <v>110</v>
      </c>
      <c r="AL27" s="144" t="s">
        <v>110</v>
      </c>
      <c r="AM27" s="141" t="s">
        <v>109</v>
      </c>
      <c r="AN27" s="141" t="s">
        <v>110</v>
      </c>
      <c r="AO27" s="144" t="s">
        <v>109</v>
      </c>
      <c r="AP27" s="141" t="s">
        <v>110</v>
      </c>
      <c r="AQ27" s="144" t="s">
        <v>110</v>
      </c>
      <c r="AR27" s="141" t="s">
        <v>110</v>
      </c>
      <c r="AS27" s="141" t="s">
        <v>117</v>
      </c>
      <c r="AT27" s="141" t="s">
        <v>110</v>
      </c>
      <c r="AU27" s="141" t="s">
        <v>110</v>
      </c>
      <c r="AV27" s="141" t="s">
        <v>110</v>
      </c>
      <c r="AW27" s="144" t="s">
        <v>110</v>
      </c>
      <c r="AX27" s="141"/>
    </row>
    <row r="28" ht="18.75" customHeight="1">
      <c r="A28" s="147"/>
      <c r="B28" s="1994" t="s">
        <v>449</v>
      </c>
      <c r="C28" s="1995" t="s">
        <v>154</v>
      </c>
      <c r="D28" s="141" t="s">
        <v>110</v>
      </c>
      <c r="E28" s="141" t="s">
        <v>109</v>
      </c>
      <c r="F28" s="141" t="s">
        <v>110</v>
      </c>
      <c r="G28" s="151" t="s">
        <v>108</v>
      </c>
      <c r="H28" s="141" t="s">
        <v>108</v>
      </c>
      <c r="I28" s="141" t="s">
        <v>108</v>
      </c>
      <c r="J28" s="144" t="s">
        <v>108</v>
      </c>
      <c r="K28" s="144" t="s">
        <v>108</v>
      </c>
      <c r="L28" s="144" t="s">
        <v>109</v>
      </c>
      <c r="M28" s="141" t="s">
        <v>108</v>
      </c>
      <c r="N28" s="144" t="s">
        <v>108</v>
      </c>
      <c r="O28" s="141" t="s">
        <v>109</v>
      </c>
      <c r="P28" s="141" t="s">
        <v>110</v>
      </c>
      <c r="Q28" s="144" t="s">
        <v>110</v>
      </c>
      <c r="R28" s="141" t="s">
        <v>108</v>
      </c>
      <c r="S28" s="144" t="s">
        <v>108</v>
      </c>
      <c r="T28" s="141" t="s">
        <v>108</v>
      </c>
      <c r="U28" s="141" t="s">
        <v>108</v>
      </c>
      <c r="V28" s="141" t="s">
        <v>108</v>
      </c>
      <c r="W28" s="141" t="s">
        <v>108</v>
      </c>
      <c r="X28" s="144" t="s">
        <v>108</v>
      </c>
      <c r="Y28" s="141" t="s">
        <v>109</v>
      </c>
      <c r="Z28" s="141" t="s">
        <v>110</v>
      </c>
      <c r="AA28" s="141" t="s">
        <v>110</v>
      </c>
      <c r="AB28" s="144" t="s">
        <v>110</v>
      </c>
      <c r="AC28" s="141" t="s">
        <v>109</v>
      </c>
      <c r="AD28" s="144" t="s">
        <v>110</v>
      </c>
      <c r="AE28" s="149" t="s">
        <v>108</v>
      </c>
      <c r="AF28" s="149" t="s">
        <v>108</v>
      </c>
      <c r="AG28" s="149" t="s">
        <v>108</v>
      </c>
      <c r="AH28" s="1970" t="s">
        <v>108</v>
      </c>
      <c r="AI28" s="141" t="s">
        <v>108</v>
      </c>
      <c r="AJ28" s="141" t="s">
        <v>108</v>
      </c>
      <c r="AK28" s="141" t="s">
        <v>108</v>
      </c>
      <c r="AL28" s="144" t="s">
        <v>108</v>
      </c>
      <c r="AM28" s="141" t="s">
        <v>110</v>
      </c>
      <c r="AN28" s="141" t="s">
        <v>117</v>
      </c>
      <c r="AO28" s="144" t="s">
        <v>110</v>
      </c>
      <c r="AP28" s="150" t="s">
        <v>108</v>
      </c>
      <c r="AQ28" s="1970" t="s">
        <v>108</v>
      </c>
      <c r="AR28" s="149" t="s">
        <v>108</v>
      </c>
      <c r="AS28" s="149" t="s">
        <v>108</v>
      </c>
      <c r="AT28" s="1971" t="s">
        <v>108</v>
      </c>
      <c r="AU28" s="149" t="s">
        <v>108</v>
      </c>
      <c r="AV28" s="149" t="s">
        <v>108</v>
      </c>
      <c r="AW28" s="1970" t="s">
        <v>108</v>
      </c>
      <c r="AX28" s="149"/>
    </row>
    <row r="29" ht="18.75" customHeight="1">
      <c r="A29" s="147"/>
      <c r="B29" s="115"/>
      <c r="C29" s="1996" t="s">
        <v>44</v>
      </c>
      <c r="D29" s="141" t="s">
        <v>108</v>
      </c>
      <c r="E29" s="141" t="s">
        <v>108</v>
      </c>
      <c r="F29" s="141" t="s">
        <v>108</v>
      </c>
      <c r="G29" s="151" t="s">
        <v>109</v>
      </c>
      <c r="H29" s="141" t="s">
        <v>110</v>
      </c>
      <c r="I29" s="141" t="s">
        <v>110</v>
      </c>
      <c r="J29" s="144" t="s">
        <v>110</v>
      </c>
      <c r="K29" s="144" t="s">
        <v>108</v>
      </c>
      <c r="L29" s="144" t="s">
        <v>110</v>
      </c>
      <c r="M29" s="141" t="s">
        <v>108</v>
      </c>
      <c r="N29" s="144" t="s">
        <v>108</v>
      </c>
      <c r="O29" s="141" t="s">
        <v>109</v>
      </c>
      <c r="P29" s="180" t="s">
        <v>110</v>
      </c>
      <c r="Q29" s="181" t="s">
        <v>110</v>
      </c>
      <c r="R29" s="141" t="s">
        <v>109</v>
      </c>
      <c r="S29" s="144" t="s">
        <v>109</v>
      </c>
      <c r="T29" s="141" t="s">
        <v>109</v>
      </c>
      <c r="U29" s="141" t="s">
        <v>109</v>
      </c>
      <c r="V29" s="141" t="s">
        <v>110</v>
      </c>
      <c r="W29" s="141" t="s">
        <v>110</v>
      </c>
      <c r="X29" s="144" t="s">
        <v>110</v>
      </c>
      <c r="Y29" s="141" t="s">
        <v>109</v>
      </c>
      <c r="Z29" s="141" t="s">
        <v>110</v>
      </c>
      <c r="AA29" s="141" t="s">
        <v>110</v>
      </c>
      <c r="AB29" s="144" t="s">
        <v>109</v>
      </c>
      <c r="AC29" s="1968" t="s">
        <v>109</v>
      </c>
      <c r="AD29" s="181" t="s">
        <v>110</v>
      </c>
      <c r="AE29" s="149" t="s">
        <v>108</v>
      </c>
      <c r="AF29" s="149" t="s">
        <v>108</v>
      </c>
      <c r="AG29" s="149" t="s">
        <v>108</v>
      </c>
      <c r="AH29" s="1970" t="s">
        <v>108</v>
      </c>
      <c r="AI29" s="141" t="s">
        <v>110</v>
      </c>
      <c r="AJ29" s="141" t="s">
        <v>109</v>
      </c>
      <c r="AK29" s="141" t="s">
        <v>110</v>
      </c>
      <c r="AL29" s="144" t="s">
        <v>109</v>
      </c>
      <c r="AM29" s="141" t="s">
        <v>110</v>
      </c>
      <c r="AN29" s="141" t="s">
        <v>109</v>
      </c>
      <c r="AO29" s="144" t="s">
        <v>110</v>
      </c>
      <c r="AP29" s="141" t="s">
        <v>109</v>
      </c>
      <c r="AQ29" s="144" t="s">
        <v>109</v>
      </c>
      <c r="AR29" s="149" t="s">
        <v>108</v>
      </c>
      <c r="AS29" s="149" t="s">
        <v>108</v>
      </c>
      <c r="AT29" s="1971" t="s">
        <v>108</v>
      </c>
      <c r="AU29" s="149" t="s">
        <v>108</v>
      </c>
      <c r="AV29" s="149" t="s">
        <v>108</v>
      </c>
      <c r="AW29" s="1970" t="s">
        <v>108</v>
      </c>
      <c r="AX29" s="149"/>
    </row>
    <row r="30" ht="18.75" customHeight="1">
      <c r="A30" s="147"/>
      <c r="B30" s="1997" t="s">
        <v>440</v>
      </c>
      <c r="C30" s="1998" t="s">
        <v>1271</v>
      </c>
      <c r="D30" s="141" t="s">
        <v>108</v>
      </c>
      <c r="E30" s="141" t="s">
        <v>108</v>
      </c>
      <c r="F30" s="141" t="s">
        <v>108</v>
      </c>
      <c r="G30" s="151" t="s">
        <v>110</v>
      </c>
      <c r="H30" s="141" t="s">
        <v>110</v>
      </c>
      <c r="I30" s="141" t="s">
        <v>110</v>
      </c>
      <c r="J30" s="144" t="s">
        <v>110</v>
      </c>
      <c r="K30" s="144" t="s">
        <v>109</v>
      </c>
      <c r="L30" s="1979" t="s">
        <v>108</v>
      </c>
      <c r="M30" s="141" t="s">
        <v>108</v>
      </c>
      <c r="N30" s="144" t="s">
        <v>108</v>
      </c>
      <c r="O30" s="141" t="s">
        <v>108</v>
      </c>
      <c r="P30" s="141" t="s">
        <v>110</v>
      </c>
      <c r="Q30" s="144" t="s">
        <v>110</v>
      </c>
      <c r="R30" s="141" t="s">
        <v>110</v>
      </c>
      <c r="S30" s="144" t="s">
        <v>110</v>
      </c>
      <c r="T30" s="141" t="s">
        <v>108</v>
      </c>
      <c r="U30" s="141" t="s">
        <v>108</v>
      </c>
      <c r="V30" s="141" t="s">
        <v>108</v>
      </c>
      <c r="W30" s="141" t="s">
        <v>108</v>
      </c>
      <c r="X30" s="144" t="s">
        <v>108</v>
      </c>
      <c r="Y30" s="145" t="s">
        <v>119</v>
      </c>
      <c r="Z30" s="145" t="s">
        <v>119</v>
      </c>
      <c r="AA30" s="145" t="s">
        <v>119</v>
      </c>
      <c r="AB30" s="1999" t="s">
        <v>119</v>
      </c>
      <c r="AC30" s="1977" t="s">
        <v>119</v>
      </c>
      <c r="AD30" s="2000" t="s">
        <v>119</v>
      </c>
      <c r="AE30" s="1977" t="s">
        <v>119</v>
      </c>
      <c r="AF30" s="1977" t="s">
        <v>119</v>
      </c>
      <c r="AG30" s="1977" t="s">
        <v>119</v>
      </c>
      <c r="AH30" s="2000" t="s">
        <v>119</v>
      </c>
      <c r="AI30" s="145" t="s">
        <v>119</v>
      </c>
      <c r="AJ30" s="145" t="s">
        <v>119</v>
      </c>
      <c r="AK30" s="145" t="s">
        <v>119</v>
      </c>
      <c r="AL30" s="1999" t="s">
        <v>119</v>
      </c>
      <c r="AM30" s="2001" t="s">
        <v>119</v>
      </c>
      <c r="AN30" s="1977" t="s">
        <v>119</v>
      </c>
      <c r="AO30" s="2000" t="s">
        <v>119</v>
      </c>
      <c r="AP30" s="2001" t="s">
        <v>119</v>
      </c>
      <c r="AQ30" s="2000" t="s">
        <v>119</v>
      </c>
      <c r="AR30" s="1977" t="s">
        <v>119</v>
      </c>
      <c r="AS30" s="1977" t="s">
        <v>119</v>
      </c>
      <c r="AT30" s="1977" t="s">
        <v>119</v>
      </c>
      <c r="AU30" s="1977" t="s">
        <v>119</v>
      </c>
      <c r="AV30" s="1977" t="s">
        <v>119</v>
      </c>
      <c r="AW30" s="2000" t="s">
        <v>119</v>
      </c>
      <c r="AX30" s="1977"/>
    </row>
    <row r="31" ht="18.75" customHeight="1">
      <c r="A31" s="147"/>
      <c r="B31" s="644"/>
      <c r="C31" s="2002" t="s">
        <v>114</v>
      </c>
      <c r="D31" s="145" t="s">
        <v>119</v>
      </c>
      <c r="E31" s="145" t="s">
        <v>119</v>
      </c>
      <c r="F31" s="145" t="s">
        <v>119</v>
      </c>
      <c r="G31" s="145" t="s">
        <v>119</v>
      </c>
      <c r="H31" s="145" t="s">
        <v>119</v>
      </c>
      <c r="I31" s="145" t="s">
        <v>119</v>
      </c>
      <c r="J31" s="145" t="s">
        <v>119</v>
      </c>
      <c r="K31" s="145" t="s">
        <v>119</v>
      </c>
      <c r="L31" s="145" t="s">
        <v>119</v>
      </c>
      <c r="M31" s="145" t="s">
        <v>119</v>
      </c>
      <c r="N31" s="145" t="s">
        <v>119</v>
      </c>
      <c r="O31" s="145" t="s">
        <v>119</v>
      </c>
      <c r="P31" s="145" t="s">
        <v>119</v>
      </c>
      <c r="Q31" s="145" t="s">
        <v>119</v>
      </c>
      <c r="R31" s="145" t="s">
        <v>119</v>
      </c>
      <c r="S31" s="145" t="s">
        <v>119</v>
      </c>
      <c r="T31" s="145" t="s">
        <v>119</v>
      </c>
      <c r="U31" s="145" t="s">
        <v>119</v>
      </c>
      <c r="V31" s="145" t="s">
        <v>119</v>
      </c>
      <c r="W31" s="145" t="s">
        <v>119</v>
      </c>
      <c r="X31" s="145" t="s">
        <v>119</v>
      </c>
      <c r="Y31" s="141" t="s">
        <v>108</v>
      </c>
      <c r="Z31" s="141" t="s">
        <v>108</v>
      </c>
      <c r="AA31" s="141" t="s">
        <v>108</v>
      </c>
      <c r="AB31" s="144" t="s">
        <v>108</v>
      </c>
      <c r="AC31" s="141" t="s">
        <v>109</v>
      </c>
      <c r="AD31" s="144" t="s">
        <v>110</v>
      </c>
      <c r="AE31" s="149" t="s">
        <v>108</v>
      </c>
      <c r="AF31" s="149" t="s">
        <v>108</v>
      </c>
      <c r="AG31" s="149" t="s">
        <v>108</v>
      </c>
      <c r="AH31" s="1970" t="s">
        <v>108</v>
      </c>
      <c r="AI31" s="141" t="s">
        <v>109</v>
      </c>
      <c r="AJ31" s="141" t="s">
        <v>110</v>
      </c>
      <c r="AK31" s="141" t="s">
        <v>110</v>
      </c>
      <c r="AL31" s="144" t="s">
        <v>110</v>
      </c>
      <c r="AM31" s="141" t="s">
        <v>110</v>
      </c>
      <c r="AN31" s="141" t="s">
        <v>110</v>
      </c>
      <c r="AO31" s="144" t="s">
        <v>109</v>
      </c>
      <c r="AP31" s="141" t="s">
        <v>110</v>
      </c>
      <c r="AQ31" s="144" t="s">
        <v>110</v>
      </c>
      <c r="AR31" s="141" t="s">
        <v>109</v>
      </c>
      <c r="AS31" s="141" t="s">
        <v>110</v>
      </c>
      <c r="AT31" s="141" t="s">
        <v>109</v>
      </c>
      <c r="AU31" s="141" t="s">
        <v>110</v>
      </c>
      <c r="AV31" s="141" t="s">
        <v>110</v>
      </c>
      <c r="AW31" s="144" t="s">
        <v>110</v>
      </c>
      <c r="AX31" s="141"/>
    </row>
    <row r="32" ht="18.75" customHeight="1">
      <c r="A32" s="147"/>
      <c r="B32" s="644"/>
      <c r="C32" s="2003" t="s">
        <v>107</v>
      </c>
      <c r="D32" s="141" t="s">
        <v>110</v>
      </c>
      <c r="E32" s="141" t="s">
        <v>109</v>
      </c>
      <c r="F32" s="141" t="s">
        <v>110</v>
      </c>
      <c r="G32" s="151" t="s">
        <v>110</v>
      </c>
      <c r="H32" s="141" t="s">
        <v>110</v>
      </c>
      <c r="I32" s="141" t="s">
        <v>110</v>
      </c>
      <c r="J32" s="144" t="s">
        <v>110</v>
      </c>
      <c r="K32" s="144" t="s">
        <v>109</v>
      </c>
      <c r="L32" s="144" t="s">
        <v>109</v>
      </c>
      <c r="M32" s="141" t="s">
        <v>108</v>
      </c>
      <c r="N32" s="144" t="s">
        <v>108</v>
      </c>
      <c r="O32" s="141" t="s">
        <v>108</v>
      </c>
      <c r="P32" s="141" t="s">
        <v>110</v>
      </c>
      <c r="Q32" s="144" t="s">
        <v>110</v>
      </c>
      <c r="R32" s="141" t="s">
        <v>108</v>
      </c>
      <c r="S32" s="144" t="s">
        <v>108</v>
      </c>
      <c r="T32" s="141" t="s">
        <v>110</v>
      </c>
      <c r="U32" s="141" t="s">
        <v>110</v>
      </c>
      <c r="V32" s="141" t="s">
        <v>110</v>
      </c>
      <c r="W32" s="141" t="s">
        <v>110</v>
      </c>
      <c r="X32" s="144" t="s">
        <v>110</v>
      </c>
      <c r="Y32" s="141" t="s">
        <v>110</v>
      </c>
      <c r="Z32" s="141" t="s">
        <v>110</v>
      </c>
      <c r="AA32" s="141" t="s">
        <v>109</v>
      </c>
      <c r="AB32" s="144" t="s">
        <v>117</v>
      </c>
      <c r="AC32" s="1968" t="s">
        <v>109</v>
      </c>
      <c r="AD32" s="181" t="s">
        <v>110</v>
      </c>
      <c r="AE32" s="1969" t="s">
        <v>110</v>
      </c>
      <c r="AF32" s="179" t="s">
        <v>109</v>
      </c>
      <c r="AG32" s="179" t="s">
        <v>109</v>
      </c>
      <c r="AH32" s="1982" t="s">
        <v>110</v>
      </c>
      <c r="AI32" s="141" t="s">
        <v>109</v>
      </c>
      <c r="AJ32" s="141" t="s">
        <v>110</v>
      </c>
      <c r="AK32" s="141" t="s">
        <v>110</v>
      </c>
      <c r="AL32" s="144" t="s">
        <v>110</v>
      </c>
      <c r="AM32" s="141" t="s">
        <v>110</v>
      </c>
      <c r="AN32" s="141" t="s">
        <v>110</v>
      </c>
      <c r="AO32" s="144" t="s">
        <v>109</v>
      </c>
      <c r="AP32" s="141" t="s">
        <v>110</v>
      </c>
      <c r="AQ32" s="144" t="s">
        <v>110</v>
      </c>
      <c r="AR32" s="141" t="s">
        <v>109</v>
      </c>
      <c r="AS32" s="141" t="s">
        <v>110</v>
      </c>
      <c r="AT32" s="141" t="s">
        <v>109</v>
      </c>
      <c r="AU32" s="141" t="s">
        <v>110</v>
      </c>
      <c r="AV32" s="141" t="s">
        <v>110</v>
      </c>
      <c r="AW32" s="144" t="s">
        <v>110</v>
      </c>
      <c r="AX32" s="141"/>
    </row>
    <row r="33" ht="18.75" customHeight="1">
      <c r="A33" s="147"/>
      <c r="B33" s="658"/>
      <c r="C33" s="2003" t="s">
        <v>115</v>
      </c>
      <c r="D33" s="141" t="s">
        <v>110</v>
      </c>
      <c r="E33" s="141" t="s">
        <v>109</v>
      </c>
      <c r="F33" s="141" t="s">
        <v>110</v>
      </c>
      <c r="G33" s="151" t="s">
        <v>110</v>
      </c>
      <c r="H33" s="141" t="s">
        <v>110</v>
      </c>
      <c r="I33" s="141" t="s">
        <v>110</v>
      </c>
      <c r="J33" s="144" t="s">
        <v>110</v>
      </c>
      <c r="K33" s="144" t="s">
        <v>108</v>
      </c>
      <c r="L33" s="144" t="s">
        <v>117</v>
      </c>
      <c r="M33" s="141" t="s">
        <v>108</v>
      </c>
      <c r="N33" s="144" t="s">
        <v>108</v>
      </c>
      <c r="O33" s="141" t="s">
        <v>108</v>
      </c>
      <c r="P33" s="141" t="s">
        <v>110</v>
      </c>
      <c r="Q33" s="144" t="s">
        <v>110</v>
      </c>
      <c r="R33" s="141" t="s">
        <v>108</v>
      </c>
      <c r="S33" s="144" t="s">
        <v>108</v>
      </c>
      <c r="T33" s="141" t="s">
        <v>110</v>
      </c>
      <c r="U33" s="141" t="s">
        <v>109</v>
      </c>
      <c r="V33" s="141" t="s">
        <v>110</v>
      </c>
      <c r="W33" s="141" t="s">
        <v>110</v>
      </c>
      <c r="X33" s="144" t="s">
        <v>110</v>
      </c>
      <c r="Y33" s="141" t="s">
        <v>108</v>
      </c>
      <c r="Z33" s="141" t="s">
        <v>108</v>
      </c>
      <c r="AA33" s="141" t="s">
        <v>108</v>
      </c>
      <c r="AB33" s="144" t="s">
        <v>108</v>
      </c>
      <c r="AC33" s="1968" t="s">
        <v>109</v>
      </c>
      <c r="AD33" s="181" t="s">
        <v>110</v>
      </c>
      <c r="AE33" s="149" t="s">
        <v>108</v>
      </c>
      <c r="AF33" s="149" t="s">
        <v>108</v>
      </c>
      <c r="AG33" s="149" t="s">
        <v>108</v>
      </c>
      <c r="AH33" s="1970" t="s">
        <v>108</v>
      </c>
      <c r="AI33" s="141" t="s">
        <v>109</v>
      </c>
      <c r="AJ33" s="141" t="s">
        <v>110</v>
      </c>
      <c r="AK33" s="141" t="s">
        <v>110</v>
      </c>
      <c r="AL33" s="144" t="s">
        <v>110</v>
      </c>
      <c r="AM33" s="141" t="s">
        <v>110</v>
      </c>
      <c r="AN33" s="141" t="s">
        <v>110</v>
      </c>
      <c r="AO33" s="144" t="s">
        <v>109</v>
      </c>
      <c r="AP33" s="141" t="s">
        <v>110</v>
      </c>
      <c r="AQ33" s="144" t="s">
        <v>110</v>
      </c>
      <c r="AR33" s="149" t="s">
        <v>108</v>
      </c>
      <c r="AS33" s="149" t="s">
        <v>108</v>
      </c>
      <c r="AT33" s="1971" t="s">
        <v>108</v>
      </c>
      <c r="AU33" s="149" t="s">
        <v>108</v>
      </c>
      <c r="AV33" s="149" t="s">
        <v>108</v>
      </c>
      <c r="AW33" s="1970" t="s">
        <v>108</v>
      </c>
      <c r="AX33" s="149"/>
    </row>
    <row r="34" ht="18.75" customHeight="1">
      <c r="A34" s="184"/>
      <c r="B34" s="185" t="s">
        <v>49</v>
      </c>
      <c r="C34" s="186" t="s">
        <v>50</v>
      </c>
      <c r="D34" s="141" t="s">
        <v>117</v>
      </c>
      <c r="E34" s="141" t="s">
        <v>109</v>
      </c>
      <c r="F34" s="141" t="s">
        <v>117</v>
      </c>
      <c r="G34" s="151" t="s">
        <v>117</v>
      </c>
      <c r="H34" s="188" t="s">
        <v>117</v>
      </c>
      <c r="I34" s="141" t="s">
        <v>117</v>
      </c>
      <c r="J34" s="144" t="s">
        <v>117</v>
      </c>
      <c r="K34" s="144" t="s">
        <v>108</v>
      </c>
      <c r="L34" s="1979" t="s">
        <v>108</v>
      </c>
      <c r="M34" s="141" t="s">
        <v>117</v>
      </c>
      <c r="N34" s="144" t="s">
        <v>117</v>
      </c>
      <c r="O34" s="141" t="s">
        <v>117</v>
      </c>
      <c r="P34" s="141" t="s">
        <v>117</v>
      </c>
      <c r="Q34" s="144" t="s">
        <v>117</v>
      </c>
      <c r="R34" s="141" t="s">
        <v>117</v>
      </c>
      <c r="S34" s="144" t="s">
        <v>117</v>
      </c>
      <c r="T34" s="141" t="s">
        <v>117</v>
      </c>
      <c r="U34" s="141" t="s">
        <v>117</v>
      </c>
      <c r="V34" s="141" t="s">
        <v>117</v>
      </c>
      <c r="W34" s="141" t="s">
        <v>117</v>
      </c>
      <c r="X34" s="144" t="s">
        <v>117</v>
      </c>
      <c r="Y34" s="141" t="s">
        <v>117</v>
      </c>
      <c r="Z34" s="141" t="s">
        <v>117</v>
      </c>
      <c r="AA34" s="141" t="s">
        <v>117</v>
      </c>
      <c r="AB34" s="144" t="s">
        <v>110</v>
      </c>
      <c r="AC34" s="2004" t="s">
        <v>108</v>
      </c>
      <c r="AD34" s="2005" t="s">
        <v>108</v>
      </c>
      <c r="AE34" s="141" t="s">
        <v>117</v>
      </c>
      <c r="AF34" s="141" t="s">
        <v>117</v>
      </c>
      <c r="AG34" s="141" t="s">
        <v>117</v>
      </c>
      <c r="AH34" s="144" t="s">
        <v>117</v>
      </c>
      <c r="AI34" s="141" t="s">
        <v>117</v>
      </c>
      <c r="AJ34" s="141" t="s">
        <v>117</v>
      </c>
      <c r="AK34" s="141" t="s">
        <v>110</v>
      </c>
      <c r="AL34" s="144" t="s">
        <v>117</v>
      </c>
      <c r="AM34" s="141" t="s">
        <v>117</v>
      </c>
      <c r="AN34" s="141" t="s">
        <v>117</v>
      </c>
      <c r="AO34" s="144" t="s">
        <v>117</v>
      </c>
      <c r="AP34" s="141" t="s">
        <v>117</v>
      </c>
      <c r="AQ34" s="144" t="s">
        <v>117</v>
      </c>
      <c r="AR34" s="141" t="s">
        <v>117</v>
      </c>
      <c r="AS34" s="141" t="s">
        <v>117</v>
      </c>
      <c r="AT34" s="141" t="s">
        <v>117</v>
      </c>
      <c r="AU34" s="141" t="s">
        <v>117</v>
      </c>
      <c r="AV34" s="141" t="s">
        <v>117</v>
      </c>
      <c r="AW34" s="144" t="s">
        <v>117</v>
      </c>
      <c r="AX34" s="141"/>
    </row>
    <row r="35" ht="11.25" customHeight="1">
      <c r="A35" s="191"/>
      <c r="B35" s="191"/>
      <c r="C35" s="191"/>
      <c r="D35" s="2006" t="str">
        <f t="shared" ref="D35:AW35" si="3">CONCATENATE("{""status"": ", IF(GT(D36, D37), """aangenomen""", """verworpen"""), ", ""title"": """, D5, """, ""url"": """,D22  , """, ""voor"":", D36,", ""tegen"": ", D37, ", ""onthouden"":", D38, "}")</f>
        <v>{"status": "aangenomen", "title": "M0126", "url": "https://www.reddit.com/r/RMTK/comments/e1jtyu/m0126_motie_tot_opzetten_stimuleringsfonds/", "voor":18, "tegen": 0, "onthouden":1}</v>
      </c>
      <c r="E35" s="2007" t="str">
        <f t="shared" si="3"/>
        <v>{"status": "verworpen", "title": "M0127", "url": "https://www.reddit.com/r/RMTK/comments/e208vb/m0127_motie_tot_verzoek_oorlogsverklaring/", "voor":1, "tegen": 18, "onthouden":0}</v>
      </c>
      <c r="F35" s="2007" t="str">
        <f t="shared" si="3"/>
        <v>{"status": "aangenomen", "title": "M0128", "url": "https://www.reddit.com/r/RMTK/comments/e2ztqm/m0128_motie_tot_een_ruimhartiger_asielbeleid/", "voor":18, "tegen": 0, "onthouden":1}</v>
      </c>
      <c r="G35" s="2007" t="str">
        <f t="shared" si="3"/>
        <v>{"status": "aangenomen", "title": "M0129", "url": "https://www.reddit.com/r/RMTK/comments/e4zuxw/m0129_motie_omtrent_het_opruimen_van_korrels_van/", "voor":17, "tegen": 2, "onthouden":1}</v>
      </c>
      <c r="H35" s="2008" t="str">
        <f t="shared" si="3"/>
        <v>{"status": "aangenomen", "title": "M0131", "url": "https://www.reddit.com/r/RMTK/comments/e5hzkw/m0131_motie_tot_het_instellen_van_een_meldplicht/", "voor":15, "tegen": 3, "onthouden":2}</v>
      </c>
      <c r="I35" s="2007" t="str">
        <f t="shared" si="3"/>
        <v>{"status": "aangenomen", "title": "W0054", "url": "https://www.reddit.com/r/RMTK/comments/e5znmk/w0054_grondwetswijziging_ter/", "voor":12, "tegen": 6, "onthouden":2}</v>
      </c>
      <c r="J35" s="2007" t="str">
        <f t="shared" si="3"/>
        <v>{"status": "aangenomen", "title": "W0055", "url": "https://www.reddit.com/r/RMTK/comments/e6gw21/w0055_wetswijziging_tot_het_uitbreiden_van_de/", "voor":17, "tegen": 0, "onthouden":3}</v>
      </c>
      <c r="K35" s="2007" t="str">
        <f t="shared" si="3"/>
        <v>{"status": "verworpen", "title": "W0056", "url": "https://www.reddit.com/r/RMTK/comments/e8pqs7/w0056_wijziging_van_de_algemene_ouderdomswet/", "voor":7, "tegen": 10, "onthouden":0}</v>
      </c>
      <c r="L35" s="2007" t="str">
        <f t="shared" si="3"/>
        <v>{"status": "verworpen", "title": "M0132", "url": "https://www.reddit.com/r/RMTK/comments/ecd9jh/m0132_motie_van_afkeuring_tegen_de_voorzitter/", "voor":5, "tegen": 12, "onthouden":2}</v>
      </c>
      <c r="M35" s="2007" t="str">
        <f t="shared" si="3"/>
        <v>{"status": "aangenomen", "title": "M0133", "url": "https://www.reddit.com/r/RMTK/comments/ecsj9d/m0133_motie_tot_erkenning_armeense_genocide/", "voor":11, "tegen": 0, "onthouden":2}</v>
      </c>
      <c r="N35" s="2007" t="str">
        <f t="shared" si="3"/>
        <v>{"status": "aangenomen", "title": "W0058", "url": "https://www.reddit.com/r/RMTK/comments/ecbver/w0058_wet_verkorting_uitkeringsduur_appa_2020/", "voor":12, "tegen": 0, "onthouden":1}</v>
      </c>
      <c r="O35" s="2007" t="str">
        <f t="shared" si="3"/>
        <v>{"status": "aangenomen", "title": "M0134", "url": "https://www.reddit.com/r/RMTK/comments/edxhs2/m0134_motie_tot_erkenning_van_de_genocide_op_de/", "voor":12, "tegen": 2, "onthouden":3}</v>
      </c>
      <c r="P35" s="2007" t="str">
        <f t="shared" si="3"/>
        <v>{"status": "aangenomen", "title": "W0057-I", "url": "https://www.reddit.com/r/RMTK/comments/eek1v9/w0057i_amendement_tot_wijziging_van_het/", "voor":11, "tegen": 10, "onthouden":1}</v>
      </c>
      <c r="Q35" s="2007" t="str">
        <f t="shared" si="3"/>
        <v>{"status": "aangenomen", "title": "W0059", "url": "https://www.reddit.com/r/RMTK/comments/efm3vz/w0059_wetsvoorstel_tot_budgettaire_begroting/", "voor":21, "tegen": 0, "onthouden":1}</v>
      </c>
      <c r="R35" s="2007" t="str">
        <f t="shared" si="3"/>
        <v>{"status": "aangenomen", "title": "W0060", "url": "https://www.reddit.com/r/RMTK/comments/eixzg8/w0060_wetswijziging_tot_verhoging_algemene/", "voor":15, "tegen": 1, "onthouden":1}</v>
      </c>
      <c r="S35" s="2007" t="str">
        <f t="shared" si="3"/>
        <v>{"status": "aangenomen", "title": "M0135", "url": "https://www.reddit.com/r/RMTK/comments/eixzgh/m0135_motie_tot_het_gratis_maken_van/", "voor":11, "tegen": 4, "onthouden":2}</v>
      </c>
      <c r="T35" s="2007" t="str">
        <f t="shared" si="3"/>
        <v>{"status": "aangenomen", "title": "W0061", "url": "https://www.reddit.com/r/RMTK/comments/em9c3k/w0061_rijkswet_afkondigings_en/", "voor":10, "tegen": 9, "onthouden":1}</v>
      </c>
      <c r="U35" s="2007" t="str">
        <f t="shared" si="3"/>
        <v>{"status": "aangenomen", "title": "M0136", "url": "https://www.reddit.com/r/RMTK/comments/emrfn7/m0136_motie_tot_terugtrekking_van_amerikaanse/", "voor":11, "tegen": 8, "onthouden":1}</v>
      </c>
      <c r="V35" s="2007" t="str">
        <f t="shared" si="3"/>
        <v>{"status": "aangenomen", "title": "W0062", "url": "https://www.reddit.com/r/RMTK/comments/eo3tv9/w0062_wet_tot_het_samenvoegen_van_de_rustwetten/", "voor":14, "tegen": 5, "onthouden":1}</v>
      </c>
      <c r="W35" s="2007" t="str">
        <f t="shared" si="3"/>
        <v>{"status": "aangenomen", "title": "W0063", "url": "https://www.reddit.com/r/RMTK/comments/eokzf9/w0063_wet_tot_oprichting_van_het/", "voor":14, "tegen": 5, "onthouden":1}</v>
      </c>
      <c r="X35" s="2007" t="str">
        <f t="shared" si="3"/>
        <v>{"status": "verworpen", "title": "W0057", "url": "https://www.reddit.com/r/RMTK/comments/epax7w/w0057_wetsvoorstel_tot_oprichting_van_het_erica/", "voor":8, "tegen": 11, "onthouden":1}</v>
      </c>
      <c r="Y35" s="2007" t="str">
        <f t="shared" si="3"/>
        <v>{"status": "aangenomen", "title": "M0137", "url": "https://www.reddit.com/r/RMTK/comments/ep21sj/m0137_motie_tot_het_goedkoper_maken_van_de/", "voor":13, "tegen": 2, "onthouden":1}</v>
      </c>
      <c r="Z35" s="2007" t="str">
        <f t="shared" si="3"/>
        <v>{"status": "verworpen", "title": "M0138", "url": "https://www.reddit.com/r/RMTK/comments/epj1fz/m0138_motie_tot_het_steunen_van_iraanse/", "voor":7, "tegen": 8, "onthouden":1}</v>
      </c>
      <c r="AA35" s="2007" t="str">
        <f t="shared" si="3"/>
        <v>{"status": "verworpen", "title": "M0139", "url": "https://www.reddit.com/r/RMTK/comments/epj1g9/m0139_motie_tot_verhoging_maximumsnelheid/", "voor":5, "tegen": 9, "onthouden":2}</v>
      </c>
      <c r="AB35" s="2007" t="str">
        <f t="shared" si="3"/>
        <v>{"status": "aangenomen", "title": "M0140", "url": "https://www.reddit.com/r/RMTK/comments/ercxen/m0140_motie_tot_het_behouden_van_het_friese/", "voor":8, "tegen": 6, "onthouden":2}</v>
      </c>
      <c r="AC35" s="2008" t="str">
        <f t="shared" si="3"/>
        <v>{"status": "verworpen", "title": "M0141", "url": "https://www.reddit.com/r/RMTK/comments/esblyw/m0141_motie_tot_verbreding_staatsieportret_van/", "voor":3, "tegen": 16, "onthouden":0}</v>
      </c>
      <c r="AD35" s="2008" t="str">
        <f t="shared" si="3"/>
        <v>{"status": "aangenomen", "title": "W0064", "url": "https://www.reddit.com/r/RMTK/comments/esssij/w0064_wet_gelijke_behandeling_op_grond_van/", "voor":19, "tegen": 0, "onthouden":0}</v>
      </c>
      <c r="AE35" s="2007" t="str">
        <f t="shared" si="3"/>
        <v>{"status": "aangenomen", "title": "W0066", "url": "https://www.reddit.com/r/RMTK/comments/ev5bje/w0066_wijziging_van_de_kernenergiewet_ter/", "voor":17, "tegen": 0, "onthouden":1}</v>
      </c>
      <c r="AF35" s="2007" t="str">
        <f t="shared" si="3"/>
        <v>{"status": "verworpen", "title": "W0065", "url": "https://www.reddit.com/r/RMTK/comments/evvxqc/w0065_wetswijziging_drank_en_horecawet/", "voor":8, "tegen": 9, "onthouden":1}</v>
      </c>
      <c r="AG35" s="2007" t="str">
        <f t="shared" si="3"/>
        <v>{"status": "aangenomen", "title": "W0067", "url": "https://www.reddit.com/r/RMTK/comments/ewnh2a/w0067_wetswijziging_afschaffing_verzwaarde/", "voor":9, "tegen": 8, "onthouden":1}</v>
      </c>
      <c r="AH35" s="2007" t="str">
        <f t="shared" si="3"/>
        <v>{"status": "aangenomen", "title": "W0068", "url": "https://www.reddit.com/r/RMTK/comments/ey660k/w0068_wijziging_van_de_algemene_rustwet_voor_de/", "voor":17, "tegen": 0, "onthouden":1}</v>
      </c>
      <c r="AI35" s="2007" t="str">
        <f t="shared" si="3"/>
        <v>{"status": "verworpen", "title": "W0069-I", "url": "https://www.reddit.com/r/RMTK/comments/f1hnca/w0069i_wetsvoorstel_tot_oprichting_van_het_alan/", "voor":8, "tegen": 12, "onthouden":1}</v>
      </c>
      <c r="AJ35" s="2007" t="str">
        <f t="shared" si="3"/>
        <v>{"status": "aangenomen", "title": "M0143", "url": "https://www.reddit.com/r/RMTK/comments/ez8jds/m0143_motie_tot_vestiging_nederlandse_ambassade/", "voor":16, "tegen": 3, "onthouden":2}</v>
      </c>
      <c r="AK35" s="2007" t="str">
        <f t="shared" si="3"/>
        <v>{"status": "aangenomen", "title": "M0144", "url": "https://www.reddit.com/r/RMTK/comments/ewsp2r/m0144_motie_tot_onderzoek_naar_de_mogelijkheid/", "voor":20, "tegen": 1, "onthouden":0}</v>
      </c>
      <c r="AL35" s="2007" t="str">
        <f t="shared" si="3"/>
        <v>{"status": "aangenomen", "title": "M0145", "url": "https://www.reddit.com/r/RMTK/comments/f1zkdu/m0145_motie_tot_het_oprichten_van_een_permanent/", "voor":16, "tegen": 4, "onthouden":1}</v>
      </c>
      <c r="AM35" s="2007" t="str">
        <f t="shared" si="3"/>
        <v>{"status": "aangenomen", "title": "W0069", "url": "https://www.reddit.com/r/RMTK/comments/ewsp33/w0069_wetsvoorstel_tot_oprichting_alan/", "voor":14, "tegen": 7, "onthouden":1}</v>
      </c>
      <c r="AN35" s="2007" t="str">
        <f t="shared" si="3"/>
        <v>{"status": "aangenomen", "title": "W0070", "url": "https://www.reddit.com/r/RMTK/comments/f58gig/w0070_voorstel_wet_derde_geslacht/", "voor":12, "tegen": 8, "onthouden":2}</v>
      </c>
      <c r="AO35" s="2007" t="str">
        <f t="shared" si="3"/>
        <v>{"status": "verworpen", "title": "W0071", "url": "https://www.reddit.com/r/RMTK/comments/f5rhvs/w0071_wet_op_de_kansspelen_2020/", "voor":10, "tegen": 11, "onthouden":1}</v>
      </c>
      <c r="AP35" s="2007" t="str">
        <f t="shared" si="3"/>
        <v>{"status": "aangenomen", "title": "M0146", "url": "https://www.reddit.com/r/RMTK/comments/f99ym2/m0146_motie_tot_negatief_reisadvies_naar/", "voor":12, "tegen": 3, "onthouden":4}</v>
      </c>
      <c r="AQ35" s="2007" t="str">
        <f t="shared" si="3"/>
        <v>{"status": "aangenomen", "title": "W0072", "url": "https://www.reddit.com/r/RMTK/comments/f71ubr/w0072_wet_tot_inkomensafhankelijke_regeling/", "voor":17, "tegen": 1, "onthouden":1}</v>
      </c>
      <c r="AR35" s="2007" t="str">
        <f t="shared" si="3"/>
        <v>{"status": "aangenomen", "title": "M0147", "url": "https://www.reddit.com/r/RMTK/comments/falkwf/m0146_motie_tot_het_afschaffen_van_de_permanente/", "voor":7, "tegen": 6, "onthouden":1}</v>
      </c>
      <c r="AS35" s="2007" t="str">
        <f t="shared" si="3"/>
        <v>{"status": "verworpen", "title": "M0148", "url": "https://www.reddit.com/r/RMTK/comments/fc37je/m0148_motie_tot_het_in_werking_doen_treden_van/", "voor":2, "tegen": 6, "onthouden":6}</v>
      </c>
      <c r="AT35" s="2007" t="str">
        <f t="shared" si="3"/>
        <v>{"status": "verworpen", "title": "W0072-I", "url": "https://www.reddit.com/r/RMTK/comments/fd455m/w0072i_amendement_tot_wijziging_van_w0072_wet_tot/", "voor":6, "tegen": 7, "onthouden":1}</v>
      </c>
      <c r="AU35" s="2007" t="str">
        <f t="shared" si="3"/>
        <v>{"status": "aangenomen", "title": "W0073", "url": "https://www.reddit.com/r/RMTK/comments/f9swuj/w0073_wet_tot_invoering_reinheitsgebot20/", "voor":10, "tegen": 1, "onthouden":3}</v>
      </c>
      <c r="AV35" s="2007" t="str">
        <f t="shared" si="3"/>
        <v>{"status": "aangenomen", "title": "W0073-I", "url": "https://www.reddit.com/r/RMTK/comments/fd455r/w0073i_amendement_tot_wijziging_van_het/", "voor":12, "tegen": 1, "onthouden":1}</v>
      </c>
      <c r="AW35" s="2009" t="str">
        <f t="shared" si="3"/>
        <v>{"status": "aangenomen", "title": "W0074", "url": "https://www.reddit.com/r/RMTK/comments/fcbr2f/w0074_wet_tot_invoeren_van_een_verplichte/", "voor":12, "tegen": 1, "onthouden":1}</v>
      </c>
      <c r="AX35" s="2010"/>
    </row>
    <row r="36" ht="18.0" customHeight="1">
      <c r="A36" s="199" t="s">
        <v>158</v>
      </c>
      <c r="B36" s="200" t="s">
        <v>110</v>
      </c>
      <c r="C36" s="44"/>
      <c r="D36" s="201">
        <f t="shared" ref="D36:AW36" si="4">COUNTIF(D5:D34,"Voor")</f>
        <v>18</v>
      </c>
      <c r="E36" s="201">
        <f t="shared" si="4"/>
        <v>1</v>
      </c>
      <c r="F36" s="201">
        <f t="shared" si="4"/>
        <v>18</v>
      </c>
      <c r="G36" s="201">
        <f t="shared" si="4"/>
        <v>17</v>
      </c>
      <c r="H36" s="203">
        <f t="shared" si="4"/>
        <v>15</v>
      </c>
      <c r="I36" s="201">
        <f t="shared" si="4"/>
        <v>12</v>
      </c>
      <c r="J36" s="201">
        <f t="shared" si="4"/>
        <v>17</v>
      </c>
      <c r="K36" s="201">
        <f t="shared" si="4"/>
        <v>7</v>
      </c>
      <c r="L36" s="201">
        <f t="shared" si="4"/>
        <v>5</v>
      </c>
      <c r="M36" s="201">
        <f t="shared" si="4"/>
        <v>11</v>
      </c>
      <c r="N36" s="201">
        <f t="shared" si="4"/>
        <v>12</v>
      </c>
      <c r="O36" s="201">
        <f t="shared" si="4"/>
        <v>12</v>
      </c>
      <c r="P36" s="201">
        <f t="shared" si="4"/>
        <v>11</v>
      </c>
      <c r="Q36" s="201">
        <f t="shared" si="4"/>
        <v>21</v>
      </c>
      <c r="R36" s="201">
        <f t="shared" si="4"/>
        <v>15</v>
      </c>
      <c r="S36" s="201">
        <f t="shared" si="4"/>
        <v>11</v>
      </c>
      <c r="T36" s="201">
        <f t="shared" si="4"/>
        <v>10</v>
      </c>
      <c r="U36" s="201">
        <f t="shared" si="4"/>
        <v>11</v>
      </c>
      <c r="V36" s="201">
        <f t="shared" si="4"/>
        <v>14</v>
      </c>
      <c r="W36" s="201">
        <f t="shared" si="4"/>
        <v>14</v>
      </c>
      <c r="X36" s="201">
        <f t="shared" si="4"/>
        <v>8</v>
      </c>
      <c r="Y36" s="201">
        <f t="shared" si="4"/>
        <v>13</v>
      </c>
      <c r="Z36" s="201">
        <f t="shared" si="4"/>
        <v>7</v>
      </c>
      <c r="AA36" s="201">
        <f t="shared" si="4"/>
        <v>5</v>
      </c>
      <c r="AB36" s="201">
        <f t="shared" si="4"/>
        <v>8</v>
      </c>
      <c r="AC36" s="201">
        <f t="shared" si="4"/>
        <v>3</v>
      </c>
      <c r="AD36" s="203">
        <f t="shared" si="4"/>
        <v>19</v>
      </c>
      <c r="AE36" s="201">
        <f t="shared" si="4"/>
        <v>17</v>
      </c>
      <c r="AF36" s="201">
        <f t="shared" si="4"/>
        <v>8</v>
      </c>
      <c r="AG36" s="201">
        <f t="shared" si="4"/>
        <v>9</v>
      </c>
      <c r="AH36" s="201">
        <f t="shared" si="4"/>
        <v>17</v>
      </c>
      <c r="AI36" s="201">
        <f t="shared" si="4"/>
        <v>8</v>
      </c>
      <c r="AJ36" s="201">
        <f t="shared" si="4"/>
        <v>16</v>
      </c>
      <c r="AK36" s="201">
        <f t="shared" si="4"/>
        <v>20</v>
      </c>
      <c r="AL36" s="201">
        <f t="shared" si="4"/>
        <v>16</v>
      </c>
      <c r="AM36" s="203">
        <f t="shared" si="4"/>
        <v>14</v>
      </c>
      <c r="AN36" s="201">
        <f t="shared" si="4"/>
        <v>12</v>
      </c>
      <c r="AO36" s="201">
        <f t="shared" si="4"/>
        <v>10</v>
      </c>
      <c r="AP36" s="203">
        <f t="shared" si="4"/>
        <v>12</v>
      </c>
      <c r="AQ36" s="203">
        <f t="shared" si="4"/>
        <v>17</v>
      </c>
      <c r="AR36" s="201">
        <f t="shared" si="4"/>
        <v>7</v>
      </c>
      <c r="AS36" s="201">
        <f t="shared" si="4"/>
        <v>2</v>
      </c>
      <c r="AT36" s="201">
        <f t="shared" si="4"/>
        <v>6</v>
      </c>
      <c r="AU36" s="203">
        <f t="shared" si="4"/>
        <v>10</v>
      </c>
      <c r="AV36" s="201">
        <f t="shared" si="4"/>
        <v>12</v>
      </c>
      <c r="AW36" s="201">
        <f t="shared" si="4"/>
        <v>12</v>
      </c>
      <c r="AX36" s="204"/>
    </row>
    <row r="37" ht="18.75" customHeight="1">
      <c r="A37" s="44"/>
      <c r="B37" s="205" t="s">
        <v>109</v>
      </c>
      <c r="C37" s="44"/>
      <c r="D37" s="206">
        <f t="shared" ref="D37:AW37" si="5">COUNTIF(D5:D34,"Tegen")</f>
        <v>0</v>
      </c>
      <c r="E37" s="206">
        <f t="shared" si="5"/>
        <v>18</v>
      </c>
      <c r="F37" s="206">
        <f t="shared" si="5"/>
        <v>0</v>
      </c>
      <c r="G37" s="206">
        <f t="shared" si="5"/>
        <v>2</v>
      </c>
      <c r="H37" s="208">
        <f t="shared" si="5"/>
        <v>3</v>
      </c>
      <c r="I37" s="206">
        <f t="shared" si="5"/>
        <v>6</v>
      </c>
      <c r="J37" s="206">
        <f t="shared" si="5"/>
        <v>0</v>
      </c>
      <c r="K37" s="206">
        <f t="shared" si="5"/>
        <v>10</v>
      </c>
      <c r="L37" s="206">
        <f t="shared" si="5"/>
        <v>12</v>
      </c>
      <c r="M37" s="206">
        <f t="shared" si="5"/>
        <v>0</v>
      </c>
      <c r="N37" s="206">
        <f t="shared" si="5"/>
        <v>0</v>
      </c>
      <c r="O37" s="206">
        <f t="shared" si="5"/>
        <v>2</v>
      </c>
      <c r="P37" s="206">
        <f t="shared" si="5"/>
        <v>10</v>
      </c>
      <c r="Q37" s="206">
        <f t="shared" si="5"/>
        <v>0</v>
      </c>
      <c r="R37" s="206">
        <f t="shared" si="5"/>
        <v>1</v>
      </c>
      <c r="S37" s="206">
        <f t="shared" si="5"/>
        <v>4</v>
      </c>
      <c r="T37" s="206">
        <f t="shared" si="5"/>
        <v>9</v>
      </c>
      <c r="U37" s="206">
        <f t="shared" si="5"/>
        <v>8</v>
      </c>
      <c r="V37" s="206">
        <f t="shared" si="5"/>
        <v>5</v>
      </c>
      <c r="W37" s="206">
        <f t="shared" si="5"/>
        <v>5</v>
      </c>
      <c r="X37" s="206">
        <f t="shared" si="5"/>
        <v>11</v>
      </c>
      <c r="Y37" s="206">
        <f t="shared" si="5"/>
        <v>2</v>
      </c>
      <c r="Z37" s="206">
        <f t="shared" si="5"/>
        <v>8</v>
      </c>
      <c r="AA37" s="206">
        <f t="shared" si="5"/>
        <v>9</v>
      </c>
      <c r="AB37" s="206">
        <f t="shared" si="5"/>
        <v>6</v>
      </c>
      <c r="AC37" s="206">
        <f t="shared" si="5"/>
        <v>16</v>
      </c>
      <c r="AD37" s="208">
        <f t="shared" si="5"/>
        <v>0</v>
      </c>
      <c r="AE37" s="206">
        <f t="shared" si="5"/>
        <v>0</v>
      </c>
      <c r="AF37" s="206">
        <f t="shared" si="5"/>
        <v>9</v>
      </c>
      <c r="AG37" s="206">
        <f t="shared" si="5"/>
        <v>8</v>
      </c>
      <c r="AH37" s="206">
        <f t="shared" si="5"/>
        <v>0</v>
      </c>
      <c r="AI37" s="206">
        <f t="shared" si="5"/>
        <v>12</v>
      </c>
      <c r="AJ37" s="206">
        <f t="shared" si="5"/>
        <v>3</v>
      </c>
      <c r="AK37" s="206">
        <f t="shared" si="5"/>
        <v>1</v>
      </c>
      <c r="AL37" s="206">
        <f t="shared" si="5"/>
        <v>4</v>
      </c>
      <c r="AM37" s="208">
        <f t="shared" si="5"/>
        <v>7</v>
      </c>
      <c r="AN37" s="206">
        <f t="shared" si="5"/>
        <v>8</v>
      </c>
      <c r="AO37" s="206">
        <f t="shared" si="5"/>
        <v>11</v>
      </c>
      <c r="AP37" s="208">
        <f t="shared" si="5"/>
        <v>3</v>
      </c>
      <c r="AQ37" s="208">
        <f t="shared" si="5"/>
        <v>1</v>
      </c>
      <c r="AR37" s="206">
        <f t="shared" si="5"/>
        <v>6</v>
      </c>
      <c r="AS37" s="206">
        <f t="shared" si="5"/>
        <v>6</v>
      </c>
      <c r="AT37" s="206">
        <f t="shared" si="5"/>
        <v>7</v>
      </c>
      <c r="AU37" s="208">
        <f t="shared" si="5"/>
        <v>1</v>
      </c>
      <c r="AV37" s="206">
        <f t="shared" si="5"/>
        <v>1</v>
      </c>
      <c r="AW37" s="206">
        <f t="shared" si="5"/>
        <v>1</v>
      </c>
      <c r="AX37" s="209"/>
    </row>
    <row r="38" ht="18.75" customHeight="1">
      <c r="A38" s="44"/>
      <c r="B38" s="210" t="s">
        <v>159</v>
      </c>
      <c r="C38" s="44"/>
      <c r="D38" s="211">
        <f t="shared" ref="D38:AW38" si="6">COUNTIF(D5:D34,"SO")</f>
        <v>1</v>
      </c>
      <c r="E38" s="211">
        <f t="shared" si="6"/>
        <v>0</v>
      </c>
      <c r="F38" s="211">
        <f t="shared" si="6"/>
        <v>1</v>
      </c>
      <c r="G38" s="211">
        <f t="shared" si="6"/>
        <v>1</v>
      </c>
      <c r="H38" s="213">
        <f t="shared" si="6"/>
        <v>2</v>
      </c>
      <c r="I38" s="211">
        <f t="shared" si="6"/>
        <v>2</v>
      </c>
      <c r="J38" s="211">
        <f t="shared" si="6"/>
        <v>3</v>
      </c>
      <c r="K38" s="211">
        <f t="shared" si="6"/>
        <v>0</v>
      </c>
      <c r="L38" s="211">
        <f t="shared" si="6"/>
        <v>2</v>
      </c>
      <c r="M38" s="211">
        <f t="shared" si="6"/>
        <v>2</v>
      </c>
      <c r="N38" s="211">
        <f t="shared" si="6"/>
        <v>1</v>
      </c>
      <c r="O38" s="211">
        <f t="shared" si="6"/>
        <v>3</v>
      </c>
      <c r="P38" s="211">
        <f t="shared" si="6"/>
        <v>1</v>
      </c>
      <c r="Q38" s="211">
        <f t="shared" si="6"/>
        <v>1</v>
      </c>
      <c r="R38" s="211">
        <f t="shared" si="6"/>
        <v>1</v>
      </c>
      <c r="S38" s="211">
        <f t="shared" si="6"/>
        <v>2</v>
      </c>
      <c r="T38" s="211">
        <f t="shared" si="6"/>
        <v>1</v>
      </c>
      <c r="U38" s="211">
        <f t="shared" si="6"/>
        <v>1</v>
      </c>
      <c r="V38" s="211">
        <f t="shared" si="6"/>
        <v>1</v>
      </c>
      <c r="W38" s="211">
        <f t="shared" si="6"/>
        <v>1</v>
      </c>
      <c r="X38" s="211">
        <f t="shared" si="6"/>
        <v>1</v>
      </c>
      <c r="Y38" s="211">
        <f t="shared" si="6"/>
        <v>1</v>
      </c>
      <c r="Z38" s="211">
        <f t="shared" si="6"/>
        <v>1</v>
      </c>
      <c r="AA38" s="211">
        <f t="shared" si="6"/>
        <v>2</v>
      </c>
      <c r="AB38" s="211">
        <f t="shared" si="6"/>
        <v>2</v>
      </c>
      <c r="AC38" s="211">
        <f t="shared" si="6"/>
        <v>0</v>
      </c>
      <c r="AD38" s="213">
        <f t="shared" si="6"/>
        <v>0</v>
      </c>
      <c r="AE38" s="211">
        <f t="shared" si="6"/>
        <v>1</v>
      </c>
      <c r="AF38" s="211">
        <f t="shared" si="6"/>
        <v>1</v>
      </c>
      <c r="AG38" s="211">
        <f t="shared" si="6"/>
        <v>1</v>
      </c>
      <c r="AH38" s="211">
        <f t="shared" si="6"/>
        <v>1</v>
      </c>
      <c r="AI38" s="211">
        <f t="shared" si="6"/>
        <v>1</v>
      </c>
      <c r="AJ38" s="211">
        <f t="shared" si="6"/>
        <v>2</v>
      </c>
      <c r="AK38" s="211">
        <f t="shared" si="6"/>
        <v>0</v>
      </c>
      <c r="AL38" s="211">
        <f t="shared" si="6"/>
        <v>1</v>
      </c>
      <c r="AM38" s="213">
        <f t="shared" si="6"/>
        <v>1</v>
      </c>
      <c r="AN38" s="211">
        <f t="shared" si="6"/>
        <v>2</v>
      </c>
      <c r="AO38" s="211">
        <f t="shared" si="6"/>
        <v>1</v>
      </c>
      <c r="AP38" s="213">
        <f t="shared" si="6"/>
        <v>4</v>
      </c>
      <c r="AQ38" s="213">
        <f t="shared" si="6"/>
        <v>1</v>
      </c>
      <c r="AR38" s="211">
        <f t="shared" si="6"/>
        <v>1</v>
      </c>
      <c r="AS38" s="211">
        <f t="shared" si="6"/>
        <v>6</v>
      </c>
      <c r="AT38" s="211">
        <f t="shared" si="6"/>
        <v>1</v>
      </c>
      <c r="AU38" s="213">
        <f t="shared" si="6"/>
        <v>3</v>
      </c>
      <c r="AV38" s="211">
        <f t="shared" si="6"/>
        <v>1</v>
      </c>
      <c r="AW38" s="211">
        <f t="shared" si="6"/>
        <v>1</v>
      </c>
      <c r="AX38" s="214"/>
    </row>
    <row r="39" ht="18.75" customHeight="1">
      <c r="A39" s="44"/>
      <c r="B39" s="215" t="s">
        <v>160</v>
      </c>
      <c r="C39" s="44"/>
      <c r="D39" s="216">
        <f t="shared" ref="D39:AW39" si="7">COUNTIF(D5:D34,"NG")</f>
        <v>6</v>
      </c>
      <c r="E39" s="216">
        <f t="shared" si="7"/>
        <v>6</v>
      </c>
      <c r="F39" s="216">
        <f t="shared" si="7"/>
        <v>6</v>
      </c>
      <c r="G39" s="216">
        <f t="shared" si="7"/>
        <v>5</v>
      </c>
      <c r="H39" s="218">
        <f t="shared" si="7"/>
        <v>5</v>
      </c>
      <c r="I39" s="216">
        <f t="shared" si="7"/>
        <v>5</v>
      </c>
      <c r="J39" s="216">
        <f t="shared" si="7"/>
        <v>5</v>
      </c>
      <c r="K39" s="216">
        <f t="shared" si="7"/>
        <v>8</v>
      </c>
      <c r="L39" s="216">
        <f t="shared" si="7"/>
        <v>6</v>
      </c>
      <c r="M39" s="216">
        <f t="shared" si="7"/>
        <v>12</v>
      </c>
      <c r="N39" s="216">
        <f t="shared" si="7"/>
        <v>12</v>
      </c>
      <c r="O39" s="216">
        <f t="shared" si="7"/>
        <v>8</v>
      </c>
      <c r="P39" s="216">
        <f t="shared" si="7"/>
        <v>3</v>
      </c>
      <c r="Q39" s="216">
        <f t="shared" si="7"/>
        <v>3</v>
      </c>
      <c r="R39" s="216">
        <f t="shared" si="7"/>
        <v>8</v>
      </c>
      <c r="S39" s="216">
        <f t="shared" si="7"/>
        <v>8</v>
      </c>
      <c r="T39" s="216">
        <f t="shared" si="7"/>
        <v>5</v>
      </c>
      <c r="U39" s="216">
        <f t="shared" si="7"/>
        <v>5</v>
      </c>
      <c r="V39" s="216">
        <f t="shared" si="7"/>
        <v>5</v>
      </c>
      <c r="W39" s="216">
        <f t="shared" si="7"/>
        <v>5</v>
      </c>
      <c r="X39" s="216">
        <f t="shared" si="7"/>
        <v>5</v>
      </c>
      <c r="Y39" s="216">
        <f t="shared" si="7"/>
        <v>9</v>
      </c>
      <c r="Z39" s="216">
        <f t="shared" si="7"/>
        <v>9</v>
      </c>
      <c r="AA39" s="216">
        <f t="shared" si="7"/>
        <v>9</v>
      </c>
      <c r="AB39" s="216">
        <f t="shared" si="7"/>
        <v>9</v>
      </c>
      <c r="AC39" s="216">
        <f t="shared" si="7"/>
        <v>6</v>
      </c>
      <c r="AD39" s="218">
        <f t="shared" si="7"/>
        <v>6</v>
      </c>
      <c r="AE39" s="216">
        <f t="shared" si="7"/>
        <v>7</v>
      </c>
      <c r="AF39" s="216">
        <f t="shared" si="7"/>
        <v>7</v>
      </c>
      <c r="AG39" s="216">
        <f t="shared" si="7"/>
        <v>7</v>
      </c>
      <c r="AH39" s="216">
        <f t="shared" si="7"/>
        <v>7</v>
      </c>
      <c r="AI39" s="216">
        <f t="shared" si="7"/>
        <v>4</v>
      </c>
      <c r="AJ39" s="216">
        <f t="shared" si="7"/>
        <v>4</v>
      </c>
      <c r="AK39" s="216">
        <f t="shared" si="7"/>
        <v>4</v>
      </c>
      <c r="AL39" s="216">
        <f t="shared" si="7"/>
        <v>4</v>
      </c>
      <c r="AM39" s="218">
        <f t="shared" si="7"/>
        <v>3</v>
      </c>
      <c r="AN39" s="216">
        <f t="shared" si="7"/>
        <v>3</v>
      </c>
      <c r="AO39" s="216">
        <f t="shared" si="7"/>
        <v>3</v>
      </c>
      <c r="AP39" s="218">
        <f t="shared" si="7"/>
        <v>6</v>
      </c>
      <c r="AQ39" s="218">
        <f t="shared" si="7"/>
        <v>6</v>
      </c>
      <c r="AR39" s="216">
        <f t="shared" si="7"/>
        <v>11</v>
      </c>
      <c r="AS39" s="216">
        <f t="shared" si="7"/>
        <v>11</v>
      </c>
      <c r="AT39" s="216">
        <f t="shared" si="7"/>
        <v>11</v>
      </c>
      <c r="AU39" s="218">
        <f t="shared" si="7"/>
        <v>11</v>
      </c>
      <c r="AV39" s="216">
        <f t="shared" si="7"/>
        <v>11</v>
      </c>
      <c r="AW39" s="216">
        <f t="shared" si="7"/>
        <v>11</v>
      </c>
      <c r="AX39" s="219"/>
    </row>
    <row r="40" ht="18.75" customHeight="1">
      <c r="A40" s="44"/>
      <c r="B40" s="220" t="s">
        <v>161</v>
      </c>
      <c r="C40" s="44"/>
      <c r="D40" s="221">
        <f t="shared" ref="D40:AW40" si="8">SUM(D36:D39)</f>
        <v>25</v>
      </c>
      <c r="E40" s="221">
        <f t="shared" si="8"/>
        <v>25</v>
      </c>
      <c r="F40" s="221">
        <f t="shared" si="8"/>
        <v>25</v>
      </c>
      <c r="G40" s="221">
        <f t="shared" si="8"/>
        <v>25</v>
      </c>
      <c r="H40" s="223">
        <f t="shared" si="8"/>
        <v>25</v>
      </c>
      <c r="I40" s="221">
        <f t="shared" si="8"/>
        <v>25</v>
      </c>
      <c r="J40" s="221">
        <f t="shared" si="8"/>
        <v>25</v>
      </c>
      <c r="K40" s="221">
        <f t="shared" si="8"/>
        <v>25</v>
      </c>
      <c r="L40" s="221">
        <f t="shared" si="8"/>
        <v>25</v>
      </c>
      <c r="M40" s="221">
        <f t="shared" si="8"/>
        <v>25</v>
      </c>
      <c r="N40" s="221">
        <f t="shared" si="8"/>
        <v>25</v>
      </c>
      <c r="O40" s="221">
        <f t="shared" si="8"/>
        <v>25</v>
      </c>
      <c r="P40" s="221">
        <f t="shared" si="8"/>
        <v>25</v>
      </c>
      <c r="Q40" s="221">
        <f t="shared" si="8"/>
        <v>25</v>
      </c>
      <c r="R40" s="221">
        <f t="shared" si="8"/>
        <v>25</v>
      </c>
      <c r="S40" s="221">
        <f t="shared" si="8"/>
        <v>25</v>
      </c>
      <c r="T40" s="221">
        <f t="shared" si="8"/>
        <v>25</v>
      </c>
      <c r="U40" s="221">
        <f t="shared" si="8"/>
        <v>25</v>
      </c>
      <c r="V40" s="221">
        <f t="shared" si="8"/>
        <v>25</v>
      </c>
      <c r="W40" s="221">
        <f t="shared" si="8"/>
        <v>25</v>
      </c>
      <c r="X40" s="221">
        <f t="shared" si="8"/>
        <v>25</v>
      </c>
      <c r="Y40" s="221">
        <f t="shared" si="8"/>
        <v>25</v>
      </c>
      <c r="Z40" s="221">
        <f t="shared" si="8"/>
        <v>25</v>
      </c>
      <c r="AA40" s="221">
        <f t="shared" si="8"/>
        <v>25</v>
      </c>
      <c r="AB40" s="221">
        <f t="shared" si="8"/>
        <v>25</v>
      </c>
      <c r="AC40" s="221">
        <f t="shared" si="8"/>
        <v>25</v>
      </c>
      <c r="AD40" s="223">
        <f t="shared" si="8"/>
        <v>25</v>
      </c>
      <c r="AE40" s="221">
        <f t="shared" si="8"/>
        <v>25</v>
      </c>
      <c r="AF40" s="221">
        <f t="shared" si="8"/>
        <v>25</v>
      </c>
      <c r="AG40" s="221">
        <f t="shared" si="8"/>
        <v>25</v>
      </c>
      <c r="AH40" s="221">
        <f t="shared" si="8"/>
        <v>25</v>
      </c>
      <c r="AI40" s="221">
        <f t="shared" si="8"/>
        <v>25</v>
      </c>
      <c r="AJ40" s="221">
        <f t="shared" si="8"/>
        <v>25</v>
      </c>
      <c r="AK40" s="221">
        <f t="shared" si="8"/>
        <v>25</v>
      </c>
      <c r="AL40" s="221">
        <f t="shared" si="8"/>
        <v>25</v>
      </c>
      <c r="AM40" s="223">
        <f t="shared" si="8"/>
        <v>25</v>
      </c>
      <c r="AN40" s="221">
        <f t="shared" si="8"/>
        <v>25</v>
      </c>
      <c r="AO40" s="221">
        <f t="shared" si="8"/>
        <v>25</v>
      </c>
      <c r="AP40" s="223">
        <f t="shared" si="8"/>
        <v>25</v>
      </c>
      <c r="AQ40" s="223">
        <f t="shared" si="8"/>
        <v>25</v>
      </c>
      <c r="AR40" s="221">
        <f t="shared" si="8"/>
        <v>25</v>
      </c>
      <c r="AS40" s="221">
        <f t="shared" si="8"/>
        <v>25</v>
      </c>
      <c r="AT40" s="221">
        <f t="shared" si="8"/>
        <v>25</v>
      </c>
      <c r="AU40" s="223">
        <f t="shared" si="8"/>
        <v>25</v>
      </c>
      <c r="AV40" s="221">
        <f t="shared" si="8"/>
        <v>25</v>
      </c>
      <c r="AW40" s="221">
        <f t="shared" si="8"/>
        <v>25</v>
      </c>
      <c r="AX40" s="224"/>
    </row>
    <row r="41" ht="18.75" customHeight="1">
      <c r="A41" s="44"/>
      <c r="B41" s="225" t="s">
        <v>162</v>
      </c>
      <c r="C41" s="44"/>
      <c r="D41" s="226">
        <f t="shared" ref="D41:AW41" si="9">D36+D37+D38</f>
        <v>19</v>
      </c>
      <c r="E41" s="226">
        <f t="shared" si="9"/>
        <v>19</v>
      </c>
      <c r="F41" s="226">
        <f t="shared" si="9"/>
        <v>19</v>
      </c>
      <c r="G41" s="226">
        <f t="shared" si="9"/>
        <v>20</v>
      </c>
      <c r="H41" s="228">
        <f t="shared" si="9"/>
        <v>20</v>
      </c>
      <c r="I41" s="226">
        <f t="shared" si="9"/>
        <v>20</v>
      </c>
      <c r="J41" s="226">
        <f t="shared" si="9"/>
        <v>20</v>
      </c>
      <c r="K41" s="226">
        <f t="shared" si="9"/>
        <v>17</v>
      </c>
      <c r="L41" s="226">
        <f t="shared" si="9"/>
        <v>19</v>
      </c>
      <c r="M41" s="226">
        <f t="shared" si="9"/>
        <v>13</v>
      </c>
      <c r="N41" s="226">
        <f t="shared" si="9"/>
        <v>13</v>
      </c>
      <c r="O41" s="226">
        <f t="shared" si="9"/>
        <v>17</v>
      </c>
      <c r="P41" s="226">
        <f t="shared" si="9"/>
        <v>22</v>
      </c>
      <c r="Q41" s="226">
        <f t="shared" si="9"/>
        <v>22</v>
      </c>
      <c r="R41" s="226">
        <f t="shared" si="9"/>
        <v>17</v>
      </c>
      <c r="S41" s="226">
        <f t="shared" si="9"/>
        <v>17</v>
      </c>
      <c r="T41" s="226">
        <f t="shared" si="9"/>
        <v>20</v>
      </c>
      <c r="U41" s="226">
        <f t="shared" si="9"/>
        <v>20</v>
      </c>
      <c r="V41" s="226">
        <f t="shared" si="9"/>
        <v>20</v>
      </c>
      <c r="W41" s="226">
        <f t="shared" si="9"/>
        <v>20</v>
      </c>
      <c r="X41" s="226">
        <f t="shared" si="9"/>
        <v>20</v>
      </c>
      <c r="Y41" s="226">
        <f t="shared" si="9"/>
        <v>16</v>
      </c>
      <c r="Z41" s="226">
        <f t="shared" si="9"/>
        <v>16</v>
      </c>
      <c r="AA41" s="226">
        <f t="shared" si="9"/>
        <v>16</v>
      </c>
      <c r="AB41" s="226">
        <f t="shared" si="9"/>
        <v>16</v>
      </c>
      <c r="AC41" s="226">
        <f t="shared" si="9"/>
        <v>19</v>
      </c>
      <c r="AD41" s="228">
        <f t="shared" si="9"/>
        <v>19</v>
      </c>
      <c r="AE41" s="226">
        <f t="shared" si="9"/>
        <v>18</v>
      </c>
      <c r="AF41" s="226">
        <f t="shared" si="9"/>
        <v>18</v>
      </c>
      <c r="AG41" s="226">
        <f t="shared" si="9"/>
        <v>18</v>
      </c>
      <c r="AH41" s="226">
        <f t="shared" si="9"/>
        <v>18</v>
      </c>
      <c r="AI41" s="226">
        <f t="shared" si="9"/>
        <v>21</v>
      </c>
      <c r="AJ41" s="226">
        <f t="shared" si="9"/>
        <v>21</v>
      </c>
      <c r="AK41" s="226">
        <f t="shared" si="9"/>
        <v>21</v>
      </c>
      <c r="AL41" s="226">
        <f t="shared" si="9"/>
        <v>21</v>
      </c>
      <c r="AM41" s="228">
        <f t="shared" si="9"/>
        <v>22</v>
      </c>
      <c r="AN41" s="226">
        <f t="shared" si="9"/>
        <v>22</v>
      </c>
      <c r="AO41" s="226">
        <f t="shared" si="9"/>
        <v>22</v>
      </c>
      <c r="AP41" s="228">
        <f t="shared" si="9"/>
        <v>19</v>
      </c>
      <c r="AQ41" s="228">
        <f t="shared" si="9"/>
        <v>19</v>
      </c>
      <c r="AR41" s="226">
        <f t="shared" si="9"/>
        <v>14</v>
      </c>
      <c r="AS41" s="226">
        <f t="shared" si="9"/>
        <v>14</v>
      </c>
      <c r="AT41" s="226">
        <f t="shared" si="9"/>
        <v>14</v>
      </c>
      <c r="AU41" s="228">
        <f t="shared" si="9"/>
        <v>14</v>
      </c>
      <c r="AV41" s="226">
        <f t="shared" si="9"/>
        <v>14</v>
      </c>
      <c r="AW41" s="226">
        <f t="shared" si="9"/>
        <v>14</v>
      </c>
      <c r="AX41" s="229"/>
    </row>
    <row r="42" ht="18.75" customHeight="1">
      <c r="A42" s="230"/>
      <c r="B42" s="231" t="s">
        <v>163</v>
      </c>
      <c r="C42" s="230"/>
      <c r="D42" s="232">
        <f t="shared" ref="D42:AW42" si="10">IFERROR(D41/D40,"")</f>
        <v>0.76</v>
      </c>
      <c r="E42" s="232">
        <f t="shared" si="10"/>
        <v>0.76</v>
      </c>
      <c r="F42" s="232">
        <f t="shared" si="10"/>
        <v>0.76</v>
      </c>
      <c r="G42" s="232">
        <f t="shared" si="10"/>
        <v>0.8</v>
      </c>
      <c r="H42" s="234">
        <f t="shared" si="10"/>
        <v>0.8</v>
      </c>
      <c r="I42" s="232">
        <f t="shared" si="10"/>
        <v>0.8</v>
      </c>
      <c r="J42" s="232">
        <f t="shared" si="10"/>
        <v>0.8</v>
      </c>
      <c r="K42" s="232">
        <f t="shared" si="10"/>
        <v>0.68</v>
      </c>
      <c r="L42" s="232">
        <f t="shared" si="10"/>
        <v>0.76</v>
      </c>
      <c r="M42" s="232">
        <f t="shared" si="10"/>
        <v>0.52</v>
      </c>
      <c r="N42" s="232">
        <f t="shared" si="10"/>
        <v>0.52</v>
      </c>
      <c r="O42" s="232">
        <f t="shared" si="10"/>
        <v>0.68</v>
      </c>
      <c r="P42" s="232">
        <f t="shared" si="10"/>
        <v>0.88</v>
      </c>
      <c r="Q42" s="232">
        <f t="shared" si="10"/>
        <v>0.88</v>
      </c>
      <c r="R42" s="232">
        <f t="shared" si="10"/>
        <v>0.68</v>
      </c>
      <c r="S42" s="232">
        <f t="shared" si="10"/>
        <v>0.68</v>
      </c>
      <c r="T42" s="232">
        <f t="shared" si="10"/>
        <v>0.8</v>
      </c>
      <c r="U42" s="232">
        <f t="shared" si="10"/>
        <v>0.8</v>
      </c>
      <c r="V42" s="232">
        <f t="shared" si="10"/>
        <v>0.8</v>
      </c>
      <c r="W42" s="232">
        <f t="shared" si="10"/>
        <v>0.8</v>
      </c>
      <c r="X42" s="232">
        <f t="shared" si="10"/>
        <v>0.8</v>
      </c>
      <c r="Y42" s="232">
        <f t="shared" si="10"/>
        <v>0.64</v>
      </c>
      <c r="Z42" s="232">
        <f t="shared" si="10"/>
        <v>0.64</v>
      </c>
      <c r="AA42" s="232">
        <f t="shared" si="10"/>
        <v>0.64</v>
      </c>
      <c r="AB42" s="232">
        <f t="shared" si="10"/>
        <v>0.64</v>
      </c>
      <c r="AC42" s="232">
        <f t="shared" si="10"/>
        <v>0.76</v>
      </c>
      <c r="AD42" s="234">
        <f t="shared" si="10"/>
        <v>0.76</v>
      </c>
      <c r="AE42" s="232">
        <f t="shared" si="10"/>
        <v>0.72</v>
      </c>
      <c r="AF42" s="232">
        <f t="shared" si="10"/>
        <v>0.72</v>
      </c>
      <c r="AG42" s="232">
        <f t="shared" si="10"/>
        <v>0.72</v>
      </c>
      <c r="AH42" s="232">
        <f t="shared" si="10"/>
        <v>0.72</v>
      </c>
      <c r="AI42" s="232">
        <f t="shared" si="10"/>
        <v>0.84</v>
      </c>
      <c r="AJ42" s="232">
        <f t="shared" si="10"/>
        <v>0.84</v>
      </c>
      <c r="AK42" s="232">
        <f t="shared" si="10"/>
        <v>0.84</v>
      </c>
      <c r="AL42" s="232">
        <f t="shared" si="10"/>
        <v>0.84</v>
      </c>
      <c r="AM42" s="234">
        <f t="shared" si="10"/>
        <v>0.88</v>
      </c>
      <c r="AN42" s="232">
        <f t="shared" si="10"/>
        <v>0.88</v>
      </c>
      <c r="AO42" s="232">
        <f t="shared" si="10"/>
        <v>0.88</v>
      </c>
      <c r="AP42" s="234">
        <f t="shared" si="10"/>
        <v>0.76</v>
      </c>
      <c r="AQ42" s="234">
        <f t="shared" si="10"/>
        <v>0.76</v>
      </c>
      <c r="AR42" s="232">
        <f t="shared" si="10"/>
        <v>0.56</v>
      </c>
      <c r="AS42" s="232">
        <f t="shared" si="10"/>
        <v>0.56</v>
      </c>
      <c r="AT42" s="232">
        <f t="shared" si="10"/>
        <v>0.56</v>
      </c>
      <c r="AU42" s="234">
        <f t="shared" si="10"/>
        <v>0.56</v>
      </c>
      <c r="AV42" s="232">
        <f t="shared" si="10"/>
        <v>0.56</v>
      </c>
      <c r="AW42" s="232">
        <f t="shared" si="10"/>
        <v>0.56</v>
      </c>
      <c r="AX42" s="2011"/>
    </row>
  </sheetData>
  <mergeCells count="19">
    <mergeCell ref="B18:B21"/>
    <mergeCell ref="B23:B27"/>
    <mergeCell ref="A2:C2"/>
    <mergeCell ref="D2:AW4"/>
    <mergeCell ref="A3:C4"/>
    <mergeCell ref="A7:A21"/>
    <mergeCell ref="B7:B9"/>
    <mergeCell ref="B10:B17"/>
    <mergeCell ref="A23:A34"/>
    <mergeCell ref="B40:C40"/>
    <mergeCell ref="B41:C41"/>
    <mergeCell ref="B28:B29"/>
    <mergeCell ref="B30:B33"/>
    <mergeCell ref="A36:A42"/>
    <mergeCell ref="B36:C36"/>
    <mergeCell ref="B37:C37"/>
    <mergeCell ref="B38:C38"/>
    <mergeCell ref="B39:C39"/>
    <mergeCell ref="B42:C42"/>
  </mergeCells>
  <conditionalFormatting sqref="A3 B23:B24">
    <cfRule type="containsText" dxfId="0" priority="1" operator="containsText" text="voor">
      <formula>NOT(ISERROR(SEARCH(("voor"),(A3))))</formula>
    </cfRule>
  </conditionalFormatting>
  <conditionalFormatting sqref="A3 B23:B24">
    <cfRule type="containsText" dxfId="1" priority="2" operator="containsText" text="tegen">
      <formula>NOT(ISERROR(SEARCH(("tegen"),(A3))))</formula>
    </cfRule>
  </conditionalFormatting>
  <conditionalFormatting sqref="C7:C17 D7:F34 G7:AY21 B23:B27 C23:C29 G23:AY34">
    <cfRule type="containsText" dxfId="2" priority="3" operator="containsText" text="SO">
      <formula>NOT(ISERROR(SEARCH(("SO"),(C7))))</formula>
    </cfRule>
  </conditionalFormatting>
  <conditionalFormatting sqref="A3 C7:C17 D7:F34 G7:AY21 B23:B27 C23:C29 G23:AY34">
    <cfRule type="containsText" dxfId="3" priority="4" operator="containsText" text="tegen">
      <formula>NOT(ISERROR(SEARCH(("tegen"),(A3))))</formula>
    </cfRule>
  </conditionalFormatting>
  <conditionalFormatting sqref="C7:C17 D7:F34 G7:AY21 B23:B27 C23:C29 G23:AY34">
    <cfRule type="containsText" dxfId="4" priority="5" operator="containsText" text="voor">
      <formula>NOT(ISERROR(SEARCH(("voor"),(C7))))</formula>
    </cfRule>
  </conditionalFormatting>
  <conditionalFormatting sqref="C7:C17 D7:F34 G7:AY21 B23:B27 C23:C29 G23:AY34">
    <cfRule type="cellIs" dxfId="5" priority="6" operator="equal">
      <formula>"NG"</formula>
    </cfRule>
  </conditionalFormatting>
  <conditionalFormatting sqref="C7:C17 D7:F34 G7:AY21 B23:B27 C23:C29 G23:AY34">
    <cfRule type="containsText" dxfId="6" priority="7" operator="containsText" text="NVT">
      <formula>NOT(ISERROR(SEARCH(("NVT"),(C7))))</formula>
    </cfRule>
  </conditionalFormatting>
  <hyperlinks>
    <hyperlink r:id="rId1" ref="I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4125"/>
    <outlinePr summaryBelow="0" summaryRight="0"/>
  </sheetPr>
  <sheetViews>
    <sheetView workbookViewId="0">
      <pane xSplit="3.0" ySplit="6.0" topLeftCell="D7" activePane="bottomRight" state="frozen"/>
      <selection activeCell="D1" sqref="D1" pane="topRight"/>
      <selection activeCell="A7" sqref="A7" pane="bottomLeft"/>
      <selection activeCell="D7" sqref="D7" pane="bottomRight"/>
    </sheetView>
  </sheetViews>
  <sheetFormatPr customHeight="1" defaultColWidth="14.43" defaultRowHeight="15.75"/>
  <cols>
    <col customWidth="1" min="1" max="1" width="10.86"/>
    <col customWidth="1" min="2" max="2" width="11.0"/>
    <col customWidth="1" min="3" max="3" width="26.29"/>
  </cols>
  <sheetData>
    <row r="1" ht="18.75" customHeight="1">
      <c r="A1" s="104"/>
      <c r="B1" s="105"/>
      <c r="C1" s="105"/>
      <c r="D1" s="105"/>
      <c r="E1" s="105"/>
      <c r="F1" s="105"/>
      <c r="G1" s="105"/>
      <c r="H1" s="105"/>
      <c r="I1" s="105"/>
      <c r="J1" s="105"/>
      <c r="K1" s="105"/>
      <c r="L1" s="105"/>
      <c r="M1" s="105"/>
      <c r="N1" s="105"/>
      <c r="O1" s="105"/>
      <c r="P1" s="105"/>
      <c r="Q1" s="105"/>
      <c r="R1" s="105"/>
      <c r="S1" s="105"/>
      <c r="T1" s="105"/>
      <c r="U1" s="105"/>
      <c r="V1" s="105"/>
      <c r="W1" s="105"/>
      <c r="X1" s="105"/>
      <c r="Y1" s="105"/>
      <c r="Z1" s="105"/>
      <c r="AA1" s="105"/>
      <c r="AB1" s="105"/>
      <c r="AC1" s="105"/>
      <c r="AD1" s="105"/>
      <c r="AE1" s="105"/>
      <c r="AF1" s="105"/>
      <c r="AG1" s="105"/>
      <c r="AH1" s="105"/>
      <c r="AI1" s="105"/>
      <c r="AJ1" s="105"/>
      <c r="AK1" s="105"/>
      <c r="AL1" s="105"/>
      <c r="AM1" s="105"/>
      <c r="AN1" s="105"/>
      <c r="AO1" s="105"/>
      <c r="AP1" s="105"/>
      <c r="AQ1" s="105"/>
      <c r="AR1" s="105"/>
      <c r="AS1" s="105"/>
      <c r="AT1" s="105"/>
      <c r="AU1" s="105"/>
      <c r="AV1" s="105"/>
      <c r="AW1" s="105"/>
      <c r="AX1" s="105"/>
      <c r="AY1" s="105"/>
      <c r="AZ1" s="105"/>
      <c r="BA1" s="105"/>
      <c r="BB1" s="106"/>
      <c r="BC1" s="106"/>
      <c r="BD1" s="107"/>
      <c r="BE1" s="106"/>
      <c r="BF1" s="106"/>
      <c r="BG1" s="106"/>
      <c r="BH1" s="106"/>
      <c r="BI1" s="106"/>
      <c r="BJ1" s="106"/>
      <c r="BK1" s="106"/>
      <c r="BL1" s="106"/>
      <c r="BM1" s="106"/>
      <c r="BN1" s="106"/>
      <c r="BO1" s="106"/>
      <c r="BP1" s="106"/>
      <c r="BQ1" s="106"/>
      <c r="BR1" s="106"/>
    </row>
    <row r="2" ht="18.75" customHeight="1">
      <c r="A2" s="108" t="s">
        <v>70</v>
      </c>
      <c r="B2" s="109"/>
      <c r="C2" s="110"/>
      <c r="D2" s="111" t="s">
        <v>71</v>
      </c>
      <c r="E2" s="112"/>
      <c r="F2" s="112"/>
      <c r="G2" s="112"/>
      <c r="H2" s="112"/>
      <c r="I2" s="112"/>
      <c r="J2" s="112"/>
      <c r="K2" s="112"/>
      <c r="L2" s="112"/>
      <c r="M2" s="112"/>
      <c r="N2" s="112"/>
      <c r="O2" s="112"/>
      <c r="P2" s="112"/>
      <c r="Q2" s="112"/>
      <c r="R2" s="112"/>
      <c r="S2" s="112"/>
      <c r="T2" s="112"/>
      <c r="U2" s="112"/>
      <c r="V2" s="112"/>
      <c r="W2" s="112"/>
      <c r="X2" s="112"/>
      <c r="Y2" s="112"/>
      <c r="Z2" s="112"/>
      <c r="AA2" s="112"/>
      <c r="AB2" s="112"/>
      <c r="AC2" s="112"/>
      <c r="AD2" s="112"/>
      <c r="AE2" s="112"/>
      <c r="AF2" s="112"/>
      <c r="AG2" s="112"/>
      <c r="AH2" s="112"/>
      <c r="AI2" s="112"/>
      <c r="AJ2" s="112"/>
      <c r="AK2" s="112"/>
      <c r="AL2" s="112"/>
      <c r="AM2" s="112"/>
      <c r="AN2" s="112"/>
      <c r="AO2" s="112"/>
      <c r="AP2" s="112"/>
      <c r="AQ2" s="112"/>
      <c r="AR2" s="112"/>
      <c r="AS2" s="112"/>
      <c r="AT2" s="112"/>
      <c r="AU2" s="112"/>
      <c r="AV2" s="112"/>
      <c r="AW2" s="112"/>
      <c r="AX2" s="112"/>
      <c r="AY2" s="112"/>
      <c r="AZ2" s="112"/>
      <c r="BA2" s="112"/>
      <c r="BB2" s="112"/>
      <c r="BC2" s="112"/>
      <c r="BD2" s="112"/>
      <c r="BE2" s="112"/>
      <c r="BF2" s="112"/>
      <c r="BG2" s="112"/>
      <c r="BH2" s="112"/>
      <c r="BI2" s="112"/>
      <c r="BJ2" s="112"/>
      <c r="BK2" s="112"/>
      <c r="BL2" s="112"/>
      <c r="BM2" s="112"/>
      <c r="BN2" s="112"/>
      <c r="BO2" s="112"/>
      <c r="BP2" s="112"/>
      <c r="BQ2" s="20"/>
      <c r="BR2" s="113"/>
    </row>
    <row r="3" ht="18.75" customHeight="1">
      <c r="A3" s="114" t="s">
        <v>72</v>
      </c>
      <c r="C3" s="115"/>
      <c r="D3" s="43"/>
      <c r="BQ3" s="44"/>
      <c r="BR3" s="113"/>
    </row>
    <row r="4" ht="18.75" customHeight="1">
      <c r="C4" s="115"/>
      <c r="D4" s="116" t="s">
        <v>73</v>
      </c>
      <c r="E4" s="16"/>
      <c r="F4" s="16"/>
      <c r="G4" s="16"/>
      <c r="H4" s="16"/>
      <c r="I4" s="17"/>
      <c r="J4" s="116" t="s">
        <v>74</v>
      </c>
      <c r="K4" s="16"/>
      <c r="L4" s="16"/>
      <c r="M4" s="16"/>
      <c r="N4" s="16"/>
      <c r="O4" s="17"/>
      <c r="P4" s="117" t="s">
        <v>75</v>
      </c>
      <c r="Q4" s="16"/>
      <c r="R4" s="16"/>
      <c r="S4" s="16"/>
      <c r="T4" s="16"/>
      <c r="U4" s="16"/>
      <c r="V4" s="16"/>
      <c r="W4" s="118"/>
      <c r="X4" s="117" t="s">
        <v>76</v>
      </c>
      <c r="Y4" s="16"/>
      <c r="Z4" s="16"/>
      <c r="AA4" s="16"/>
      <c r="AB4" s="16"/>
      <c r="AC4" s="16"/>
      <c r="AD4" s="118"/>
      <c r="AE4" s="117" t="s">
        <v>77</v>
      </c>
      <c r="AF4" s="16"/>
      <c r="AG4" s="16"/>
      <c r="AH4" s="16"/>
      <c r="AI4" s="16"/>
      <c r="AJ4" s="16"/>
      <c r="AK4" s="16"/>
      <c r="AL4" s="16"/>
      <c r="AM4" s="118"/>
      <c r="AN4" s="117" t="s">
        <v>78</v>
      </c>
      <c r="AO4" s="16"/>
      <c r="AP4" s="16"/>
      <c r="AQ4" s="16"/>
      <c r="AR4" s="16"/>
      <c r="AS4" s="16"/>
      <c r="AT4" s="16"/>
      <c r="AU4" s="16"/>
      <c r="AV4" s="118"/>
      <c r="AW4" s="117" t="s">
        <v>79</v>
      </c>
      <c r="AX4" s="16"/>
      <c r="AY4" s="16"/>
      <c r="AZ4" s="16"/>
      <c r="BA4" s="16"/>
      <c r="BB4" s="16"/>
      <c r="BC4" s="118"/>
      <c r="BD4" s="119" t="s">
        <v>80</v>
      </c>
      <c r="BE4" s="16"/>
      <c r="BF4" s="16"/>
      <c r="BG4" s="16"/>
      <c r="BH4" s="16"/>
      <c r="BI4" s="16"/>
      <c r="BJ4" s="16"/>
      <c r="BK4" s="16"/>
      <c r="BL4" s="16"/>
      <c r="BM4" s="16"/>
      <c r="BN4" s="16"/>
      <c r="BO4" s="16"/>
      <c r="BP4" s="16"/>
      <c r="BQ4" s="118"/>
      <c r="BR4" s="120" t="s">
        <v>81</v>
      </c>
    </row>
    <row r="5" ht="18.75" customHeight="1">
      <c r="A5" s="121" t="s">
        <v>82</v>
      </c>
      <c r="B5" s="122" t="s">
        <v>83</v>
      </c>
      <c r="C5" s="123" t="s">
        <v>84</v>
      </c>
      <c r="D5" s="124" t="str">
        <f>HYPERLINK("https://reddit.com/r/RMTK/comments/ftq0uh","M0149")</f>
        <v>M0149</v>
      </c>
      <c r="E5" s="124" t="str">
        <f>HYPERLINK("https://reddit.com/r/RMTK/comments/fu5pcf","M0150")</f>
        <v>M0150</v>
      </c>
      <c r="F5" s="124" t="str">
        <f>HYPERLINK("https://reddit.com/r/RMTK/comments/frul6g","W0075")</f>
        <v>W0075</v>
      </c>
      <c r="G5" s="124" t="str">
        <f>HYPERLINK("https://reddit.com/r/RMTK/comments/ft3no2","W0077")</f>
        <v>W0077</v>
      </c>
      <c r="H5" s="124" t="str">
        <f>HYPERLINK("https://reddit.com/r/RMTK/comments/fur4rn","W0078")</f>
        <v>W0078</v>
      </c>
      <c r="I5" s="125" t="str">
        <f>HYPERLINK("https://www.reddit.com/r/RMTK/comments/fyhsvd/stemming_tweede_kamer_over_m0163/","M0163")</f>
        <v>M0163</v>
      </c>
      <c r="J5" s="126" t="str">
        <f>HYPERLINK("https://reddit.com/r/RMTK/comments/fvw34y","M0152")</f>
        <v>M0152</v>
      </c>
      <c r="K5" s="126" t="str">
        <f>HYPERLINK("https://reddit.com/r/RMTK/comments/fx3ttl","M0153")</f>
        <v>M0153</v>
      </c>
      <c r="L5" s="126" t="str">
        <f>HYPERLINK("https://reddit.com/r/RMTK/comments/fwa1h8","M0154")</f>
        <v>M0154</v>
      </c>
      <c r="M5" s="126" t="str">
        <f>HYPERLINK("https://reddit.com/r/RMTK/comments/fz9q6d","W0076-I")</f>
        <v>W0076-I</v>
      </c>
      <c r="N5" s="126" t="str">
        <f>HYPERLINK("https://reddit.com/r/RMTK/comments/fwhw8q","W0079")</f>
        <v>W0079</v>
      </c>
      <c r="O5" s="126" t="str">
        <f>HYPERLINK("https://reddit.com/r/RMTK/comments/fx3ttg","W0080")</f>
        <v>W0080</v>
      </c>
      <c r="P5" s="126" t="str">
        <f>HYPERLINK("https://www.reddit.com/r/RMTK/comments/fxpsug/m0155_motie_tot_hernoeming_flevoland_of_lelystad/","M0155")</f>
        <v>M0155</v>
      </c>
      <c r="Q5" s="126" t="str">
        <f>HYPERLINK("https://www.reddit.com/r/RMTK/comments/fxhwmu/m0156_motie_tot_jaarlijkse_cursus/","M0156")</f>
        <v>M0156</v>
      </c>
      <c r="R5" s="126" t="str">
        <f>HYPERLINK("https://www.reddit.com/r/RMTK/comments/fz3pfj/m0157_motie_tot_spelende_kinderen_blij_maken/","M0157")</f>
        <v>M0157</v>
      </c>
      <c r="S5" s="126" t="str">
        <f>HYPERLINK("https://www.reddit.com/r/RMTK/comments/g0km1j/m0158_motie_tot_versoepelen_rijwetgeving/","M0158")</f>
        <v>M0158</v>
      </c>
      <c r="T5" s="126" t="str">
        <f>HYPERLINK("https://www.reddit.com/r/RMTK/comments/fsgnao/w0076_vaststelling_van_de_begrotingsstaat_van_het/","W0076")</f>
        <v>W0076</v>
      </c>
      <c r="U5" s="126" t="str">
        <f>HYPERLINK("https://www.reddit.com/r/RMTK/comments/g4o0o2/w0081i_amendement_tot_wijziging_van_de_wet_op/","W0081-I")</f>
        <v>W0081-I</v>
      </c>
      <c r="V5" s="124" t="str">
        <f>HYPERLINK("https://www.reddit.com/r/RMTK/comments/g10sdl/w0082_wet_btwverhoging_vleesproducten_en/","W0082")</f>
        <v>W0082</v>
      </c>
      <c r="W5" s="124" t="str">
        <f>HYPERLINK("https://www.reddit.com/r/RMTK/comments/g4ud01/w0084i_amendement_tot_wijziging_van_de_vlootwet/","W0084-I")</f>
        <v>W0084-I</v>
      </c>
      <c r="X5" s="124" t="str">
        <f>HYPERLINK("https://www.reddit.com/r/RMTK/comments/g188en/m0159_motie_tot_uitleg_politieke_stromingen_in/","M0159")</f>
        <v>M0159</v>
      </c>
      <c r="Y5" s="124" t="str">
        <f>HYPERLINK("https://www.reddit.com/r/RMTK/comments/g188dx/m0160_motie_tot_erkenning_van_taiwan_als/","M0160")</f>
        <v>M0160</v>
      </c>
      <c r="Z5" s="124" t="str">
        <f>HYPERLINK("https://www.reddit.com/r/RMTK/comments/g2gjt7/m0161_motie_tot_verhoging_salaris_militairen/","M0161")</f>
        <v>M0161</v>
      </c>
      <c r="AA5" s="124" t="str">
        <f>HYPERLINK("https://www.reddit.com/r/RMTK/comments/gbfml1/w0081_wijziging_van_de_wet_op_het_voortgezet/","W0081")</f>
        <v>W0081</v>
      </c>
      <c r="AB5" s="124" t="str">
        <f>HYPERLINK("https://www.reddit.com/r/RMTK/comments/g1mxke/w0083_wetswijziging_ter_afschaffing_automatisch/","W0083")</f>
        <v>W0083</v>
      </c>
      <c r="AC5" s="124" t="str">
        <f>HYPERLINK("https://www.reddit.com/r/RMTK/comments/g2bf4w/w0084_vlootwet_2020/","W0084")</f>
        <v>W0084</v>
      </c>
      <c r="AD5" s="124" t="str">
        <f>HYPERLINK("https://www.reddit.com/r/RMTK/comments/g3jxay/w0085_wetswijziging_van_de_wet_op_de_kansspelen/","W0085")</f>
        <v>W0085</v>
      </c>
      <c r="AE5" s="124" t="str">
        <f>HYPERLINK("https://reddit.com/r/RMTK/comments/g3pugv","M0162")</f>
        <v>M0162</v>
      </c>
      <c r="AF5" s="124" t="str">
        <f>HYPERLINK("https://reddit.com/r/RMTK/comments/g5eso7","M0164")</f>
        <v>M0164</v>
      </c>
      <c r="AG5" s="124" t="str">
        <f>HYPERLINK("https://reddit.com/r/RMTK/comments/g5wgvo","M0165")</f>
        <v>M0165</v>
      </c>
      <c r="AH5" s="124" t="str">
        <f>HYPERLINK("https://reddit.com/r/RMTK/comments/g6m9by","M0166")</f>
        <v>M0166</v>
      </c>
      <c r="AI5" s="124" t="str">
        <f>HYPERLINK("https://reddit.com/r/RMTK/comments/gdb6s1","M0178")</f>
        <v>M0178</v>
      </c>
      <c r="AJ5" s="124" t="str">
        <f>HYPERLINK("https://reddit.com/r/RMTK/comments/g5aglx","W0086")</f>
        <v>W0086</v>
      </c>
      <c r="AK5" s="124" t="str">
        <f>HYPERLINK("https://reddit.com/r/RMTK/comments/g60qgw","W0087")</f>
        <v>W0087</v>
      </c>
      <c r="AL5" s="124" t="str">
        <f>HYPERLINK("https://reddit.com/r/RMTK/comments/gehwkg","W0090")</f>
        <v>W0090</v>
      </c>
      <c r="AM5" s="124" t="str">
        <f>HYPERLINK("https://reddit.com/r/RMTK/comments/gc4mq7","W088-I")</f>
        <v>W088-I</v>
      </c>
      <c r="AN5" s="124" t="str">
        <f>(HYPERLINK("https://www.reddit.com/r/RMTK/comments/g7t5gv/m0167_motie_tot_verbieden_participatieverklaring/", "M0167"))</f>
        <v>M0167</v>
      </c>
      <c r="AO5" s="124" t="str">
        <f>HYPERLINK("https://www.reddit.com/r/RMTK/comments/g9mrib", "W0089")</f>
        <v>W0089</v>
      </c>
      <c r="AP5" s="124" t="str">
        <f>HYPERLINK("https://www.reddit.com/r/RMTK/comments/ga90n1/m0168_zoeken_van_draagvlak_voor_de_participatie/", "M0168")</f>
        <v>M0168</v>
      </c>
      <c r="AQ5" s="124" t="str">
        <f>HYPERLINK("https://www.reddit.com/r/RMTK/comments/gav8k0/m0169_motie_tot_aanschaf_betere_wapens_voor_het/","M0169")</f>
        <v>M0169</v>
      </c>
      <c r="AR5" s="124" t="str">
        <f>HYPERLINK("https://www.reddit.com/r/RMTK/comments/gdvpgj/m0170_motie_tot_het_verhogen_van_salarissen_voor/","M0170")</f>
        <v>M0170</v>
      </c>
      <c r="AS5" s="124" t="str">
        <f>HYPERLINK("https://www.reddit.com/r/RMTK/comments/g6i299/w0088_wetswijziging_tot_inkorting_aanpassing/", "W0088") </f>
        <v>W0088</v>
      </c>
      <c r="AT5" s="124" t="str">
        <f>HYPERLINK("https://www.reddit.com/r/RMTK/comments/gdxb1s/m0179_motie_tot_bevestiging_steun_voor_moties/","M0179") </f>
        <v>M0179</v>
      </c>
      <c r="AU5" s="124" t="str">
        <f>HYPERLINK("https://www.reddit.com/r/RMTK/comments/gf4gid/m0171_motie_tot_vak_belastingaangifte/", "M0171")</f>
        <v>M0171</v>
      </c>
      <c r="AV5" s="124" t="str">
        <f>HYPERLINK("https://www.reddit.com/r/RMTK/comments/ghu0dd/m0182_motie_van_wantrouwen_jegens_de_minister_van/", "M0182")</f>
        <v>M0182</v>
      </c>
      <c r="AW5" s="124" t="s">
        <v>85</v>
      </c>
      <c r="AX5" s="124" t="s">
        <v>86</v>
      </c>
      <c r="AY5" s="124" t="s">
        <v>87</v>
      </c>
      <c r="AZ5" s="127" t="s">
        <v>88</v>
      </c>
      <c r="BA5" s="127" t="s">
        <v>89</v>
      </c>
      <c r="BB5" s="127" t="s">
        <v>90</v>
      </c>
      <c r="BC5" s="127" t="s">
        <v>91</v>
      </c>
      <c r="BD5" s="127" t="s">
        <v>92</v>
      </c>
      <c r="BE5" s="127" t="s">
        <v>93</v>
      </c>
      <c r="BF5" s="127" t="s">
        <v>94</v>
      </c>
      <c r="BG5" s="127" t="s">
        <v>95</v>
      </c>
      <c r="BH5" s="127" t="s">
        <v>96</v>
      </c>
      <c r="BI5" s="127" t="s">
        <v>97</v>
      </c>
      <c r="BJ5" s="127" t="s">
        <v>98</v>
      </c>
      <c r="BK5" s="127" t="s">
        <v>99</v>
      </c>
      <c r="BL5" s="127" t="s">
        <v>100</v>
      </c>
      <c r="BM5" s="127" t="s">
        <v>101</v>
      </c>
      <c r="BN5" s="127" t="s">
        <v>102</v>
      </c>
      <c r="BO5" s="127" t="s">
        <v>103</v>
      </c>
      <c r="BP5" s="127" t="s">
        <v>104</v>
      </c>
      <c r="BQ5" s="127" t="s">
        <v>105</v>
      </c>
      <c r="BR5" s="127"/>
    </row>
    <row r="6" ht="9.0" customHeight="1">
      <c r="A6" s="128"/>
      <c r="B6" s="129"/>
      <c r="C6" s="129"/>
      <c r="D6" s="130"/>
      <c r="E6" s="131"/>
      <c r="F6" s="131"/>
      <c r="G6" s="128"/>
      <c r="H6" s="128"/>
      <c r="I6" s="132"/>
      <c r="J6" s="133"/>
      <c r="K6" s="128"/>
      <c r="L6" s="134"/>
      <c r="M6" s="130"/>
      <c r="N6" s="131"/>
      <c r="O6" s="135"/>
      <c r="P6" s="133"/>
      <c r="Q6" s="131"/>
      <c r="R6" s="128"/>
      <c r="S6" s="136"/>
      <c r="T6" s="136"/>
      <c r="U6" s="134"/>
      <c r="V6" s="131"/>
      <c r="W6" s="131"/>
      <c r="X6" s="134"/>
      <c r="Y6" s="131"/>
      <c r="Z6" s="128"/>
      <c r="AA6" s="134"/>
      <c r="AB6" s="131"/>
      <c r="AC6" s="131"/>
      <c r="AD6" s="131"/>
      <c r="AE6" s="134"/>
      <c r="AF6" s="131"/>
      <c r="AG6" s="128"/>
      <c r="AH6" s="134"/>
      <c r="AI6" s="131"/>
      <c r="AJ6" s="128"/>
      <c r="AK6" s="134"/>
      <c r="AL6" s="134"/>
      <c r="AM6" s="131"/>
      <c r="AN6" s="128"/>
      <c r="AO6" s="134"/>
      <c r="AP6" s="134"/>
      <c r="AQ6" s="137"/>
      <c r="AR6" s="137"/>
      <c r="AS6" s="137"/>
      <c r="AT6" s="134"/>
      <c r="AU6" s="137"/>
      <c r="AV6" s="137"/>
      <c r="AW6" s="137"/>
      <c r="AX6" s="131"/>
      <c r="AY6" s="128"/>
      <c r="AZ6" s="134"/>
      <c r="BA6" s="133"/>
      <c r="BB6" s="133"/>
      <c r="BC6" s="133"/>
      <c r="BD6" s="131"/>
      <c r="BE6" s="133"/>
      <c r="BF6" s="133"/>
      <c r="BG6" s="133"/>
      <c r="BH6" s="133"/>
      <c r="BI6" s="133"/>
      <c r="BJ6" s="133"/>
      <c r="BK6" s="133"/>
      <c r="BL6" s="133"/>
      <c r="BM6" s="133"/>
      <c r="BN6" s="133"/>
      <c r="BO6" s="133"/>
      <c r="BP6" s="133"/>
      <c r="BQ6" s="133"/>
      <c r="BR6" s="133"/>
    </row>
    <row r="7" ht="18.75" customHeight="1">
      <c r="A7" s="138" t="s">
        <v>106</v>
      </c>
      <c r="B7" s="139" t="s">
        <v>15</v>
      </c>
      <c r="C7" s="140" t="s">
        <v>107</v>
      </c>
      <c r="D7" s="141" t="s">
        <v>108</v>
      </c>
      <c r="E7" s="141" t="s">
        <v>108</v>
      </c>
      <c r="F7" s="141" t="s">
        <v>108</v>
      </c>
      <c r="G7" s="141" t="s">
        <v>108</v>
      </c>
      <c r="H7" s="141" t="s">
        <v>108</v>
      </c>
      <c r="I7" s="142" t="s">
        <v>56</v>
      </c>
      <c r="J7" s="141" t="s">
        <v>108</v>
      </c>
      <c r="K7" s="141" t="s">
        <v>108</v>
      </c>
      <c r="L7" s="141" t="s">
        <v>108</v>
      </c>
      <c r="M7" s="141" t="s">
        <v>108</v>
      </c>
      <c r="N7" s="141" t="s">
        <v>108</v>
      </c>
      <c r="O7" s="143" t="s">
        <v>108</v>
      </c>
      <c r="P7" s="141" t="s">
        <v>108</v>
      </c>
      <c r="Q7" s="141" t="s">
        <v>108</v>
      </c>
      <c r="R7" s="141" t="s">
        <v>108</v>
      </c>
      <c r="S7" s="141" t="s">
        <v>108</v>
      </c>
      <c r="T7" s="141" t="s">
        <v>108</v>
      </c>
      <c r="U7" s="141" t="s">
        <v>108</v>
      </c>
      <c r="V7" s="141" t="s">
        <v>108</v>
      </c>
      <c r="W7" s="144" t="s">
        <v>108</v>
      </c>
      <c r="X7" s="141" t="s">
        <v>109</v>
      </c>
      <c r="Y7" s="141" t="s">
        <v>109</v>
      </c>
      <c r="Z7" s="141" t="s">
        <v>110</v>
      </c>
      <c r="AA7" s="141" t="s">
        <v>110</v>
      </c>
      <c r="AB7" s="141" t="s">
        <v>110</v>
      </c>
      <c r="AC7" s="141" t="s">
        <v>109</v>
      </c>
      <c r="AD7" s="144" t="s">
        <v>110</v>
      </c>
      <c r="AE7" s="141" t="s">
        <v>109</v>
      </c>
      <c r="AF7" s="141" t="s">
        <v>109</v>
      </c>
      <c r="AG7" s="141" t="s">
        <v>110</v>
      </c>
      <c r="AH7" s="141" t="s">
        <v>110</v>
      </c>
      <c r="AI7" s="141" t="s">
        <v>109</v>
      </c>
      <c r="AJ7" s="141" t="s">
        <v>110</v>
      </c>
      <c r="AK7" s="141" t="s">
        <v>110</v>
      </c>
      <c r="AL7" s="141" t="s">
        <v>110</v>
      </c>
      <c r="AM7" s="144" t="s">
        <v>110</v>
      </c>
      <c r="AN7" s="141" t="s">
        <v>111</v>
      </c>
      <c r="AO7" s="141" t="s">
        <v>112</v>
      </c>
      <c r="AP7" s="145" t="s">
        <v>112</v>
      </c>
      <c r="AQ7" s="145" t="s">
        <v>112</v>
      </c>
      <c r="AR7" s="145" t="s">
        <v>112</v>
      </c>
      <c r="AS7" s="145" t="s">
        <v>112</v>
      </c>
      <c r="AT7" s="145" t="s">
        <v>112</v>
      </c>
      <c r="AU7" s="145" t="s">
        <v>113</v>
      </c>
      <c r="AV7" s="145" t="s">
        <v>113</v>
      </c>
      <c r="AW7" s="145" t="s">
        <v>112</v>
      </c>
      <c r="AX7" s="141" t="s">
        <v>112</v>
      </c>
      <c r="AY7" s="141" t="s">
        <v>112</v>
      </c>
      <c r="AZ7" s="141" t="s">
        <v>113</v>
      </c>
      <c r="BA7" s="141" t="s">
        <v>112</v>
      </c>
      <c r="BB7" s="141" t="s">
        <v>112</v>
      </c>
      <c r="BC7" s="141" t="s">
        <v>113</v>
      </c>
      <c r="BD7" s="146" t="s">
        <v>109</v>
      </c>
      <c r="BE7" s="145" t="s">
        <v>109</v>
      </c>
      <c r="BF7" s="145" t="s">
        <v>110</v>
      </c>
      <c r="BG7" s="145" t="s">
        <v>109</v>
      </c>
      <c r="BH7" s="145" t="s">
        <v>109</v>
      </c>
      <c r="BI7" s="145" t="s">
        <v>109</v>
      </c>
      <c r="BJ7" s="141" t="s">
        <v>110</v>
      </c>
      <c r="BK7" s="141" t="s">
        <v>109</v>
      </c>
      <c r="BL7" s="141" t="s">
        <v>109</v>
      </c>
      <c r="BM7" s="141" t="s">
        <v>110</v>
      </c>
      <c r="BN7" s="141" t="s">
        <v>110</v>
      </c>
      <c r="BO7" s="141" t="s">
        <v>109</v>
      </c>
      <c r="BP7" s="141" t="s">
        <v>110</v>
      </c>
      <c r="BQ7" s="141" t="s">
        <v>110</v>
      </c>
      <c r="BR7" s="141" t="s">
        <v>108</v>
      </c>
    </row>
    <row r="8" ht="18.75" customHeight="1">
      <c r="A8" s="147"/>
      <c r="B8" s="115"/>
      <c r="C8" s="148" t="s">
        <v>114</v>
      </c>
      <c r="D8" s="141" t="s">
        <v>109</v>
      </c>
      <c r="E8" s="141" t="s">
        <v>110</v>
      </c>
      <c r="F8" s="141" t="s">
        <v>110</v>
      </c>
      <c r="G8" s="141" t="s">
        <v>110</v>
      </c>
      <c r="H8" s="141" t="s">
        <v>110</v>
      </c>
      <c r="I8" s="142" t="s">
        <v>56</v>
      </c>
      <c r="J8" s="141" t="s">
        <v>108</v>
      </c>
      <c r="K8" s="141" t="s">
        <v>108</v>
      </c>
      <c r="L8" s="141" t="s">
        <v>108</v>
      </c>
      <c r="M8" s="141" t="s">
        <v>108</v>
      </c>
      <c r="N8" s="141" t="s">
        <v>108</v>
      </c>
      <c r="O8" s="143" t="s">
        <v>108</v>
      </c>
      <c r="P8" s="141" t="s">
        <v>109</v>
      </c>
      <c r="Q8" s="141" t="s">
        <v>109</v>
      </c>
      <c r="R8" s="141" t="s">
        <v>109</v>
      </c>
      <c r="S8" s="141" t="s">
        <v>109</v>
      </c>
      <c r="T8" s="141" t="s">
        <v>110</v>
      </c>
      <c r="U8" s="141" t="s">
        <v>110</v>
      </c>
      <c r="V8" s="141" t="s">
        <v>110</v>
      </c>
      <c r="W8" s="144" t="s">
        <v>110</v>
      </c>
      <c r="X8" s="141" t="s">
        <v>109</v>
      </c>
      <c r="Y8" s="141" t="s">
        <v>109</v>
      </c>
      <c r="Z8" s="141" t="s">
        <v>110</v>
      </c>
      <c r="AA8" s="141" t="s">
        <v>110</v>
      </c>
      <c r="AB8" s="141" t="s">
        <v>110</v>
      </c>
      <c r="AC8" s="141" t="s">
        <v>109</v>
      </c>
      <c r="AD8" s="144" t="s">
        <v>110</v>
      </c>
      <c r="AE8" s="141" t="s">
        <v>108</v>
      </c>
      <c r="AF8" s="141" t="s">
        <v>108</v>
      </c>
      <c r="AG8" s="141" t="s">
        <v>108</v>
      </c>
      <c r="AH8" s="141" t="s">
        <v>108</v>
      </c>
      <c r="AI8" s="141" t="s">
        <v>108</v>
      </c>
      <c r="AJ8" s="141" t="s">
        <v>108</v>
      </c>
      <c r="AK8" s="141" t="s">
        <v>108</v>
      </c>
      <c r="AL8" s="141" t="s">
        <v>108</v>
      </c>
      <c r="AM8" s="144" t="s">
        <v>108</v>
      </c>
      <c r="AN8" s="141" t="s">
        <v>108</v>
      </c>
      <c r="AO8" s="141" t="s">
        <v>108</v>
      </c>
      <c r="AP8" s="149" t="s">
        <v>108</v>
      </c>
      <c r="AQ8" s="149" t="s">
        <v>108</v>
      </c>
      <c r="AR8" s="149" t="s">
        <v>108</v>
      </c>
      <c r="AS8" s="149" t="s">
        <v>108</v>
      </c>
      <c r="AT8" s="149" t="s">
        <v>108</v>
      </c>
      <c r="AU8" s="149" t="s">
        <v>108</v>
      </c>
      <c r="AV8" s="149" t="s">
        <v>108</v>
      </c>
      <c r="AW8" s="145" t="s">
        <v>112</v>
      </c>
      <c r="AX8" s="141" t="s">
        <v>108</v>
      </c>
      <c r="AY8" s="141" t="s">
        <v>108</v>
      </c>
      <c r="AZ8" s="141" t="s">
        <v>108</v>
      </c>
      <c r="BA8" s="141" t="s">
        <v>108</v>
      </c>
      <c r="BB8" s="141" t="s">
        <v>108</v>
      </c>
      <c r="BC8" s="141" t="s">
        <v>108</v>
      </c>
      <c r="BD8" s="150" t="s">
        <v>108</v>
      </c>
      <c r="BE8" s="149" t="s">
        <v>108</v>
      </c>
      <c r="BF8" s="149" t="s">
        <v>108</v>
      </c>
      <c r="BG8" s="149" t="s">
        <v>108</v>
      </c>
      <c r="BH8" s="149" t="s">
        <v>108</v>
      </c>
      <c r="BI8" s="149" t="s">
        <v>108</v>
      </c>
      <c r="BJ8" s="149" t="s">
        <v>108</v>
      </c>
      <c r="BK8" s="141" t="s">
        <v>108</v>
      </c>
      <c r="BL8" s="141" t="s">
        <v>108</v>
      </c>
      <c r="BM8" s="141" t="s">
        <v>108</v>
      </c>
      <c r="BN8" s="141" t="s">
        <v>108</v>
      </c>
      <c r="BO8" s="141" t="s">
        <v>108</v>
      </c>
      <c r="BP8" s="141" t="s">
        <v>108</v>
      </c>
      <c r="BQ8" s="141" t="s">
        <v>108</v>
      </c>
      <c r="BR8" s="141" t="s">
        <v>108</v>
      </c>
    </row>
    <row r="9" ht="18.75" customHeight="1">
      <c r="A9" s="147"/>
      <c r="B9" s="115"/>
      <c r="C9" s="148" t="s">
        <v>115</v>
      </c>
      <c r="D9" s="141" t="s">
        <v>109</v>
      </c>
      <c r="E9" s="141" t="s">
        <v>110</v>
      </c>
      <c r="F9" s="141" t="s">
        <v>110</v>
      </c>
      <c r="G9" s="141" t="s">
        <v>110</v>
      </c>
      <c r="H9" s="141" t="s">
        <v>110</v>
      </c>
      <c r="I9" s="141" t="s">
        <v>56</v>
      </c>
      <c r="J9" s="151" t="s">
        <v>109</v>
      </c>
      <c r="K9" s="141" t="s">
        <v>109</v>
      </c>
      <c r="L9" s="141" t="s">
        <v>109</v>
      </c>
      <c r="M9" s="141" t="s">
        <v>110</v>
      </c>
      <c r="N9" s="141" t="s">
        <v>110</v>
      </c>
      <c r="O9" s="141" t="s">
        <v>109</v>
      </c>
      <c r="P9" s="151" t="s">
        <v>108</v>
      </c>
      <c r="Q9" s="141" t="s">
        <v>108</v>
      </c>
      <c r="R9" s="141" t="s">
        <v>108</v>
      </c>
      <c r="S9" s="141" t="s">
        <v>108</v>
      </c>
      <c r="T9" s="141" t="s">
        <v>108</v>
      </c>
      <c r="U9" s="141" t="s">
        <v>108</v>
      </c>
      <c r="V9" s="141" t="s">
        <v>108</v>
      </c>
      <c r="W9" s="144" t="s">
        <v>108</v>
      </c>
      <c r="X9" s="141" t="s">
        <v>109</v>
      </c>
      <c r="Y9" s="141" t="s">
        <v>109</v>
      </c>
      <c r="Z9" s="141" t="s">
        <v>110</v>
      </c>
      <c r="AA9" s="141" t="s">
        <v>110</v>
      </c>
      <c r="AB9" s="141" t="s">
        <v>110</v>
      </c>
      <c r="AC9" s="141" t="s">
        <v>109</v>
      </c>
      <c r="AD9" s="144" t="s">
        <v>110</v>
      </c>
      <c r="AE9" s="141" t="s">
        <v>108</v>
      </c>
      <c r="AF9" s="141" t="s">
        <v>108</v>
      </c>
      <c r="AG9" s="141" t="s">
        <v>108</v>
      </c>
      <c r="AH9" s="141" t="s">
        <v>108</v>
      </c>
      <c r="AI9" s="141" t="s">
        <v>108</v>
      </c>
      <c r="AJ9" s="141" t="s">
        <v>108</v>
      </c>
      <c r="AK9" s="141" t="s">
        <v>108</v>
      </c>
      <c r="AL9" s="141" t="s">
        <v>108</v>
      </c>
      <c r="AM9" s="144" t="s">
        <v>108</v>
      </c>
      <c r="AN9" s="141" t="s">
        <v>112</v>
      </c>
      <c r="AO9" s="141" t="s">
        <v>113</v>
      </c>
      <c r="AP9" s="145" t="s">
        <v>112</v>
      </c>
      <c r="AQ9" s="145" t="s">
        <v>112</v>
      </c>
      <c r="AR9" s="145" t="s">
        <v>112</v>
      </c>
      <c r="AS9" s="145" t="s">
        <v>112</v>
      </c>
      <c r="AT9" s="145" t="s">
        <v>112</v>
      </c>
      <c r="AU9" s="145" t="s">
        <v>112</v>
      </c>
      <c r="AV9" s="145" t="s">
        <v>113</v>
      </c>
      <c r="AW9" s="145" t="s">
        <v>112</v>
      </c>
      <c r="AX9" s="141" t="s">
        <v>112</v>
      </c>
      <c r="AY9" s="141" t="s">
        <v>112</v>
      </c>
      <c r="AZ9" s="141" t="s">
        <v>113</v>
      </c>
      <c r="BA9" s="141" t="s">
        <v>112</v>
      </c>
      <c r="BB9" s="141" t="s">
        <v>112</v>
      </c>
      <c r="BC9" s="141" t="s">
        <v>113</v>
      </c>
      <c r="BD9" s="145" t="s">
        <v>109</v>
      </c>
      <c r="BE9" s="145" t="s">
        <v>109</v>
      </c>
      <c r="BF9" s="141" t="s">
        <v>110</v>
      </c>
      <c r="BG9" s="141" t="s">
        <v>110</v>
      </c>
      <c r="BH9" s="141" t="s">
        <v>109</v>
      </c>
      <c r="BI9" s="145" t="s">
        <v>110</v>
      </c>
      <c r="BJ9" s="145" t="s">
        <v>109</v>
      </c>
      <c r="BK9" s="145" t="s">
        <v>109</v>
      </c>
      <c r="BL9" s="145" t="s">
        <v>109</v>
      </c>
      <c r="BM9" s="141" t="s">
        <v>110</v>
      </c>
      <c r="BN9" s="141" t="s">
        <v>110</v>
      </c>
      <c r="BO9" s="141" t="s">
        <v>109</v>
      </c>
      <c r="BP9" s="141" t="s">
        <v>110</v>
      </c>
      <c r="BQ9" s="141" t="s">
        <v>110</v>
      </c>
      <c r="BR9" s="141" t="s">
        <v>108</v>
      </c>
    </row>
    <row r="10" ht="18.75" customHeight="1">
      <c r="A10" s="147"/>
      <c r="B10" s="115"/>
      <c r="C10" s="148" t="s">
        <v>116</v>
      </c>
      <c r="D10" s="141" t="s">
        <v>109</v>
      </c>
      <c r="E10" s="141" t="s">
        <v>110</v>
      </c>
      <c r="F10" s="141" t="s">
        <v>110</v>
      </c>
      <c r="G10" s="141" t="s">
        <v>110</v>
      </c>
      <c r="H10" s="141" t="s">
        <v>110</v>
      </c>
      <c r="I10" s="141" t="s">
        <v>56</v>
      </c>
      <c r="J10" s="151" t="s">
        <v>109</v>
      </c>
      <c r="K10" s="141" t="s">
        <v>109</v>
      </c>
      <c r="L10" s="141" t="s">
        <v>109</v>
      </c>
      <c r="M10" s="141" t="s">
        <v>110</v>
      </c>
      <c r="N10" s="141" t="s">
        <v>110</v>
      </c>
      <c r="O10" s="141" t="s">
        <v>109</v>
      </c>
      <c r="P10" s="151" t="s">
        <v>109</v>
      </c>
      <c r="Q10" s="141" t="s">
        <v>109</v>
      </c>
      <c r="R10" s="141" t="s">
        <v>109</v>
      </c>
      <c r="S10" s="141" t="s">
        <v>109</v>
      </c>
      <c r="T10" s="141" t="s">
        <v>110</v>
      </c>
      <c r="U10" s="141" t="s">
        <v>110</v>
      </c>
      <c r="V10" s="141" t="s">
        <v>110</v>
      </c>
      <c r="W10" s="144" t="s">
        <v>109</v>
      </c>
      <c r="X10" s="141" t="s">
        <v>109</v>
      </c>
      <c r="Y10" s="141" t="s">
        <v>109</v>
      </c>
      <c r="Z10" s="141" t="s">
        <v>110</v>
      </c>
      <c r="AA10" s="141" t="s">
        <v>110</v>
      </c>
      <c r="AB10" s="141" t="s">
        <v>110</v>
      </c>
      <c r="AC10" s="141" t="s">
        <v>109</v>
      </c>
      <c r="AD10" s="144" t="s">
        <v>110</v>
      </c>
      <c r="AE10" s="141" t="s">
        <v>109</v>
      </c>
      <c r="AF10" s="141" t="s">
        <v>109</v>
      </c>
      <c r="AG10" s="141" t="s">
        <v>110</v>
      </c>
      <c r="AH10" s="141" t="s">
        <v>117</v>
      </c>
      <c r="AI10" s="141" t="s">
        <v>109</v>
      </c>
      <c r="AJ10" s="141" t="s">
        <v>110</v>
      </c>
      <c r="AK10" s="141" t="s">
        <v>110</v>
      </c>
      <c r="AL10" s="141" t="s">
        <v>110</v>
      </c>
      <c r="AM10" s="144" t="s">
        <v>110</v>
      </c>
      <c r="AN10" s="141" t="s">
        <v>112</v>
      </c>
      <c r="AO10" s="141" t="s">
        <v>112</v>
      </c>
      <c r="AP10" s="145" t="s">
        <v>112</v>
      </c>
      <c r="AQ10" s="145" t="s">
        <v>117</v>
      </c>
      <c r="AR10" s="145" t="s">
        <v>112</v>
      </c>
      <c r="AS10" s="145" t="s">
        <v>112</v>
      </c>
      <c r="AT10" s="145" t="s">
        <v>113</v>
      </c>
      <c r="AU10" s="145" t="s">
        <v>113</v>
      </c>
      <c r="AV10" s="145" t="s">
        <v>113</v>
      </c>
      <c r="AW10" s="145" t="s">
        <v>112</v>
      </c>
      <c r="AX10" s="141" t="s">
        <v>113</v>
      </c>
      <c r="AY10" s="141" t="s">
        <v>113</v>
      </c>
      <c r="AZ10" s="141" t="s">
        <v>112</v>
      </c>
      <c r="BA10" s="141" t="s">
        <v>113</v>
      </c>
      <c r="BB10" s="141" t="s">
        <v>113</v>
      </c>
      <c r="BC10" s="141" t="s">
        <v>113</v>
      </c>
      <c r="BD10" s="146" t="s">
        <v>109</v>
      </c>
      <c r="BE10" s="145" t="s">
        <v>109</v>
      </c>
      <c r="BF10" s="145" t="s">
        <v>110</v>
      </c>
      <c r="BG10" s="145" t="s">
        <v>109</v>
      </c>
      <c r="BH10" s="145" t="s">
        <v>109</v>
      </c>
      <c r="BI10" s="145" t="s">
        <v>109</v>
      </c>
      <c r="BJ10" s="145" t="s">
        <v>110</v>
      </c>
      <c r="BK10" s="145" t="s">
        <v>109</v>
      </c>
      <c r="BL10" s="145" t="s">
        <v>109</v>
      </c>
      <c r="BM10" s="141" t="s">
        <v>110</v>
      </c>
      <c r="BN10" s="141" t="s">
        <v>110</v>
      </c>
      <c r="BO10" s="141" t="s">
        <v>109</v>
      </c>
      <c r="BP10" s="141" t="s">
        <v>110</v>
      </c>
      <c r="BQ10" s="141" t="s">
        <v>110</v>
      </c>
      <c r="BR10" s="141" t="s">
        <v>108</v>
      </c>
    </row>
    <row r="11" ht="18.75" customHeight="1">
      <c r="A11" s="147"/>
      <c r="B11" s="115"/>
      <c r="C11" s="152" t="s">
        <v>118</v>
      </c>
      <c r="D11" s="141" t="s">
        <v>109</v>
      </c>
      <c r="E11" s="141" t="s">
        <v>110</v>
      </c>
      <c r="F11" s="141" t="s">
        <v>110</v>
      </c>
      <c r="G11" s="141" t="s">
        <v>110</v>
      </c>
      <c r="H11" s="141" t="s">
        <v>110</v>
      </c>
      <c r="I11" s="141" t="s">
        <v>56</v>
      </c>
      <c r="J11" s="151" t="s">
        <v>109</v>
      </c>
      <c r="K11" s="141" t="s">
        <v>109</v>
      </c>
      <c r="L11" s="141" t="s">
        <v>109</v>
      </c>
      <c r="M11" s="141" t="s">
        <v>110</v>
      </c>
      <c r="N11" s="141" t="s">
        <v>110</v>
      </c>
      <c r="O11" s="141" t="s">
        <v>109</v>
      </c>
      <c r="P11" s="151" t="s">
        <v>109</v>
      </c>
      <c r="Q11" s="141" t="s">
        <v>109</v>
      </c>
      <c r="R11" s="141" t="s">
        <v>109</v>
      </c>
      <c r="S11" s="141" t="s">
        <v>109</v>
      </c>
      <c r="T11" s="141" t="s">
        <v>110</v>
      </c>
      <c r="U11" s="141" t="s">
        <v>110</v>
      </c>
      <c r="V11" s="141" t="s">
        <v>110</v>
      </c>
      <c r="W11" s="144" t="s">
        <v>110</v>
      </c>
      <c r="X11" s="141" t="s">
        <v>109</v>
      </c>
      <c r="Y11" s="141" t="s">
        <v>117</v>
      </c>
      <c r="Z11" s="141" t="s">
        <v>110</v>
      </c>
      <c r="AA11" s="141" t="s">
        <v>110</v>
      </c>
      <c r="AB11" s="141" t="s">
        <v>110</v>
      </c>
      <c r="AC11" s="141" t="s">
        <v>110</v>
      </c>
      <c r="AD11" s="144" t="s">
        <v>110</v>
      </c>
      <c r="AE11" s="141" t="s">
        <v>109</v>
      </c>
      <c r="AF11" s="141" t="s">
        <v>109</v>
      </c>
      <c r="AG11" s="141" t="s">
        <v>110</v>
      </c>
      <c r="AH11" s="141" t="s">
        <v>110</v>
      </c>
      <c r="AI11" s="141" t="s">
        <v>110</v>
      </c>
      <c r="AJ11" s="141" t="s">
        <v>110</v>
      </c>
      <c r="AK11" s="141" t="s">
        <v>110</v>
      </c>
      <c r="AL11" s="141" t="s">
        <v>110</v>
      </c>
      <c r="AM11" s="144" t="s">
        <v>110</v>
      </c>
      <c r="AN11" s="141" t="s">
        <v>119</v>
      </c>
      <c r="AO11" s="141" t="s">
        <v>119</v>
      </c>
      <c r="AP11" s="141" t="s">
        <v>119</v>
      </c>
      <c r="AQ11" s="141" t="s">
        <v>119</v>
      </c>
      <c r="AR11" s="141" t="s">
        <v>119</v>
      </c>
      <c r="AS11" s="141" t="s">
        <v>119</v>
      </c>
      <c r="AT11" s="141" t="s">
        <v>119</v>
      </c>
      <c r="AU11" s="141" t="s">
        <v>119</v>
      </c>
      <c r="AV11" s="141" t="s">
        <v>119</v>
      </c>
      <c r="AW11" s="141" t="s">
        <v>119</v>
      </c>
      <c r="AX11" s="141" t="s">
        <v>119</v>
      </c>
      <c r="AY11" s="141" t="s">
        <v>119</v>
      </c>
      <c r="AZ11" s="141" t="s">
        <v>119</v>
      </c>
      <c r="BA11" s="141" t="s">
        <v>119</v>
      </c>
      <c r="BB11" s="141" t="s">
        <v>119</v>
      </c>
      <c r="BC11" s="141" t="s">
        <v>119</v>
      </c>
      <c r="BD11" s="151" t="s">
        <v>119</v>
      </c>
      <c r="BE11" s="141" t="s">
        <v>119</v>
      </c>
      <c r="BF11" s="141" t="s">
        <v>119</v>
      </c>
      <c r="BG11" s="141" t="s">
        <v>119</v>
      </c>
      <c r="BH11" s="141" t="s">
        <v>119</v>
      </c>
      <c r="BI11" s="141" t="s">
        <v>119</v>
      </c>
      <c r="BJ11" s="141" t="s">
        <v>119</v>
      </c>
      <c r="BK11" s="141" t="s">
        <v>119</v>
      </c>
      <c r="BL11" s="141" t="s">
        <v>119</v>
      </c>
      <c r="BM11" s="141" t="s">
        <v>119</v>
      </c>
      <c r="BN11" s="141" t="s">
        <v>119</v>
      </c>
      <c r="BO11" s="141" t="s">
        <v>119</v>
      </c>
      <c r="BP11" s="141" t="s">
        <v>119</v>
      </c>
      <c r="BQ11" s="141" t="s">
        <v>119</v>
      </c>
      <c r="BR11" s="141" t="s">
        <v>119</v>
      </c>
    </row>
    <row r="12" ht="18.75" customHeight="1">
      <c r="A12" s="147"/>
      <c r="B12" s="115"/>
      <c r="C12" s="148" t="s">
        <v>120</v>
      </c>
      <c r="D12" s="141" t="s">
        <v>109</v>
      </c>
      <c r="E12" s="141" t="s">
        <v>110</v>
      </c>
      <c r="F12" s="141" t="s">
        <v>110</v>
      </c>
      <c r="G12" s="141" t="s">
        <v>110</v>
      </c>
      <c r="H12" s="141" t="s">
        <v>110</v>
      </c>
      <c r="I12" s="141" t="s">
        <v>56</v>
      </c>
      <c r="J12" s="151" t="s">
        <v>109</v>
      </c>
      <c r="K12" s="141" t="s">
        <v>109</v>
      </c>
      <c r="L12" s="141" t="s">
        <v>109</v>
      </c>
      <c r="M12" s="141" t="s">
        <v>109</v>
      </c>
      <c r="N12" s="141" t="s">
        <v>110</v>
      </c>
      <c r="O12" s="141" t="s">
        <v>109</v>
      </c>
      <c r="P12" s="151" t="s">
        <v>109</v>
      </c>
      <c r="Q12" s="141" t="s">
        <v>109</v>
      </c>
      <c r="R12" s="141" t="s">
        <v>109</v>
      </c>
      <c r="S12" s="141" t="s">
        <v>109</v>
      </c>
      <c r="T12" s="141" t="s">
        <v>109</v>
      </c>
      <c r="U12" s="141" t="s">
        <v>109</v>
      </c>
      <c r="V12" s="141" t="s">
        <v>109</v>
      </c>
      <c r="W12" s="144" t="s">
        <v>110</v>
      </c>
      <c r="X12" s="141" t="s">
        <v>109</v>
      </c>
      <c r="Y12" s="141" t="s">
        <v>109</v>
      </c>
      <c r="Z12" s="141" t="s">
        <v>109</v>
      </c>
      <c r="AA12" s="141" t="s">
        <v>109</v>
      </c>
      <c r="AB12" s="141" t="s">
        <v>110</v>
      </c>
      <c r="AC12" s="141" t="s">
        <v>109</v>
      </c>
      <c r="AD12" s="144" t="s">
        <v>110</v>
      </c>
      <c r="AE12" s="141" t="s">
        <v>109</v>
      </c>
      <c r="AF12" s="141" t="s">
        <v>109</v>
      </c>
      <c r="AG12" s="141" t="s">
        <v>110</v>
      </c>
      <c r="AH12" s="141" t="s">
        <v>110</v>
      </c>
      <c r="AI12" s="141" t="s">
        <v>110</v>
      </c>
      <c r="AJ12" s="141" t="s">
        <v>110</v>
      </c>
      <c r="AK12" s="141" t="s">
        <v>109</v>
      </c>
      <c r="AL12" s="141" t="s">
        <v>110</v>
      </c>
      <c r="AM12" s="144" t="s">
        <v>110</v>
      </c>
      <c r="AN12" s="141" t="s">
        <v>112</v>
      </c>
      <c r="AO12" s="141" t="s">
        <v>113</v>
      </c>
      <c r="AP12" s="145" t="s">
        <v>112</v>
      </c>
      <c r="AQ12" s="145" t="s">
        <v>112</v>
      </c>
      <c r="AR12" s="145" t="s">
        <v>113</v>
      </c>
      <c r="AS12" s="145" t="s">
        <v>113</v>
      </c>
      <c r="AT12" s="145" t="s">
        <v>112</v>
      </c>
      <c r="AU12" s="145" t="s">
        <v>113</v>
      </c>
      <c r="AV12" s="145" t="s">
        <v>113</v>
      </c>
      <c r="AW12" s="145" t="s">
        <v>113</v>
      </c>
      <c r="AX12" s="141" t="s">
        <v>113</v>
      </c>
      <c r="AY12" s="141" t="s">
        <v>113</v>
      </c>
      <c r="AZ12" s="141" t="s">
        <v>112</v>
      </c>
      <c r="BA12" s="141" t="s">
        <v>112</v>
      </c>
      <c r="BB12" s="141" t="s">
        <v>113</v>
      </c>
      <c r="BC12" s="141" t="s">
        <v>112</v>
      </c>
      <c r="BD12" s="145" t="s">
        <v>109</v>
      </c>
      <c r="BE12" s="145" t="s">
        <v>109</v>
      </c>
      <c r="BF12" s="145" t="s">
        <v>110</v>
      </c>
      <c r="BG12" s="145" t="s">
        <v>110</v>
      </c>
      <c r="BH12" s="145" t="s">
        <v>109</v>
      </c>
      <c r="BI12" s="145" t="s">
        <v>110</v>
      </c>
      <c r="BJ12" s="145" t="s">
        <v>109</v>
      </c>
      <c r="BK12" s="145" t="s">
        <v>109</v>
      </c>
      <c r="BL12" s="145" t="s">
        <v>109</v>
      </c>
      <c r="BM12" s="145" t="s">
        <v>110</v>
      </c>
      <c r="BN12" s="141" t="s">
        <v>110</v>
      </c>
      <c r="BO12" s="141" t="s">
        <v>109</v>
      </c>
      <c r="BP12" s="141" t="s">
        <v>109</v>
      </c>
      <c r="BQ12" s="141" t="s">
        <v>110</v>
      </c>
      <c r="BR12" s="141" t="s">
        <v>108</v>
      </c>
    </row>
    <row r="13" ht="18.75" customHeight="1">
      <c r="A13" s="147"/>
      <c r="B13" s="115"/>
      <c r="C13" s="148" t="s">
        <v>121</v>
      </c>
      <c r="D13" s="141" t="s">
        <v>109</v>
      </c>
      <c r="E13" s="141" t="s">
        <v>110</v>
      </c>
      <c r="F13" s="141" t="s">
        <v>110</v>
      </c>
      <c r="G13" s="141" t="s">
        <v>110</v>
      </c>
      <c r="H13" s="141" t="s">
        <v>109</v>
      </c>
      <c r="I13" s="141" t="s">
        <v>56</v>
      </c>
      <c r="J13" s="151" t="s">
        <v>109</v>
      </c>
      <c r="K13" s="141" t="s">
        <v>109</v>
      </c>
      <c r="L13" s="141" t="s">
        <v>109</v>
      </c>
      <c r="M13" s="141" t="s">
        <v>110</v>
      </c>
      <c r="N13" s="141" t="s">
        <v>110</v>
      </c>
      <c r="O13" s="141" t="s">
        <v>109</v>
      </c>
      <c r="P13" s="151" t="s">
        <v>109</v>
      </c>
      <c r="Q13" s="141" t="s">
        <v>109</v>
      </c>
      <c r="R13" s="141" t="s">
        <v>109</v>
      </c>
      <c r="S13" s="141" t="s">
        <v>109</v>
      </c>
      <c r="T13" s="141" t="s">
        <v>109</v>
      </c>
      <c r="U13" s="141" t="s">
        <v>109</v>
      </c>
      <c r="V13" s="141" t="s">
        <v>109</v>
      </c>
      <c r="W13" s="144" t="s">
        <v>109</v>
      </c>
      <c r="X13" s="141" t="s">
        <v>110</v>
      </c>
      <c r="Y13" s="141" t="s">
        <v>110</v>
      </c>
      <c r="Z13" s="141" t="s">
        <v>110</v>
      </c>
      <c r="AA13" s="141" t="s">
        <v>109</v>
      </c>
      <c r="AB13" s="141" t="s">
        <v>110</v>
      </c>
      <c r="AC13" s="141" t="s">
        <v>117</v>
      </c>
      <c r="AD13" s="144" t="s">
        <v>110</v>
      </c>
      <c r="AE13" s="141" t="s">
        <v>108</v>
      </c>
      <c r="AF13" s="141" t="s">
        <v>108</v>
      </c>
      <c r="AG13" s="141" t="s">
        <v>108</v>
      </c>
      <c r="AH13" s="141" t="s">
        <v>108</v>
      </c>
      <c r="AI13" s="141" t="s">
        <v>108</v>
      </c>
      <c r="AJ13" s="141" t="s">
        <v>108</v>
      </c>
      <c r="AK13" s="141" t="s">
        <v>108</v>
      </c>
      <c r="AL13" s="141" t="s">
        <v>108</v>
      </c>
      <c r="AM13" s="144" t="s">
        <v>108</v>
      </c>
      <c r="AN13" s="141" t="s">
        <v>108</v>
      </c>
      <c r="AO13" s="141" t="s">
        <v>108</v>
      </c>
      <c r="AP13" s="149" t="s">
        <v>108</v>
      </c>
      <c r="AQ13" s="149" t="s">
        <v>108</v>
      </c>
      <c r="AR13" s="149" t="s">
        <v>108</v>
      </c>
      <c r="AS13" s="149" t="s">
        <v>108</v>
      </c>
      <c r="AT13" s="149" t="s">
        <v>108</v>
      </c>
      <c r="AU13" s="149" t="s">
        <v>108</v>
      </c>
      <c r="AV13" s="149" t="s">
        <v>108</v>
      </c>
      <c r="AW13" s="145" t="s">
        <v>112</v>
      </c>
      <c r="AX13" s="141" t="s">
        <v>113</v>
      </c>
      <c r="AY13" s="141" t="s">
        <v>113</v>
      </c>
      <c r="AZ13" s="141" t="s">
        <v>112</v>
      </c>
      <c r="BA13" s="141" t="s">
        <v>113</v>
      </c>
      <c r="BB13" s="141" t="s">
        <v>113</v>
      </c>
      <c r="BC13" s="141" t="s">
        <v>113</v>
      </c>
      <c r="BD13" s="151" t="s">
        <v>108</v>
      </c>
      <c r="BE13" s="141" t="s">
        <v>108</v>
      </c>
      <c r="BF13" s="141" t="s">
        <v>108</v>
      </c>
      <c r="BG13" s="141" t="s">
        <v>108</v>
      </c>
      <c r="BH13" s="141" t="s">
        <v>108</v>
      </c>
      <c r="BI13" s="141" t="s">
        <v>108</v>
      </c>
      <c r="BJ13" s="141" t="s">
        <v>108</v>
      </c>
      <c r="BK13" s="141" t="s">
        <v>108</v>
      </c>
      <c r="BL13" s="141" t="s">
        <v>108</v>
      </c>
      <c r="BM13" s="141" t="s">
        <v>108</v>
      </c>
      <c r="BN13" s="141" t="s">
        <v>108</v>
      </c>
      <c r="BO13" s="141" t="s">
        <v>108</v>
      </c>
      <c r="BP13" s="141" t="s">
        <v>108</v>
      </c>
      <c r="BQ13" s="141" t="s">
        <v>108</v>
      </c>
      <c r="BR13" s="141" t="s">
        <v>108</v>
      </c>
    </row>
    <row r="14" ht="18.75" customHeight="1">
      <c r="A14" s="147"/>
      <c r="B14" s="115"/>
      <c r="C14" s="148" t="s">
        <v>122</v>
      </c>
      <c r="D14" s="141" t="s">
        <v>109</v>
      </c>
      <c r="E14" s="141" t="s">
        <v>110</v>
      </c>
      <c r="F14" s="141" t="s">
        <v>110</v>
      </c>
      <c r="G14" s="141" t="s">
        <v>110</v>
      </c>
      <c r="H14" s="141" t="s">
        <v>110</v>
      </c>
      <c r="I14" s="141" t="s">
        <v>56</v>
      </c>
      <c r="J14" s="151" t="s">
        <v>109</v>
      </c>
      <c r="K14" s="141" t="s">
        <v>109</v>
      </c>
      <c r="L14" s="141" t="s">
        <v>109</v>
      </c>
      <c r="M14" s="141" t="s">
        <v>110</v>
      </c>
      <c r="N14" s="141" t="s">
        <v>110</v>
      </c>
      <c r="O14" s="141" t="s">
        <v>109</v>
      </c>
      <c r="P14" s="151" t="s">
        <v>109</v>
      </c>
      <c r="Q14" s="141" t="s">
        <v>109</v>
      </c>
      <c r="R14" s="141" t="s">
        <v>109</v>
      </c>
      <c r="S14" s="141" t="s">
        <v>109</v>
      </c>
      <c r="T14" s="141" t="s">
        <v>110</v>
      </c>
      <c r="U14" s="141" t="s">
        <v>110</v>
      </c>
      <c r="V14" s="141" t="s">
        <v>110</v>
      </c>
      <c r="W14" s="144" t="s">
        <v>110</v>
      </c>
      <c r="X14" s="141" t="s">
        <v>109</v>
      </c>
      <c r="Y14" s="141" t="s">
        <v>109</v>
      </c>
      <c r="Z14" s="141" t="s">
        <v>110</v>
      </c>
      <c r="AA14" s="141" t="s">
        <v>109</v>
      </c>
      <c r="AB14" s="141" t="s">
        <v>110</v>
      </c>
      <c r="AC14" s="141" t="s">
        <v>109</v>
      </c>
      <c r="AD14" s="144" t="s">
        <v>110</v>
      </c>
      <c r="AE14" s="141" t="s">
        <v>109</v>
      </c>
      <c r="AF14" s="141" t="s">
        <v>109</v>
      </c>
      <c r="AG14" s="141" t="s">
        <v>110</v>
      </c>
      <c r="AH14" s="141" t="s">
        <v>117</v>
      </c>
      <c r="AI14" s="141" t="s">
        <v>109</v>
      </c>
      <c r="AJ14" s="141" t="s">
        <v>110</v>
      </c>
      <c r="AK14" s="141" t="s">
        <v>110</v>
      </c>
      <c r="AL14" s="141" t="s">
        <v>110</v>
      </c>
      <c r="AM14" s="144" t="s">
        <v>110</v>
      </c>
      <c r="AN14" s="141" t="s">
        <v>112</v>
      </c>
      <c r="AO14" s="141" t="s">
        <v>112</v>
      </c>
      <c r="AP14" s="145" t="s">
        <v>112</v>
      </c>
      <c r="AQ14" s="145" t="s">
        <v>112</v>
      </c>
      <c r="AR14" s="145" t="s">
        <v>112</v>
      </c>
      <c r="AS14" s="145" t="s">
        <v>112</v>
      </c>
      <c r="AT14" s="145" t="s">
        <v>112</v>
      </c>
      <c r="AU14" s="145" t="s">
        <v>113</v>
      </c>
      <c r="AV14" s="145" t="s">
        <v>113</v>
      </c>
      <c r="AW14" s="145" t="s">
        <v>112</v>
      </c>
      <c r="AX14" s="141" t="s">
        <v>112</v>
      </c>
      <c r="AY14" s="141" t="s">
        <v>112</v>
      </c>
      <c r="AZ14" s="141" t="s">
        <v>113</v>
      </c>
      <c r="BA14" s="141" t="s">
        <v>112</v>
      </c>
      <c r="BB14" s="141" t="s">
        <v>113</v>
      </c>
      <c r="BC14" s="141" t="s">
        <v>113</v>
      </c>
      <c r="BD14" s="146" t="s">
        <v>109</v>
      </c>
      <c r="BE14" s="145" t="s">
        <v>109</v>
      </c>
      <c r="BF14" s="145" t="s">
        <v>110</v>
      </c>
      <c r="BG14" s="145" t="s">
        <v>109</v>
      </c>
      <c r="BH14" s="145" t="s">
        <v>109</v>
      </c>
      <c r="BI14" s="145" t="s">
        <v>109</v>
      </c>
      <c r="BJ14" s="145" t="s">
        <v>110</v>
      </c>
      <c r="BK14" s="141" t="s">
        <v>110</v>
      </c>
      <c r="BL14" s="141" t="s">
        <v>109</v>
      </c>
      <c r="BM14" s="141" t="s">
        <v>110</v>
      </c>
      <c r="BN14" s="141" t="s">
        <v>110</v>
      </c>
      <c r="BO14" s="141" t="s">
        <v>109</v>
      </c>
      <c r="BP14" s="141" t="s">
        <v>110</v>
      </c>
      <c r="BQ14" s="141" t="s">
        <v>110</v>
      </c>
      <c r="BR14" s="141" t="s">
        <v>108</v>
      </c>
    </row>
    <row r="15" ht="18.75" customHeight="1">
      <c r="A15" s="147"/>
      <c r="B15" s="153" t="s">
        <v>24</v>
      </c>
      <c r="C15" s="154" t="s">
        <v>123</v>
      </c>
      <c r="D15" s="141" t="s">
        <v>109</v>
      </c>
      <c r="E15" s="141" t="s">
        <v>110</v>
      </c>
      <c r="F15" s="141" t="s">
        <v>110</v>
      </c>
      <c r="G15" s="141" t="s">
        <v>110</v>
      </c>
      <c r="H15" s="141" t="s">
        <v>110</v>
      </c>
      <c r="I15" s="141" t="s">
        <v>56</v>
      </c>
      <c r="J15" s="151" t="s">
        <v>109</v>
      </c>
      <c r="K15" s="141" t="s">
        <v>109</v>
      </c>
      <c r="L15" s="141" t="s">
        <v>109</v>
      </c>
      <c r="M15" s="141" t="s">
        <v>110</v>
      </c>
      <c r="N15" s="141" t="s">
        <v>110</v>
      </c>
      <c r="O15" s="141" t="s">
        <v>109</v>
      </c>
      <c r="P15" s="151" t="s">
        <v>109</v>
      </c>
      <c r="Q15" s="141" t="s">
        <v>109</v>
      </c>
      <c r="R15" s="141" t="s">
        <v>109</v>
      </c>
      <c r="S15" s="141" t="s">
        <v>109</v>
      </c>
      <c r="T15" s="141" t="s">
        <v>110</v>
      </c>
      <c r="U15" s="141" t="s">
        <v>110</v>
      </c>
      <c r="V15" s="141" t="s">
        <v>110</v>
      </c>
      <c r="W15" s="144" t="s">
        <v>109</v>
      </c>
      <c r="X15" s="141" t="s">
        <v>109</v>
      </c>
      <c r="Y15" s="141" t="s">
        <v>110</v>
      </c>
      <c r="Z15" s="141" t="s">
        <v>109</v>
      </c>
      <c r="AA15" s="141" t="s">
        <v>109</v>
      </c>
      <c r="AB15" s="141" t="s">
        <v>110</v>
      </c>
      <c r="AC15" s="141" t="s">
        <v>109</v>
      </c>
      <c r="AD15" s="144" t="s">
        <v>110</v>
      </c>
      <c r="AE15" s="141" t="s">
        <v>109</v>
      </c>
      <c r="AF15" s="141" t="s">
        <v>109</v>
      </c>
      <c r="AG15" s="141" t="s">
        <v>110</v>
      </c>
      <c r="AH15" s="141" t="s">
        <v>109</v>
      </c>
      <c r="AI15" s="141" t="s">
        <v>109</v>
      </c>
      <c r="AJ15" s="141" t="s">
        <v>110</v>
      </c>
      <c r="AK15" s="141" t="s">
        <v>110</v>
      </c>
      <c r="AL15" s="141" t="s">
        <v>110</v>
      </c>
      <c r="AM15" s="144" t="s">
        <v>110</v>
      </c>
      <c r="AN15" s="141" t="s">
        <v>112</v>
      </c>
      <c r="AO15" s="141" t="s">
        <v>112</v>
      </c>
      <c r="AP15" s="145" t="s">
        <v>112</v>
      </c>
      <c r="AQ15" s="145" t="s">
        <v>113</v>
      </c>
      <c r="AR15" s="145" t="s">
        <v>112</v>
      </c>
      <c r="AS15" s="145" t="s">
        <v>112</v>
      </c>
      <c r="AT15" s="145" t="s">
        <v>113</v>
      </c>
      <c r="AU15" s="145" t="s">
        <v>113</v>
      </c>
      <c r="AV15" s="145" t="s">
        <v>113</v>
      </c>
      <c r="AW15" s="145" t="s">
        <v>112</v>
      </c>
      <c r="AX15" s="141" t="s">
        <v>113</v>
      </c>
      <c r="AY15" s="141" t="s">
        <v>112</v>
      </c>
      <c r="AZ15" s="141" t="s">
        <v>113</v>
      </c>
      <c r="BA15" s="141" t="s">
        <v>112</v>
      </c>
      <c r="BB15" s="141" t="s">
        <v>113</v>
      </c>
      <c r="BC15" s="141" t="s">
        <v>112</v>
      </c>
      <c r="BD15" s="145" t="s">
        <v>109</v>
      </c>
      <c r="BE15" s="145" t="s">
        <v>109</v>
      </c>
      <c r="BF15" s="145" t="s">
        <v>109</v>
      </c>
      <c r="BG15" s="145" t="s">
        <v>109</v>
      </c>
      <c r="BH15" s="145" t="s">
        <v>109</v>
      </c>
      <c r="BI15" s="145" t="s">
        <v>109</v>
      </c>
      <c r="BJ15" s="145" t="s">
        <v>109</v>
      </c>
      <c r="BK15" s="145" t="s">
        <v>109</v>
      </c>
      <c r="BL15" s="145" t="s">
        <v>109</v>
      </c>
      <c r="BM15" s="141" t="s">
        <v>110</v>
      </c>
      <c r="BN15" s="141" t="s">
        <v>110</v>
      </c>
      <c r="BO15" s="145" t="s">
        <v>109</v>
      </c>
      <c r="BP15" s="145" t="s">
        <v>109</v>
      </c>
      <c r="BQ15" s="141" t="s">
        <v>110</v>
      </c>
      <c r="BR15" s="141" t="s">
        <v>108</v>
      </c>
    </row>
    <row r="16" ht="18.75" customHeight="1">
      <c r="A16" s="147"/>
      <c r="B16" s="115"/>
      <c r="C16" s="155" t="s">
        <v>124</v>
      </c>
      <c r="D16" s="141" t="s">
        <v>110</v>
      </c>
      <c r="E16" s="141" t="s">
        <v>110</v>
      </c>
      <c r="F16" s="141" t="s">
        <v>110</v>
      </c>
      <c r="G16" s="141" t="s">
        <v>110</v>
      </c>
      <c r="H16" s="141" t="s">
        <v>110</v>
      </c>
      <c r="I16" s="141" t="s">
        <v>56</v>
      </c>
      <c r="J16" s="151" t="s">
        <v>109</v>
      </c>
      <c r="K16" s="141" t="s">
        <v>109</v>
      </c>
      <c r="L16" s="141" t="s">
        <v>109</v>
      </c>
      <c r="M16" s="141" t="s">
        <v>110</v>
      </c>
      <c r="N16" s="141" t="s">
        <v>109</v>
      </c>
      <c r="O16" s="141" t="s">
        <v>109</v>
      </c>
      <c r="P16" s="151" t="s">
        <v>109</v>
      </c>
      <c r="Q16" s="141" t="s">
        <v>109</v>
      </c>
      <c r="R16" s="141" t="s">
        <v>109</v>
      </c>
      <c r="S16" s="141" t="s">
        <v>109</v>
      </c>
      <c r="T16" s="141" t="s">
        <v>110</v>
      </c>
      <c r="U16" s="141" t="s">
        <v>109</v>
      </c>
      <c r="V16" s="141" t="s">
        <v>110</v>
      </c>
      <c r="W16" s="144" t="s">
        <v>109</v>
      </c>
      <c r="X16" s="141" t="s">
        <v>109</v>
      </c>
      <c r="Y16" s="141" t="s">
        <v>110</v>
      </c>
      <c r="Z16" s="141" t="s">
        <v>109</v>
      </c>
      <c r="AA16" s="141" t="s">
        <v>109</v>
      </c>
      <c r="AB16" s="141" t="s">
        <v>110</v>
      </c>
      <c r="AC16" s="141" t="s">
        <v>109</v>
      </c>
      <c r="AD16" s="144" t="s">
        <v>110</v>
      </c>
      <c r="AE16" s="141" t="s">
        <v>109</v>
      </c>
      <c r="AF16" s="141" t="s">
        <v>109</v>
      </c>
      <c r="AG16" s="141" t="s">
        <v>110</v>
      </c>
      <c r="AH16" s="141" t="s">
        <v>109</v>
      </c>
      <c r="AI16" s="141" t="s">
        <v>109</v>
      </c>
      <c r="AJ16" s="141" t="s">
        <v>110</v>
      </c>
      <c r="AK16" s="141" t="s">
        <v>110</v>
      </c>
      <c r="AL16" s="141" t="s">
        <v>110</v>
      </c>
      <c r="AM16" s="144" t="s">
        <v>110</v>
      </c>
      <c r="AN16" s="141" t="s">
        <v>112</v>
      </c>
      <c r="AO16" s="141" t="s">
        <v>112</v>
      </c>
      <c r="AP16" s="145" t="s">
        <v>112</v>
      </c>
      <c r="AQ16" s="145" t="s">
        <v>113</v>
      </c>
      <c r="AR16" s="145" t="s">
        <v>112</v>
      </c>
      <c r="AS16" s="145" t="s">
        <v>112</v>
      </c>
      <c r="AT16" s="145" t="s">
        <v>113</v>
      </c>
      <c r="AU16" s="145" t="s">
        <v>113</v>
      </c>
      <c r="AV16" s="145" t="s">
        <v>113</v>
      </c>
      <c r="AW16" s="145" t="s">
        <v>112</v>
      </c>
      <c r="AX16" s="141" t="s">
        <v>112</v>
      </c>
      <c r="AY16" s="141" t="s">
        <v>112</v>
      </c>
      <c r="AZ16" s="141" t="s">
        <v>113</v>
      </c>
      <c r="BA16" s="141" t="s">
        <v>112</v>
      </c>
      <c r="BB16" s="141" t="s">
        <v>113</v>
      </c>
      <c r="BC16" s="141" t="s">
        <v>113</v>
      </c>
      <c r="BD16" s="146" t="s">
        <v>110</v>
      </c>
      <c r="BE16" s="145" t="s">
        <v>109</v>
      </c>
      <c r="BF16" s="145" t="s">
        <v>110</v>
      </c>
      <c r="BG16" s="145" t="s">
        <v>109</v>
      </c>
      <c r="BH16" s="145" t="s">
        <v>109</v>
      </c>
      <c r="BI16" s="145" t="s">
        <v>110</v>
      </c>
      <c r="BJ16" s="145" t="s">
        <v>109</v>
      </c>
      <c r="BK16" s="145" t="s">
        <v>109</v>
      </c>
      <c r="BL16" s="145" t="s">
        <v>109</v>
      </c>
      <c r="BM16" s="141" t="s">
        <v>110</v>
      </c>
      <c r="BN16" s="141" t="s">
        <v>110</v>
      </c>
      <c r="BO16" s="145" t="s">
        <v>109</v>
      </c>
      <c r="BP16" s="141" t="s">
        <v>110</v>
      </c>
      <c r="BQ16" s="141" t="s">
        <v>110</v>
      </c>
      <c r="BR16" s="141" t="s">
        <v>108</v>
      </c>
    </row>
    <row r="17" ht="18.75" customHeight="1">
      <c r="A17" s="147"/>
      <c r="B17" s="115"/>
      <c r="C17" s="155" t="s">
        <v>125</v>
      </c>
      <c r="D17" s="141" t="s">
        <v>110</v>
      </c>
      <c r="E17" s="141" t="s">
        <v>110</v>
      </c>
      <c r="F17" s="141" t="s">
        <v>110</v>
      </c>
      <c r="G17" s="141" t="s">
        <v>110</v>
      </c>
      <c r="H17" s="141" t="s">
        <v>110</v>
      </c>
      <c r="I17" s="141" t="s">
        <v>56</v>
      </c>
      <c r="J17" s="151" t="s">
        <v>109</v>
      </c>
      <c r="K17" s="141" t="s">
        <v>109</v>
      </c>
      <c r="L17" s="141" t="s">
        <v>109</v>
      </c>
      <c r="M17" s="141" t="s">
        <v>110</v>
      </c>
      <c r="N17" s="141" t="s">
        <v>109</v>
      </c>
      <c r="O17" s="144" t="s">
        <v>109</v>
      </c>
      <c r="P17" s="151" t="s">
        <v>109</v>
      </c>
      <c r="Q17" s="141" t="s">
        <v>109</v>
      </c>
      <c r="R17" s="141" t="s">
        <v>109</v>
      </c>
      <c r="S17" s="141" t="s">
        <v>109</v>
      </c>
      <c r="T17" s="141" t="s">
        <v>110</v>
      </c>
      <c r="U17" s="141" t="s">
        <v>109</v>
      </c>
      <c r="V17" s="141" t="s">
        <v>109</v>
      </c>
      <c r="W17" s="144" t="s">
        <v>109</v>
      </c>
      <c r="X17" s="141" t="s">
        <v>109</v>
      </c>
      <c r="Y17" s="141" t="s">
        <v>110</v>
      </c>
      <c r="Z17" s="141" t="s">
        <v>109</v>
      </c>
      <c r="AA17" s="141" t="s">
        <v>109</v>
      </c>
      <c r="AB17" s="141" t="s">
        <v>110</v>
      </c>
      <c r="AC17" s="141" t="s">
        <v>109</v>
      </c>
      <c r="AD17" s="144" t="s">
        <v>110</v>
      </c>
      <c r="AE17" s="141" t="s">
        <v>109</v>
      </c>
      <c r="AF17" s="141" t="s">
        <v>109</v>
      </c>
      <c r="AG17" s="141" t="s">
        <v>110</v>
      </c>
      <c r="AH17" s="141" t="s">
        <v>109</v>
      </c>
      <c r="AI17" s="141" t="s">
        <v>110</v>
      </c>
      <c r="AJ17" s="141" t="s">
        <v>110</v>
      </c>
      <c r="AK17" s="141" t="s">
        <v>110</v>
      </c>
      <c r="AL17" s="141" t="s">
        <v>110</v>
      </c>
      <c r="AM17" s="144" t="s">
        <v>110</v>
      </c>
      <c r="AN17" s="141" t="s">
        <v>112</v>
      </c>
      <c r="AO17" s="141" t="s">
        <v>112</v>
      </c>
      <c r="AP17" s="145" t="s">
        <v>112</v>
      </c>
      <c r="AQ17" s="145" t="s">
        <v>113</v>
      </c>
      <c r="AR17" s="145" t="s">
        <v>112</v>
      </c>
      <c r="AS17" s="145" t="s">
        <v>112</v>
      </c>
      <c r="AT17" s="145" t="s">
        <v>113</v>
      </c>
      <c r="AU17" s="145" t="s">
        <v>113</v>
      </c>
      <c r="AV17" s="145" t="s">
        <v>113</v>
      </c>
      <c r="AW17" s="145" t="s">
        <v>112</v>
      </c>
      <c r="AX17" s="141" t="s">
        <v>112</v>
      </c>
      <c r="AY17" s="141" t="s">
        <v>112</v>
      </c>
      <c r="AZ17" s="141" t="s">
        <v>113</v>
      </c>
      <c r="BA17" s="141" t="s">
        <v>112</v>
      </c>
      <c r="BB17" s="141" t="s">
        <v>113</v>
      </c>
      <c r="BC17" s="141" t="s">
        <v>113</v>
      </c>
      <c r="BD17" s="146" t="s">
        <v>109</v>
      </c>
      <c r="BE17" s="145" t="s">
        <v>109</v>
      </c>
      <c r="BF17" s="145" t="s">
        <v>110</v>
      </c>
      <c r="BG17" s="145" t="s">
        <v>109</v>
      </c>
      <c r="BH17" s="145" t="s">
        <v>117</v>
      </c>
      <c r="BI17" s="145" t="s">
        <v>110</v>
      </c>
      <c r="BJ17" s="145" t="s">
        <v>117</v>
      </c>
      <c r="BK17" s="141" t="s">
        <v>109</v>
      </c>
      <c r="BL17" s="141" t="s">
        <v>109</v>
      </c>
      <c r="BM17" s="141" t="s">
        <v>110</v>
      </c>
      <c r="BN17" s="141" t="s">
        <v>110</v>
      </c>
      <c r="BO17" s="141" t="s">
        <v>109</v>
      </c>
      <c r="BP17" s="141" t="s">
        <v>110</v>
      </c>
      <c r="BQ17" s="141" t="s">
        <v>110</v>
      </c>
      <c r="BR17" s="141" t="s">
        <v>108</v>
      </c>
    </row>
    <row r="18" ht="18.75" customHeight="1">
      <c r="A18" s="147"/>
      <c r="B18" s="115"/>
      <c r="C18" s="155" t="s">
        <v>25</v>
      </c>
      <c r="D18" s="141" t="s">
        <v>119</v>
      </c>
      <c r="E18" s="141" t="s">
        <v>119</v>
      </c>
      <c r="F18" s="141" t="s">
        <v>119</v>
      </c>
      <c r="G18" s="141" t="s">
        <v>119</v>
      </c>
      <c r="H18" s="141" t="s">
        <v>119</v>
      </c>
      <c r="I18" s="141" t="s">
        <v>119</v>
      </c>
      <c r="J18" s="141" t="s">
        <v>119</v>
      </c>
      <c r="K18" s="141" t="s">
        <v>119</v>
      </c>
      <c r="L18" s="141" t="s">
        <v>119</v>
      </c>
      <c r="M18" s="141" t="s">
        <v>119</v>
      </c>
      <c r="N18" s="141" t="s">
        <v>119</v>
      </c>
      <c r="O18" s="141" t="s">
        <v>119</v>
      </c>
      <c r="P18" s="141" t="s">
        <v>119</v>
      </c>
      <c r="Q18" s="141" t="s">
        <v>119</v>
      </c>
      <c r="R18" s="141" t="s">
        <v>119</v>
      </c>
      <c r="S18" s="141" t="s">
        <v>119</v>
      </c>
      <c r="T18" s="141" t="s">
        <v>119</v>
      </c>
      <c r="U18" s="141" t="s">
        <v>119</v>
      </c>
      <c r="V18" s="141" t="s">
        <v>119</v>
      </c>
      <c r="W18" s="141" t="s">
        <v>119</v>
      </c>
      <c r="X18" s="141" t="s">
        <v>119</v>
      </c>
      <c r="Y18" s="141" t="s">
        <v>119</v>
      </c>
      <c r="Z18" s="141" t="s">
        <v>119</v>
      </c>
      <c r="AA18" s="141" t="s">
        <v>119</v>
      </c>
      <c r="AB18" s="141" t="s">
        <v>119</v>
      </c>
      <c r="AC18" s="141" t="s">
        <v>119</v>
      </c>
      <c r="AD18" s="141" t="s">
        <v>119</v>
      </c>
      <c r="AE18" s="141" t="s">
        <v>119</v>
      </c>
      <c r="AF18" s="141" t="s">
        <v>119</v>
      </c>
      <c r="AG18" s="141" t="s">
        <v>119</v>
      </c>
      <c r="AH18" s="141" t="s">
        <v>119</v>
      </c>
      <c r="AI18" s="141" t="s">
        <v>119</v>
      </c>
      <c r="AJ18" s="141" t="s">
        <v>119</v>
      </c>
      <c r="AK18" s="141" t="s">
        <v>119</v>
      </c>
      <c r="AL18" s="141" t="s">
        <v>119</v>
      </c>
      <c r="AM18" s="141" t="s">
        <v>119</v>
      </c>
      <c r="AN18" s="141" t="s">
        <v>119</v>
      </c>
      <c r="AO18" s="141" t="s">
        <v>119</v>
      </c>
      <c r="AP18" s="141" t="s">
        <v>119</v>
      </c>
      <c r="AQ18" s="141" t="s">
        <v>119</v>
      </c>
      <c r="AR18" s="141" t="s">
        <v>119</v>
      </c>
      <c r="AS18" s="141" t="s">
        <v>119</v>
      </c>
      <c r="AT18" s="141" t="s">
        <v>119</v>
      </c>
      <c r="AU18" s="141" t="s">
        <v>119</v>
      </c>
      <c r="AV18" s="141" t="s">
        <v>119</v>
      </c>
      <c r="AW18" s="145" t="s">
        <v>112</v>
      </c>
      <c r="AX18" s="141" t="s">
        <v>112</v>
      </c>
      <c r="AY18" s="141" t="s">
        <v>112</v>
      </c>
      <c r="AZ18" s="141" t="s">
        <v>113</v>
      </c>
      <c r="BA18" s="141" t="s">
        <v>112</v>
      </c>
      <c r="BB18" s="141" t="s">
        <v>113</v>
      </c>
      <c r="BC18" s="141" t="s">
        <v>113</v>
      </c>
      <c r="BD18" s="146" t="s">
        <v>110</v>
      </c>
      <c r="BE18" s="145" t="s">
        <v>109</v>
      </c>
      <c r="BF18" s="145" t="s">
        <v>110</v>
      </c>
      <c r="BG18" s="145" t="s">
        <v>109</v>
      </c>
      <c r="BH18" s="145" t="s">
        <v>109</v>
      </c>
      <c r="BI18" s="145" t="s">
        <v>110</v>
      </c>
      <c r="BJ18" s="145" t="s">
        <v>109</v>
      </c>
      <c r="BK18" s="145" t="s">
        <v>109</v>
      </c>
      <c r="BL18" s="145" t="s">
        <v>109</v>
      </c>
      <c r="BM18" s="141" t="s">
        <v>110</v>
      </c>
      <c r="BN18" s="141" t="s">
        <v>110</v>
      </c>
      <c r="BO18" s="145" t="s">
        <v>109</v>
      </c>
      <c r="BP18" s="141" t="s">
        <v>110</v>
      </c>
      <c r="BQ18" s="141" t="s">
        <v>110</v>
      </c>
      <c r="BR18" s="141" t="s">
        <v>108</v>
      </c>
    </row>
    <row r="19" ht="18.75" customHeight="1">
      <c r="A19" s="147"/>
      <c r="B19" s="115"/>
      <c r="C19" s="156" t="s">
        <v>126</v>
      </c>
      <c r="D19" s="141" t="s">
        <v>108</v>
      </c>
      <c r="E19" s="141" t="s">
        <v>108</v>
      </c>
      <c r="F19" s="141" t="s">
        <v>108</v>
      </c>
      <c r="G19" s="141" t="s">
        <v>108</v>
      </c>
      <c r="H19" s="141" t="s">
        <v>108</v>
      </c>
      <c r="I19" s="141" t="s">
        <v>56</v>
      </c>
      <c r="J19" s="151" t="s">
        <v>108</v>
      </c>
      <c r="K19" s="141" t="s">
        <v>108</v>
      </c>
      <c r="L19" s="141" t="s">
        <v>108</v>
      </c>
      <c r="M19" s="141" t="s">
        <v>108</v>
      </c>
      <c r="N19" s="141" t="s">
        <v>108</v>
      </c>
      <c r="O19" s="144" t="s">
        <v>108</v>
      </c>
      <c r="P19" s="151" t="s">
        <v>109</v>
      </c>
      <c r="Q19" s="141" t="s">
        <v>109</v>
      </c>
      <c r="R19" s="141" t="s">
        <v>109</v>
      </c>
      <c r="S19" s="141" t="s">
        <v>109</v>
      </c>
      <c r="T19" s="141" t="s">
        <v>110</v>
      </c>
      <c r="U19" s="141" t="s">
        <v>109</v>
      </c>
      <c r="V19" s="141" t="s">
        <v>109</v>
      </c>
      <c r="W19" s="144" t="s">
        <v>109</v>
      </c>
      <c r="X19" s="141" t="s">
        <v>108</v>
      </c>
      <c r="Y19" s="141" t="s">
        <v>108</v>
      </c>
      <c r="Z19" s="141" t="s">
        <v>108</v>
      </c>
      <c r="AA19" s="141" t="s">
        <v>108</v>
      </c>
      <c r="AB19" s="141" t="s">
        <v>108</v>
      </c>
      <c r="AC19" s="141" t="s">
        <v>108</v>
      </c>
      <c r="AD19" s="144" t="s">
        <v>108</v>
      </c>
      <c r="AE19" s="141" t="s">
        <v>109</v>
      </c>
      <c r="AF19" s="141" t="s">
        <v>109</v>
      </c>
      <c r="AG19" s="141" t="s">
        <v>110</v>
      </c>
      <c r="AH19" s="141" t="s">
        <v>109</v>
      </c>
      <c r="AI19" s="141" t="s">
        <v>109</v>
      </c>
      <c r="AJ19" s="141" t="s">
        <v>110</v>
      </c>
      <c r="AK19" s="141" t="s">
        <v>110</v>
      </c>
      <c r="AL19" s="141" t="s">
        <v>110</v>
      </c>
      <c r="AM19" s="144" t="s">
        <v>110</v>
      </c>
      <c r="AN19" s="141" t="s">
        <v>108</v>
      </c>
      <c r="AO19" s="141" t="s">
        <v>108</v>
      </c>
      <c r="AP19" s="149" t="s">
        <v>108</v>
      </c>
      <c r="AQ19" s="149" t="s">
        <v>108</v>
      </c>
      <c r="AR19" s="149" t="s">
        <v>108</v>
      </c>
      <c r="AS19" s="149" t="s">
        <v>108</v>
      </c>
      <c r="AT19" s="149" t="s">
        <v>108</v>
      </c>
      <c r="AU19" s="149" t="s">
        <v>108</v>
      </c>
      <c r="AV19" s="149" t="s">
        <v>108</v>
      </c>
      <c r="AW19" s="141" t="s">
        <v>119</v>
      </c>
      <c r="AX19" s="141" t="s">
        <v>119</v>
      </c>
      <c r="AY19" s="141" t="s">
        <v>119</v>
      </c>
      <c r="AZ19" s="141" t="s">
        <v>119</v>
      </c>
      <c r="BA19" s="141" t="s">
        <v>119</v>
      </c>
      <c r="BB19" s="141" t="s">
        <v>119</v>
      </c>
      <c r="BC19" s="141" t="s">
        <v>119</v>
      </c>
      <c r="BD19" s="151" t="s">
        <v>119</v>
      </c>
      <c r="BE19" s="141" t="s">
        <v>119</v>
      </c>
      <c r="BF19" s="141" t="s">
        <v>119</v>
      </c>
      <c r="BG19" s="141" t="s">
        <v>119</v>
      </c>
      <c r="BH19" s="141" t="s">
        <v>119</v>
      </c>
      <c r="BI19" s="141" t="s">
        <v>119</v>
      </c>
      <c r="BJ19" s="141" t="s">
        <v>119</v>
      </c>
      <c r="BK19" s="141" t="s">
        <v>119</v>
      </c>
      <c r="BL19" s="141" t="s">
        <v>119</v>
      </c>
      <c r="BM19" s="141" t="s">
        <v>119</v>
      </c>
      <c r="BN19" s="141" t="s">
        <v>119</v>
      </c>
      <c r="BO19" s="141" t="s">
        <v>119</v>
      </c>
      <c r="BP19" s="141" t="s">
        <v>119</v>
      </c>
      <c r="BQ19" s="141" t="s">
        <v>119</v>
      </c>
      <c r="BR19" s="141" t="s">
        <v>119</v>
      </c>
    </row>
    <row r="20" ht="18.75" customHeight="1">
      <c r="A20" s="147"/>
      <c r="B20" s="115"/>
      <c r="C20" s="155" t="s">
        <v>127</v>
      </c>
      <c r="D20" s="141" t="s">
        <v>110</v>
      </c>
      <c r="E20" s="141" t="s">
        <v>110</v>
      </c>
      <c r="F20" s="141" t="s">
        <v>110</v>
      </c>
      <c r="G20" s="141" t="s">
        <v>110</v>
      </c>
      <c r="H20" s="141" t="s">
        <v>110</v>
      </c>
      <c r="I20" s="141" t="s">
        <v>56</v>
      </c>
      <c r="J20" s="151" t="s">
        <v>109</v>
      </c>
      <c r="K20" s="141" t="s">
        <v>109</v>
      </c>
      <c r="L20" s="141" t="s">
        <v>109</v>
      </c>
      <c r="M20" s="141" t="s">
        <v>110</v>
      </c>
      <c r="N20" s="141" t="s">
        <v>110</v>
      </c>
      <c r="O20" s="144" t="s">
        <v>109</v>
      </c>
      <c r="P20" s="151" t="s">
        <v>109</v>
      </c>
      <c r="Q20" s="141" t="s">
        <v>109</v>
      </c>
      <c r="R20" s="141" t="s">
        <v>109</v>
      </c>
      <c r="S20" s="141" t="s">
        <v>109</v>
      </c>
      <c r="T20" s="141" t="s">
        <v>110</v>
      </c>
      <c r="U20" s="141" t="s">
        <v>110</v>
      </c>
      <c r="V20" s="141" t="s">
        <v>110</v>
      </c>
      <c r="W20" s="144" t="s">
        <v>109</v>
      </c>
      <c r="X20" s="141" t="s">
        <v>109</v>
      </c>
      <c r="Y20" s="141" t="s">
        <v>110</v>
      </c>
      <c r="Z20" s="141" t="s">
        <v>109</v>
      </c>
      <c r="AA20" s="141" t="s">
        <v>109</v>
      </c>
      <c r="AB20" s="141" t="s">
        <v>110</v>
      </c>
      <c r="AC20" s="141" t="s">
        <v>109</v>
      </c>
      <c r="AD20" s="144" t="s">
        <v>110</v>
      </c>
      <c r="AE20" s="141" t="s">
        <v>109</v>
      </c>
      <c r="AF20" s="141" t="s">
        <v>109</v>
      </c>
      <c r="AG20" s="141" t="s">
        <v>110</v>
      </c>
      <c r="AH20" s="141" t="s">
        <v>109</v>
      </c>
      <c r="AI20" s="141" t="s">
        <v>110</v>
      </c>
      <c r="AJ20" s="141" t="s">
        <v>110</v>
      </c>
      <c r="AK20" s="141" t="s">
        <v>110</v>
      </c>
      <c r="AL20" s="141" t="s">
        <v>110</v>
      </c>
      <c r="AM20" s="144" t="s">
        <v>110</v>
      </c>
      <c r="AN20" s="141" t="s">
        <v>112</v>
      </c>
      <c r="AO20" s="141" t="s">
        <v>112</v>
      </c>
      <c r="AP20" s="145" t="s">
        <v>112</v>
      </c>
      <c r="AQ20" s="145" t="s">
        <v>113</v>
      </c>
      <c r="AR20" s="145" t="s">
        <v>112</v>
      </c>
      <c r="AS20" s="145" t="s">
        <v>112</v>
      </c>
      <c r="AT20" s="145" t="s">
        <v>113</v>
      </c>
      <c r="AU20" s="145" t="s">
        <v>113</v>
      </c>
      <c r="AV20" s="145" t="s">
        <v>113</v>
      </c>
      <c r="AW20" s="149" t="s">
        <v>108</v>
      </c>
      <c r="AX20" s="141" t="s">
        <v>108</v>
      </c>
      <c r="AY20" s="141" t="s">
        <v>108</v>
      </c>
      <c r="AZ20" s="141" t="s">
        <v>108</v>
      </c>
      <c r="BA20" s="141" t="s">
        <v>108</v>
      </c>
      <c r="BB20" s="141" t="s">
        <v>108</v>
      </c>
      <c r="BC20" s="141" t="s">
        <v>108</v>
      </c>
      <c r="BD20" s="150" t="s">
        <v>108</v>
      </c>
      <c r="BE20" s="149" t="s">
        <v>108</v>
      </c>
      <c r="BF20" s="149" t="s">
        <v>108</v>
      </c>
      <c r="BG20" s="149" t="s">
        <v>108</v>
      </c>
      <c r="BH20" s="149" t="s">
        <v>108</v>
      </c>
      <c r="BI20" s="149" t="s">
        <v>108</v>
      </c>
      <c r="BJ20" s="149" t="s">
        <v>108</v>
      </c>
      <c r="BK20" s="141" t="s">
        <v>108</v>
      </c>
      <c r="BL20" s="141" t="s">
        <v>108</v>
      </c>
      <c r="BM20" s="141" t="s">
        <v>108</v>
      </c>
      <c r="BN20" s="141" t="s">
        <v>108</v>
      </c>
      <c r="BO20" s="141" t="s">
        <v>108</v>
      </c>
      <c r="BP20" s="141" t="s">
        <v>108</v>
      </c>
      <c r="BQ20" s="141" t="s">
        <v>108</v>
      </c>
      <c r="BR20" s="141" t="s">
        <v>108</v>
      </c>
    </row>
    <row r="21" ht="18.75" customHeight="1">
      <c r="A21" s="147"/>
      <c r="B21" s="115"/>
      <c r="C21" s="157" t="s">
        <v>128</v>
      </c>
      <c r="D21" s="141" t="s">
        <v>108</v>
      </c>
      <c r="E21" s="141" t="s">
        <v>108</v>
      </c>
      <c r="F21" s="141" t="s">
        <v>108</v>
      </c>
      <c r="G21" s="141" t="s">
        <v>108</v>
      </c>
      <c r="H21" s="141" t="s">
        <v>108</v>
      </c>
      <c r="I21" s="141" t="s">
        <v>56</v>
      </c>
      <c r="J21" s="151" t="s">
        <v>108</v>
      </c>
      <c r="K21" s="141" t="s">
        <v>108</v>
      </c>
      <c r="L21" s="141" t="s">
        <v>108</v>
      </c>
      <c r="M21" s="141" t="s">
        <v>108</v>
      </c>
      <c r="N21" s="141" t="s">
        <v>108</v>
      </c>
      <c r="O21" s="144" t="s">
        <v>108</v>
      </c>
      <c r="P21" s="151" t="s">
        <v>108</v>
      </c>
      <c r="Q21" s="141" t="s">
        <v>108</v>
      </c>
      <c r="R21" s="141" t="s">
        <v>108</v>
      </c>
      <c r="S21" s="141" t="s">
        <v>108</v>
      </c>
      <c r="T21" s="141" t="s">
        <v>108</v>
      </c>
      <c r="U21" s="141" t="s">
        <v>108</v>
      </c>
      <c r="V21" s="141" t="s">
        <v>108</v>
      </c>
      <c r="W21" s="144" t="s">
        <v>108</v>
      </c>
      <c r="X21" s="151" t="s">
        <v>108</v>
      </c>
      <c r="Y21" s="141" t="s">
        <v>108</v>
      </c>
      <c r="Z21" s="141" t="s">
        <v>108</v>
      </c>
      <c r="AA21" s="141" t="s">
        <v>108</v>
      </c>
      <c r="AB21" s="141" t="s">
        <v>108</v>
      </c>
      <c r="AC21" s="141" t="s">
        <v>108</v>
      </c>
      <c r="AD21" s="144" t="s">
        <v>108</v>
      </c>
      <c r="AE21" s="141" t="s">
        <v>119</v>
      </c>
      <c r="AF21" s="141" t="s">
        <v>119</v>
      </c>
      <c r="AG21" s="141" t="s">
        <v>119</v>
      </c>
      <c r="AH21" s="141" t="s">
        <v>119</v>
      </c>
      <c r="AI21" s="141" t="s">
        <v>119</v>
      </c>
      <c r="AJ21" s="141" t="s">
        <v>119</v>
      </c>
      <c r="AK21" s="141" t="s">
        <v>119</v>
      </c>
      <c r="AL21" s="141" t="s">
        <v>119</v>
      </c>
      <c r="AM21" s="144" t="s">
        <v>119</v>
      </c>
      <c r="AN21" s="141" t="s">
        <v>119</v>
      </c>
      <c r="AO21" s="141" t="s">
        <v>119</v>
      </c>
      <c r="AP21" s="141" t="s">
        <v>119</v>
      </c>
      <c r="AQ21" s="141" t="s">
        <v>119</v>
      </c>
      <c r="AR21" s="141" t="s">
        <v>119</v>
      </c>
      <c r="AS21" s="141" t="s">
        <v>119</v>
      </c>
      <c r="AT21" s="141" t="s">
        <v>119</v>
      </c>
      <c r="AU21" s="141" t="s">
        <v>119</v>
      </c>
      <c r="AV21" s="141" t="s">
        <v>119</v>
      </c>
      <c r="AW21" s="141" t="s">
        <v>119</v>
      </c>
      <c r="AX21" s="141" t="s">
        <v>119</v>
      </c>
      <c r="AY21" s="141" t="s">
        <v>119</v>
      </c>
      <c r="AZ21" s="141" t="s">
        <v>119</v>
      </c>
      <c r="BA21" s="141" t="s">
        <v>119</v>
      </c>
      <c r="BB21" s="141" t="s">
        <v>119</v>
      </c>
      <c r="BC21" s="141" t="s">
        <v>119</v>
      </c>
      <c r="BD21" s="151" t="s">
        <v>119</v>
      </c>
      <c r="BE21" s="141" t="s">
        <v>119</v>
      </c>
      <c r="BF21" s="141" t="s">
        <v>119</v>
      </c>
      <c r="BG21" s="141" t="s">
        <v>119</v>
      </c>
      <c r="BH21" s="141" t="s">
        <v>119</v>
      </c>
      <c r="BI21" s="141" t="s">
        <v>119</v>
      </c>
      <c r="BJ21" s="141" t="s">
        <v>119</v>
      </c>
      <c r="BK21" s="141" t="s">
        <v>119</v>
      </c>
      <c r="BL21" s="141" t="s">
        <v>119</v>
      </c>
      <c r="BM21" s="141" t="s">
        <v>119</v>
      </c>
      <c r="BN21" s="141" t="s">
        <v>119</v>
      </c>
      <c r="BO21" s="141" t="s">
        <v>119</v>
      </c>
      <c r="BP21" s="141" t="s">
        <v>119</v>
      </c>
      <c r="BQ21" s="141" t="s">
        <v>119</v>
      </c>
      <c r="BR21" s="141" t="s">
        <v>119</v>
      </c>
    </row>
    <row r="22" ht="18.75" customHeight="1">
      <c r="A22" s="147"/>
      <c r="B22" s="115"/>
      <c r="C22" s="157" t="s">
        <v>129</v>
      </c>
      <c r="D22" s="141" t="s">
        <v>119</v>
      </c>
      <c r="E22" s="141" t="s">
        <v>119</v>
      </c>
      <c r="F22" s="141" t="s">
        <v>119</v>
      </c>
      <c r="G22" s="141" t="s">
        <v>119</v>
      </c>
      <c r="H22" s="141" t="s">
        <v>119</v>
      </c>
      <c r="I22" s="141" t="s">
        <v>119</v>
      </c>
      <c r="J22" s="151" t="s">
        <v>119</v>
      </c>
      <c r="K22" s="141" t="s">
        <v>119</v>
      </c>
      <c r="L22" s="141" t="s">
        <v>119</v>
      </c>
      <c r="M22" s="141" t="s">
        <v>119</v>
      </c>
      <c r="N22" s="141" t="s">
        <v>119</v>
      </c>
      <c r="O22" s="144" t="s">
        <v>119</v>
      </c>
      <c r="P22" s="141" t="s">
        <v>119</v>
      </c>
      <c r="Q22" s="141" t="s">
        <v>119</v>
      </c>
      <c r="R22" s="141" t="s">
        <v>119</v>
      </c>
      <c r="S22" s="141" t="s">
        <v>119</v>
      </c>
      <c r="T22" s="141" t="s">
        <v>119</v>
      </c>
      <c r="U22" s="141" t="s">
        <v>119</v>
      </c>
      <c r="V22" s="141" t="s">
        <v>119</v>
      </c>
      <c r="W22" s="141" t="s">
        <v>119</v>
      </c>
      <c r="X22" s="151" t="s">
        <v>119</v>
      </c>
      <c r="Y22" s="141" t="s">
        <v>119</v>
      </c>
      <c r="Z22" s="141" t="s">
        <v>119</v>
      </c>
      <c r="AA22" s="141" t="s">
        <v>119</v>
      </c>
      <c r="AB22" s="141" t="s">
        <v>119</v>
      </c>
      <c r="AC22" s="141" t="s">
        <v>119</v>
      </c>
      <c r="AD22" s="144" t="s">
        <v>119</v>
      </c>
      <c r="AE22" s="141" t="s">
        <v>108</v>
      </c>
      <c r="AF22" s="141" t="s">
        <v>108</v>
      </c>
      <c r="AG22" s="141" t="s">
        <v>108</v>
      </c>
      <c r="AH22" s="141" t="s">
        <v>108</v>
      </c>
      <c r="AI22" s="141" t="s">
        <v>108</v>
      </c>
      <c r="AJ22" s="141" t="s">
        <v>108</v>
      </c>
      <c r="AK22" s="141" t="s">
        <v>108</v>
      </c>
      <c r="AL22" s="141" t="s">
        <v>108</v>
      </c>
      <c r="AM22" s="144" t="s">
        <v>108</v>
      </c>
      <c r="AN22" s="141" t="s">
        <v>108</v>
      </c>
      <c r="AO22" s="141" t="s">
        <v>108</v>
      </c>
      <c r="AP22" s="158" t="s">
        <v>108</v>
      </c>
      <c r="AQ22" s="158" t="s">
        <v>108</v>
      </c>
      <c r="AR22" s="158" t="s">
        <v>108</v>
      </c>
      <c r="AS22" s="158" t="s">
        <v>108</v>
      </c>
      <c r="AT22" s="158" t="s">
        <v>108</v>
      </c>
      <c r="AU22" s="158" t="s">
        <v>108</v>
      </c>
      <c r="AV22" s="158" t="s">
        <v>108</v>
      </c>
      <c r="AW22" s="158" t="s">
        <v>108</v>
      </c>
      <c r="AX22" s="141" t="s">
        <v>108</v>
      </c>
      <c r="AY22" s="141" t="s">
        <v>108</v>
      </c>
      <c r="AZ22" s="141" t="s">
        <v>108</v>
      </c>
      <c r="BA22" s="141" t="s">
        <v>108</v>
      </c>
      <c r="BB22" s="141" t="s">
        <v>108</v>
      </c>
      <c r="BC22" s="141" t="s">
        <v>108</v>
      </c>
      <c r="BD22" s="151" t="s">
        <v>119</v>
      </c>
      <c r="BE22" s="141" t="s">
        <v>119</v>
      </c>
      <c r="BF22" s="141" t="s">
        <v>119</v>
      </c>
      <c r="BG22" s="141" t="s">
        <v>119</v>
      </c>
      <c r="BH22" s="141" t="s">
        <v>119</v>
      </c>
      <c r="BI22" s="141" t="s">
        <v>119</v>
      </c>
      <c r="BJ22" s="141" t="s">
        <v>119</v>
      </c>
      <c r="BK22" s="141" t="s">
        <v>119</v>
      </c>
      <c r="BL22" s="141" t="s">
        <v>119</v>
      </c>
      <c r="BM22" s="141" t="s">
        <v>119</v>
      </c>
      <c r="BN22" s="141" t="s">
        <v>119</v>
      </c>
      <c r="BO22" s="141" t="s">
        <v>119</v>
      </c>
      <c r="BP22" s="141" t="s">
        <v>119</v>
      </c>
      <c r="BQ22" s="141" t="s">
        <v>119</v>
      </c>
      <c r="BR22" s="141" t="s">
        <v>119</v>
      </c>
    </row>
    <row r="23" ht="18.75" customHeight="1">
      <c r="A23" s="159"/>
      <c r="B23" s="115"/>
      <c r="C23" s="155" t="s">
        <v>130</v>
      </c>
      <c r="D23" s="141" t="s">
        <v>119</v>
      </c>
      <c r="E23" s="141" t="s">
        <v>119</v>
      </c>
      <c r="F23" s="141" t="s">
        <v>119</v>
      </c>
      <c r="G23" s="141" t="s">
        <v>119</v>
      </c>
      <c r="H23" s="141" t="s">
        <v>119</v>
      </c>
      <c r="I23" s="141" t="s">
        <v>119</v>
      </c>
      <c r="J23" s="151" t="s">
        <v>119</v>
      </c>
      <c r="K23" s="141" t="s">
        <v>119</v>
      </c>
      <c r="L23" s="141" t="s">
        <v>119</v>
      </c>
      <c r="M23" s="141" t="s">
        <v>119</v>
      </c>
      <c r="N23" s="141" t="s">
        <v>119</v>
      </c>
      <c r="O23" s="144" t="s">
        <v>119</v>
      </c>
      <c r="P23" s="141" t="s">
        <v>119</v>
      </c>
      <c r="Q23" s="141" t="s">
        <v>119</v>
      </c>
      <c r="R23" s="141" t="s">
        <v>119</v>
      </c>
      <c r="S23" s="141" t="s">
        <v>119</v>
      </c>
      <c r="T23" s="141" t="s">
        <v>119</v>
      </c>
      <c r="U23" s="141" t="s">
        <v>119</v>
      </c>
      <c r="V23" s="141" t="s">
        <v>119</v>
      </c>
      <c r="W23" s="141" t="s">
        <v>119</v>
      </c>
      <c r="X23" s="151" t="s">
        <v>119</v>
      </c>
      <c r="Y23" s="141" t="s">
        <v>119</v>
      </c>
      <c r="Z23" s="141" t="s">
        <v>119</v>
      </c>
      <c r="AA23" s="141" t="s">
        <v>119</v>
      </c>
      <c r="AB23" s="141" t="s">
        <v>119</v>
      </c>
      <c r="AC23" s="141" t="s">
        <v>119</v>
      </c>
      <c r="AD23" s="144" t="s">
        <v>119</v>
      </c>
      <c r="AE23" s="141" t="s">
        <v>119</v>
      </c>
      <c r="AF23" s="141" t="s">
        <v>119</v>
      </c>
      <c r="AG23" s="141" t="s">
        <v>119</v>
      </c>
      <c r="AH23" s="141" t="s">
        <v>119</v>
      </c>
      <c r="AI23" s="141" t="s">
        <v>119</v>
      </c>
      <c r="AJ23" s="141" t="s">
        <v>119</v>
      </c>
      <c r="AK23" s="141" t="s">
        <v>119</v>
      </c>
      <c r="AL23" s="141" t="s">
        <v>119</v>
      </c>
      <c r="AM23" s="144" t="s">
        <v>119</v>
      </c>
      <c r="AN23" s="141" t="s">
        <v>119</v>
      </c>
      <c r="AO23" s="141" t="s">
        <v>119</v>
      </c>
      <c r="AP23" s="141" t="s">
        <v>119</v>
      </c>
      <c r="AQ23" s="141" t="s">
        <v>119</v>
      </c>
      <c r="AR23" s="141" t="s">
        <v>119</v>
      </c>
      <c r="AS23" s="141" t="s">
        <v>119</v>
      </c>
      <c r="AT23" s="141" t="s">
        <v>119</v>
      </c>
      <c r="AU23" s="141" t="s">
        <v>119</v>
      </c>
      <c r="AV23" s="141" t="s">
        <v>119</v>
      </c>
      <c r="AW23" s="141" t="s">
        <v>119</v>
      </c>
      <c r="AX23" s="141" t="s">
        <v>119</v>
      </c>
      <c r="AY23" s="141" t="s">
        <v>119</v>
      </c>
      <c r="AZ23" s="141" t="s">
        <v>119</v>
      </c>
      <c r="BA23" s="141" t="s">
        <v>119</v>
      </c>
      <c r="BB23" s="141" t="s">
        <v>119</v>
      </c>
      <c r="BC23" s="141" t="s">
        <v>119</v>
      </c>
      <c r="BD23" s="146" t="s">
        <v>110</v>
      </c>
      <c r="BE23" s="145" t="s">
        <v>110</v>
      </c>
      <c r="BF23" s="145" t="s">
        <v>110</v>
      </c>
      <c r="BG23" s="145" t="s">
        <v>109</v>
      </c>
      <c r="BH23" s="145" t="s">
        <v>109</v>
      </c>
      <c r="BI23" s="145" t="s">
        <v>109</v>
      </c>
      <c r="BJ23" s="145" t="s">
        <v>109</v>
      </c>
      <c r="BK23" s="145" t="s">
        <v>109</v>
      </c>
      <c r="BL23" s="141" t="s">
        <v>110</v>
      </c>
      <c r="BM23" s="145" t="s">
        <v>109</v>
      </c>
      <c r="BN23" s="141" t="s">
        <v>110</v>
      </c>
      <c r="BO23" s="145" t="s">
        <v>109</v>
      </c>
      <c r="BP23" s="141" t="s">
        <v>110</v>
      </c>
      <c r="BQ23" s="141" t="s">
        <v>110</v>
      </c>
      <c r="BR23" s="141" t="s">
        <v>108</v>
      </c>
    </row>
    <row r="24" ht="9.75" customHeight="1">
      <c r="A24" s="160"/>
      <c r="B24" s="161"/>
      <c r="C24" s="161"/>
      <c r="D24" s="162" t="str">
        <f t="shared" ref="D24:AM24" si="1">LINKURL(D5)</f>
        <v>https://reddit.com/r/RMTK/comments/ftq0uh</v>
      </c>
      <c r="E24" s="162" t="str">
        <f t="shared" si="1"/>
        <v>https://reddit.com/r/RMTK/comments/fu5pcf</v>
      </c>
      <c r="F24" s="162" t="str">
        <f t="shared" si="1"/>
        <v>https://reddit.com/r/RMTK/comments/frul6g</v>
      </c>
      <c r="G24" s="162" t="str">
        <f t="shared" si="1"/>
        <v>https://reddit.com/r/RMTK/comments/ft3no2</v>
      </c>
      <c r="H24" s="162" t="str">
        <f t="shared" si="1"/>
        <v>https://reddit.com/r/RMTK/comments/fur4rn</v>
      </c>
      <c r="I24" s="162" t="str">
        <f t="shared" si="1"/>
        <v>https://www.reddit.com/r/RMTK/comments/fyhsvd/stemming_tweede_kamer_over_m0163/</v>
      </c>
      <c r="J24" s="163" t="str">
        <f t="shared" si="1"/>
        <v>https://reddit.com/r/RMTK/comments/fvw34y</v>
      </c>
      <c r="K24" s="162" t="str">
        <f t="shared" si="1"/>
        <v>https://reddit.com/r/RMTK/comments/fx3ttl</v>
      </c>
      <c r="L24" s="162" t="str">
        <f t="shared" si="1"/>
        <v>https://reddit.com/r/RMTK/comments/fwa1h8</v>
      </c>
      <c r="M24" s="162" t="str">
        <f t="shared" si="1"/>
        <v>https://reddit.com/r/RMTK/comments/fz9q6d</v>
      </c>
      <c r="N24" s="162" t="str">
        <f t="shared" si="1"/>
        <v>https://reddit.com/r/RMTK/comments/fwhw8q</v>
      </c>
      <c r="O24" s="164" t="str">
        <f t="shared" si="1"/>
        <v>https://reddit.com/r/RMTK/comments/fx3ttg</v>
      </c>
      <c r="P24" s="162" t="str">
        <f t="shared" si="1"/>
        <v>https://www.reddit.com/r/RMTK/comments/fxpsug/m0155_motie_tot_hernoeming_flevoland_of_lelystad/</v>
      </c>
      <c r="Q24" s="162" t="str">
        <f t="shared" si="1"/>
        <v>https://www.reddit.com/r/RMTK/comments/fxhwmu/m0156_motie_tot_jaarlijkse_cursus/</v>
      </c>
      <c r="R24" s="162" t="str">
        <f t="shared" si="1"/>
        <v>https://www.reddit.com/r/RMTK/comments/fz3pfj/m0157_motie_tot_spelende_kinderen_blij_maken/</v>
      </c>
      <c r="S24" s="162" t="str">
        <f t="shared" si="1"/>
        <v>https://www.reddit.com/r/RMTK/comments/g0km1j/m0158_motie_tot_versoepelen_rijwetgeving/</v>
      </c>
      <c r="T24" s="162" t="str">
        <f t="shared" si="1"/>
        <v>https://www.reddit.com/r/RMTK/comments/fsgnao/w0076_vaststelling_van_de_begrotingsstaat_van_het/</v>
      </c>
      <c r="U24" s="162" t="str">
        <f t="shared" si="1"/>
        <v>https://www.reddit.com/r/RMTK/comments/g4o0o2/w0081i_amendement_tot_wijziging_van_de_wet_op/</v>
      </c>
      <c r="V24" s="162" t="str">
        <f t="shared" si="1"/>
        <v>https://www.reddit.com/r/RMTK/comments/g10sdl/w0082_wet_btwverhoging_vleesproducten_en/</v>
      </c>
      <c r="W24" s="162" t="str">
        <f t="shared" si="1"/>
        <v>https://www.reddit.com/r/RMTK/comments/g4ud01/w0084i_amendement_tot_wijziging_van_de_vlootwet/</v>
      </c>
      <c r="X24" s="163" t="str">
        <f t="shared" si="1"/>
        <v>https://www.reddit.com/r/RMTK/comments/g188en/m0159_motie_tot_uitleg_politieke_stromingen_in/</v>
      </c>
      <c r="Y24" s="162" t="str">
        <f t="shared" si="1"/>
        <v>https://www.reddit.com/r/RMTK/comments/g188dx/m0160_motie_tot_erkenning_van_taiwan_als/</v>
      </c>
      <c r="Z24" s="162" t="str">
        <f t="shared" si="1"/>
        <v>https://www.reddit.com/r/RMTK/comments/g2gjt7/m0161_motie_tot_verhoging_salaris_militairen/</v>
      </c>
      <c r="AA24" s="162" t="str">
        <f t="shared" si="1"/>
        <v>https://www.reddit.com/r/RMTK/comments/gbfml1/w0081_wijziging_van_de_wet_op_het_voortgezet/</v>
      </c>
      <c r="AB24" s="162" t="str">
        <f t="shared" si="1"/>
        <v>https://www.reddit.com/r/RMTK/comments/g1mxke/w0083_wetswijziging_ter_afschaffing_automatisch/</v>
      </c>
      <c r="AC24" s="162" t="str">
        <f t="shared" si="1"/>
        <v>https://www.reddit.com/r/RMTK/comments/g2bf4w/w0084_vlootwet_2020/</v>
      </c>
      <c r="AD24" s="164" t="str">
        <f t="shared" si="1"/>
        <v>https://www.reddit.com/r/RMTK/comments/g3jxay/w0085_wetswijziging_van_de_wet_op_de_kansspelen/</v>
      </c>
      <c r="AE24" s="162" t="str">
        <f t="shared" si="1"/>
        <v>https://reddit.com/r/RMTK/comments/g3pugv</v>
      </c>
      <c r="AF24" s="162" t="str">
        <f t="shared" si="1"/>
        <v>https://reddit.com/r/RMTK/comments/g5eso7</v>
      </c>
      <c r="AG24" s="162" t="str">
        <f t="shared" si="1"/>
        <v>https://reddit.com/r/RMTK/comments/g5wgvo</v>
      </c>
      <c r="AH24" s="162" t="str">
        <f t="shared" si="1"/>
        <v>https://reddit.com/r/RMTK/comments/g6m9by</v>
      </c>
      <c r="AI24" s="162" t="str">
        <f t="shared" si="1"/>
        <v>https://reddit.com/r/RMTK/comments/gdb6s1</v>
      </c>
      <c r="AJ24" s="162" t="str">
        <f t="shared" si="1"/>
        <v>https://reddit.com/r/RMTK/comments/g5aglx</v>
      </c>
      <c r="AK24" s="162" t="str">
        <f t="shared" si="1"/>
        <v>https://reddit.com/r/RMTK/comments/g60qgw</v>
      </c>
      <c r="AL24" s="162" t="str">
        <f t="shared" si="1"/>
        <v>https://reddit.com/r/RMTK/comments/gehwkg</v>
      </c>
      <c r="AM24" s="164" t="str">
        <f t="shared" si="1"/>
        <v>https://reddit.com/r/RMTK/comments/gc4mq7</v>
      </c>
      <c r="AN24" s="165" t="s">
        <v>131</v>
      </c>
      <c r="AO24" s="166" t="s">
        <v>132</v>
      </c>
      <c r="AP24" s="166" t="s">
        <v>133</v>
      </c>
      <c r="AQ24" s="166" t="s">
        <v>134</v>
      </c>
      <c r="AR24" s="166" t="s">
        <v>135</v>
      </c>
      <c r="AS24" s="166" t="s">
        <v>136</v>
      </c>
      <c r="AT24" s="166" t="s">
        <v>137</v>
      </c>
      <c r="AU24" s="166" t="s">
        <v>138</v>
      </c>
      <c r="AV24" s="166" t="s">
        <v>139</v>
      </c>
      <c r="AW24" s="167" t="s">
        <v>140</v>
      </c>
      <c r="AX24" s="168" t="s">
        <v>141</v>
      </c>
      <c r="AY24" s="168" t="s">
        <v>142</v>
      </c>
      <c r="AZ24" s="168" t="s">
        <v>143</v>
      </c>
      <c r="BA24" s="168" t="s">
        <v>144</v>
      </c>
      <c r="BB24" s="168" t="s">
        <v>145</v>
      </c>
      <c r="BC24" s="168" t="s">
        <v>146</v>
      </c>
      <c r="BD24" s="169"/>
      <c r="BE24" s="170"/>
      <c r="BF24" s="170"/>
      <c r="BG24" s="170"/>
      <c r="BH24" s="170"/>
      <c r="BI24" s="170"/>
      <c r="BJ24" s="170" t="str">
        <f t="shared" ref="BJ24:BR24" si="2">LINKURL(BH5)</f>
        <v/>
      </c>
      <c r="BK24" s="170" t="str">
        <f t="shared" si="2"/>
        <v/>
      </c>
      <c r="BL24" s="170" t="str">
        <f t="shared" si="2"/>
        <v/>
      </c>
      <c r="BM24" s="170" t="str">
        <f t="shared" si="2"/>
        <v/>
      </c>
      <c r="BN24" s="170" t="str">
        <f t="shared" si="2"/>
        <v/>
      </c>
      <c r="BO24" s="170" t="str">
        <f t="shared" si="2"/>
        <v/>
      </c>
      <c r="BP24" s="170" t="str">
        <f t="shared" si="2"/>
        <v/>
      </c>
      <c r="BQ24" s="170" t="str">
        <f t="shared" si="2"/>
        <v/>
      </c>
      <c r="BR24" s="170" t="str">
        <f t="shared" si="2"/>
        <v/>
      </c>
    </row>
    <row r="25" ht="18.75" customHeight="1">
      <c r="A25" s="171" t="s">
        <v>147</v>
      </c>
      <c r="B25" s="172" t="s">
        <v>31</v>
      </c>
      <c r="C25" s="173" t="s">
        <v>32</v>
      </c>
      <c r="D25" s="141" t="s">
        <v>110</v>
      </c>
      <c r="E25" s="141" t="s">
        <v>110</v>
      </c>
      <c r="F25" s="141" t="s">
        <v>110</v>
      </c>
      <c r="G25" s="141" t="s">
        <v>110</v>
      </c>
      <c r="H25" s="141" t="s">
        <v>110</v>
      </c>
      <c r="I25" s="141" t="s">
        <v>56</v>
      </c>
      <c r="J25" s="151" t="s">
        <v>109</v>
      </c>
      <c r="K25" s="141" t="s">
        <v>109</v>
      </c>
      <c r="L25" s="141" t="s">
        <v>109</v>
      </c>
      <c r="M25" s="141" t="s">
        <v>110</v>
      </c>
      <c r="N25" s="141" t="s">
        <v>109</v>
      </c>
      <c r="O25" s="144" t="s">
        <v>109</v>
      </c>
      <c r="P25" s="141" t="s">
        <v>109</v>
      </c>
      <c r="Q25" s="141" t="s">
        <v>110</v>
      </c>
      <c r="R25" s="141" t="s">
        <v>109</v>
      </c>
      <c r="S25" s="141" t="s">
        <v>109</v>
      </c>
      <c r="T25" s="141" t="s">
        <v>109</v>
      </c>
      <c r="U25" s="141" t="s">
        <v>110</v>
      </c>
      <c r="V25" s="141" t="s">
        <v>109</v>
      </c>
      <c r="W25" s="144" t="s">
        <v>109</v>
      </c>
      <c r="X25" s="151" t="s">
        <v>109</v>
      </c>
      <c r="Y25" s="141" t="s">
        <v>109</v>
      </c>
      <c r="Z25" s="141" t="s">
        <v>109</v>
      </c>
      <c r="AA25" s="141" t="s">
        <v>110</v>
      </c>
      <c r="AB25" s="141" t="s">
        <v>110</v>
      </c>
      <c r="AC25" s="141" t="s">
        <v>109</v>
      </c>
      <c r="AD25" s="144" t="s">
        <v>110</v>
      </c>
      <c r="AE25" s="141" t="s">
        <v>109</v>
      </c>
      <c r="AF25" s="141" t="s">
        <v>109</v>
      </c>
      <c r="AG25" s="141" t="s">
        <v>110</v>
      </c>
      <c r="AH25" s="141" t="s">
        <v>109</v>
      </c>
      <c r="AI25" s="141" t="s">
        <v>110</v>
      </c>
      <c r="AJ25" s="141" t="s">
        <v>110</v>
      </c>
      <c r="AK25" s="141" t="s">
        <v>109</v>
      </c>
      <c r="AL25" s="141" t="s">
        <v>110</v>
      </c>
      <c r="AM25" s="144" t="s">
        <v>110</v>
      </c>
      <c r="AN25" s="141" t="s">
        <v>112</v>
      </c>
      <c r="AO25" s="141" t="s">
        <v>112</v>
      </c>
      <c r="AP25" s="145" t="s">
        <v>113</v>
      </c>
      <c r="AQ25" s="145" t="s">
        <v>113</v>
      </c>
      <c r="AR25" s="145" t="s">
        <v>112</v>
      </c>
      <c r="AS25" s="145" t="s">
        <v>112</v>
      </c>
      <c r="AT25" s="145" t="s">
        <v>112</v>
      </c>
      <c r="AU25" s="145" t="s">
        <v>113</v>
      </c>
      <c r="AV25" s="145" t="s">
        <v>112</v>
      </c>
      <c r="AW25" s="145" t="s">
        <v>113</v>
      </c>
      <c r="AX25" s="141" t="s">
        <v>112</v>
      </c>
      <c r="AY25" s="141" t="s">
        <v>112</v>
      </c>
      <c r="AZ25" s="141" t="s">
        <v>113</v>
      </c>
      <c r="BA25" s="141" t="s">
        <v>112</v>
      </c>
      <c r="BB25" s="141" t="s">
        <v>113</v>
      </c>
      <c r="BC25" s="141" t="s">
        <v>113</v>
      </c>
      <c r="BD25" s="146" t="s">
        <v>109</v>
      </c>
      <c r="BE25" s="145" t="s">
        <v>109</v>
      </c>
      <c r="BF25" s="145" t="s">
        <v>110</v>
      </c>
      <c r="BG25" s="145" t="s">
        <v>110</v>
      </c>
      <c r="BH25" s="145" t="s">
        <v>110</v>
      </c>
      <c r="BI25" s="145" t="s">
        <v>110</v>
      </c>
      <c r="BJ25" s="145" t="s">
        <v>110</v>
      </c>
      <c r="BK25" s="141" t="s">
        <v>109</v>
      </c>
      <c r="BL25" s="141" t="s">
        <v>109</v>
      </c>
      <c r="BM25" s="145" t="s">
        <v>110</v>
      </c>
      <c r="BN25" s="145" t="s">
        <v>110</v>
      </c>
      <c r="BO25" s="141" t="s">
        <v>109</v>
      </c>
      <c r="BP25" s="145" t="s">
        <v>110</v>
      </c>
      <c r="BQ25" s="141" t="s">
        <v>108</v>
      </c>
      <c r="BR25" s="141" t="s">
        <v>108</v>
      </c>
    </row>
    <row r="26" ht="18.75" customHeight="1">
      <c r="A26" s="147"/>
      <c r="B26" s="115"/>
      <c r="C26" s="174" t="s">
        <v>148</v>
      </c>
      <c r="D26" s="141" t="s">
        <v>110</v>
      </c>
      <c r="E26" s="141" t="s">
        <v>110</v>
      </c>
      <c r="F26" s="141" t="s">
        <v>110</v>
      </c>
      <c r="G26" s="141" t="s">
        <v>110</v>
      </c>
      <c r="H26" s="141" t="s">
        <v>110</v>
      </c>
      <c r="I26" s="141" t="s">
        <v>56</v>
      </c>
      <c r="J26" s="151" t="s">
        <v>109</v>
      </c>
      <c r="K26" s="141" t="s">
        <v>109</v>
      </c>
      <c r="L26" s="141" t="s">
        <v>109</v>
      </c>
      <c r="M26" s="141" t="s">
        <v>110</v>
      </c>
      <c r="N26" s="141" t="s">
        <v>109</v>
      </c>
      <c r="O26" s="144" t="s">
        <v>109</v>
      </c>
      <c r="P26" s="141" t="s">
        <v>109</v>
      </c>
      <c r="Q26" s="141" t="s">
        <v>110</v>
      </c>
      <c r="R26" s="141" t="s">
        <v>109</v>
      </c>
      <c r="S26" s="141" t="s">
        <v>109</v>
      </c>
      <c r="T26" s="141" t="s">
        <v>109</v>
      </c>
      <c r="U26" s="141" t="s">
        <v>110</v>
      </c>
      <c r="V26" s="141" t="s">
        <v>109</v>
      </c>
      <c r="W26" s="144" t="s">
        <v>109</v>
      </c>
      <c r="X26" s="151" t="s">
        <v>109</v>
      </c>
      <c r="Y26" s="141" t="s">
        <v>109</v>
      </c>
      <c r="Z26" s="141" t="s">
        <v>109</v>
      </c>
      <c r="AA26" s="141" t="s">
        <v>110</v>
      </c>
      <c r="AB26" s="141" t="s">
        <v>110</v>
      </c>
      <c r="AC26" s="141" t="s">
        <v>109</v>
      </c>
      <c r="AD26" s="144" t="s">
        <v>110</v>
      </c>
      <c r="AE26" s="141" t="s">
        <v>109</v>
      </c>
      <c r="AF26" s="141" t="s">
        <v>109</v>
      </c>
      <c r="AG26" s="141" t="s">
        <v>110</v>
      </c>
      <c r="AH26" s="141" t="s">
        <v>109</v>
      </c>
      <c r="AI26" s="141" t="s">
        <v>110</v>
      </c>
      <c r="AJ26" s="141" t="s">
        <v>110</v>
      </c>
      <c r="AK26" s="141" t="s">
        <v>109</v>
      </c>
      <c r="AL26" s="141" t="s">
        <v>110</v>
      </c>
      <c r="AM26" s="144" t="s">
        <v>110</v>
      </c>
      <c r="AN26" s="141" t="s">
        <v>112</v>
      </c>
      <c r="AO26" s="141" t="s">
        <v>112</v>
      </c>
      <c r="AP26" s="145" t="s">
        <v>113</v>
      </c>
      <c r="AQ26" s="145" t="s">
        <v>113</v>
      </c>
      <c r="AR26" s="145" t="s">
        <v>112</v>
      </c>
      <c r="AS26" s="145" t="s">
        <v>112</v>
      </c>
      <c r="AT26" s="145" t="s">
        <v>112</v>
      </c>
      <c r="AU26" s="145" t="s">
        <v>113</v>
      </c>
      <c r="AV26" s="145" t="s">
        <v>112</v>
      </c>
      <c r="AW26" s="145" t="s">
        <v>113</v>
      </c>
      <c r="AX26" s="141" t="s">
        <v>112</v>
      </c>
      <c r="AY26" s="141" t="s">
        <v>112</v>
      </c>
      <c r="AZ26" s="141" t="s">
        <v>113</v>
      </c>
      <c r="BA26" s="141" t="s">
        <v>112</v>
      </c>
      <c r="BB26" s="141" t="s">
        <v>113</v>
      </c>
      <c r="BC26" s="141" t="s">
        <v>113</v>
      </c>
      <c r="BD26" s="146" t="s">
        <v>109</v>
      </c>
      <c r="BE26" s="145" t="s">
        <v>109</v>
      </c>
      <c r="BF26" s="145" t="s">
        <v>110</v>
      </c>
      <c r="BG26" s="145" t="s">
        <v>110</v>
      </c>
      <c r="BH26" s="145" t="s">
        <v>110</v>
      </c>
      <c r="BI26" s="145" t="s">
        <v>110</v>
      </c>
      <c r="BJ26" s="145" t="s">
        <v>110</v>
      </c>
      <c r="BK26" s="141" t="s">
        <v>109</v>
      </c>
      <c r="BL26" s="141" t="s">
        <v>109</v>
      </c>
      <c r="BM26" s="145" t="s">
        <v>110</v>
      </c>
      <c r="BN26" s="145" t="s">
        <v>110</v>
      </c>
      <c r="BO26" s="141" t="s">
        <v>109</v>
      </c>
      <c r="BP26" s="145" t="s">
        <v>110</v>
      </c>
      <c r="BQ26" s="141" t="s">
        <v>108</v>
      </c>
      <c r="BR26" s="141" t="s">
        <v>108</v>
      </c>
    </row>
    <row r="27" ht="18.75" customHeight="1">
      <c r="A27" s="147"/>
      <c r="B27" s="115"/>
      <c r="C27" s="174" t="s">
        <v>149</v>
      </c>
      <c r="D27" s="141" t="s">
        <v>110</v>
      </c>
      <c r="E27" s="141" t="s">
        <v>110</v>
      </c>
      <c r="F27" s="141" t="s">
        <v>110</v>
      </c>
      <c r="G27" s="141" t="s">
        <v>110</v>
      </c>
      <c r="H27" s="141" t="s">
        <v>110</v>
      </c>
      <c r="I27" s="141" t="s">
        <v>56</v>
      </c>
      <c r="J27" s="151" t="s">
        <v>109</v>
      </c>
      <c r="K27" s="141" t="s">
        <v>109</v>
      </c>
      <c r="L27" s="141" t="s">
        <v>109</v>
      </c>
      <c r="M27" s="141" t="s">
        <v>110</v>
      </c>
      <c r="N27" s="141" t="s">
        <v>109</v>
      </c>
      <c r="O27" s="144" t="s">
        <v>109</v>
      </c>
      <c r="P27" s="141" t="s">
        <v>109</v>
      </c>
      <c r="Q27" s="141" t="s">
        <v>110</v>
      </c>
      <c r="R27" s="141" t="s">
        <v>109</v>
      </c>
      <c r="S27" s="141" t="s">
        <v>109</v>
      </c>
      <c r="T27" s="141" t="s">
        <v>109</v>
      </c>
      <c r="U27" s="141" t="s">
        <v>110</v>
      </c>
      <c r="V27" s="141" t="s">
        <v>109</v>
      </c>
      <c r="W27" s="144" t="s">
        <v>109</v>
      </c>
      <c r="X27" s="151" t="s">
        <v>109</v>
      </c>
      <c r="Y27" s="141" t="s">
        <v>109</v>
      </c>
      <c r="Z27" s="141" t="s">
        <v>109</v>
      </c>
      <c r="AA27" s="141" t="s">
        <v>110</v>
      </c>
      <c r="AB27" s="141" t="s">
        <v>110</v>
      </c>
      <c r="AC27" s="141" t="s">
        <v>109</v>
      </c>
      <c r="AD27" s="144" t="s">
        <v>110</v>
      </c>
      <c r="AE27" s="141" t="s">
        <v>109</v>
      </c>
      <c r="AF27" s="141" t="s">
        <v>109</v>
      </c>
      <c r="AG27" s="141" t="s">
        <v>110</v>
      </c>
      <c r="AH27" s="141" t="s">
        <v>109</v>
      </c>
      <c r="AI27" s="141" t="s">
        <v>110</v>
      </c>
      <c r="AJ27" s="141" t="s">
        <v>110</v>
      </c>
      <c r="AK27" s="141" t="s">
        <v>109</v>
      </c>
      <c r="AL27" s="141" t="s">
        <v>110</v>
      </c>
      <c r="AM27" s="144" t="s">
        <v>110</v>
      </c>
      <c r="AN27" s="141" t="s">
        <v>112</v>
      </c>
      <c r="AO27" s="141" t="s">
        <v>112</v>
      </c>
      <c r="AP27" s="145" t="s">
        <v>113</v>
      </c>
      <c r="AQ27" s="145" t="s">
        <v>113</v>
      </c>
      <c r="AR27" s="145" t="s">
        <v>112</v>
      </c>
      <c r="AS27" s="145" t="s">
        <v>112</v>
      </c>
      <c r="AT27" s="145" t="s">
        <v>112</v>
      </c>
      <c r="AU27" s="145" t="s">
        <v>113</v>
      </c>
      <c r="AV27" s="145" t="s">
        <v>117</v>
      </c>
      <c r="AW27" s="145" t="s">
        <v>112</v>
      </c>
      <c r="AX27" s="141" t="s">
        <v>112</v>
      </c>
      <c r="AY27" s="141" t="s">
        <v>112</v>
      </c>
      <c r="AZ27" s="141" t="s">
        <v>113</v>
      </c>
      <c r="BA27" s="141" t="s">
        <v>112</v>
      </c>
      <c r="BB27" s="141" t="s">
        <v>113</v>
      </c>
      <c r="BC27" s="141" t="s">
        <v>113</v>
      </c>
      <c r="BD27" s="146" t="s">
        <v>109</v>
      </c>
      <c r="BE27" s="145" t="s">
        <v>109</v>
      </c>
      <c r="BF27" s="145" t="s">
        <v>110</v>
      </c>
      <c r="BG27" s="145" t="s">
        <v>110</v>
      </c>
      <c r="BH27" s="145" t="s">
        <v>110</v>
      </c>
      <c r="BI27" s="145" t="s">
        <v>110</v>
      </c>
      <c r="BJ27" s="145" t="s">
        <v>110</v>
      </c>
      <c r="BK27" s="141" t="s">
        <v>109</v>
      </c>
      <c r="BL27" s="141" t="s">
        <v>109</v>
      </c>
      <c r="BM27" s="145" t="s">
        <v>110</v>
      </c>
      <c r="BN27" s="145" t="s">
        <v>110</v>
      </c>
      <c r="BO27" s="141" t="s">
        <v>109</v>
      </c>
      <c r="BP27" s="145" t="s">
        <v>110</v>
      </c>
      <c r="BQ27" s="141" t="s">
        <v>108</v>
      </c>
      <c r="BR27" s="141" t="s">
        <v>108</v>
      </c>
    </row>
    <row r="28" ht="18.75" customHeight="1">
      <c r="A28" s="147"/>
      <c r="B28" s="115"/>
      <c r="C28" s="174" t="s">
        <v>150</v>
      </c>
      <c r="D28" s="141" t="s">
        <v>110</v>
      </c>
      <c r="E28" s="141" t="s">
        <v>110</v>
      </c>
      <c r="F28" s="141" t="s">
        <v>110</v>
      </c>
      <c r="G28" s="141" t="s">
        <v>110</v>
      </c>
      <c r="H28" s="141" t="s">
        <v>110</v>
      </c>
      <c r="I28" s="141" t="s">
        <v>56</v>
      </c>
      <c r="J28" s="151" t="s">
        <v>109</v>
      </c>
      <c r="K28" s="141" t="s">
        <v>109</v>
      </c>
      <c r="L28" s="141" t="s">
        <v>109</v>
      </c>
      <c r="M28" s="141" t="s">
        <v>110</v>
      </c>
      <c r="N28" s="141" t="s">
        <v>109</v>
      </c>
      <c r="O28" s="144" t="s">
        <v>109</v>
      </c>
      <c r="P28" s="141" t="s">
        <v>109</v>
      </c>
      <c r="Q28" s="141" t="s">
        <v>110</v>
      </c>
      <c r="R28" s="141" t="s">
        <v>109</v>
      </c>
      <c r="S28" s="141" t="s">
        <v>109</v>
      </c>
      <c r="T28" s="141" t="s">
        <v>109</v>
      </c>
      <c r="U28" s="141" t="s">
        <v>110</v>
      </c>
      <c r="V28" s="141" t="s">
        <v>109</v>
      </c>
      <c r="W28" s="144" t="s">
        <v>109</v>
      </c>
      <c r="X28" s="151" t="s">
        <v>109</v>
      </c>
      <c r="Y28" s="141" t="s">
        <v>109</v>
      </c>
      <c r="Z28" s="141" t="s">
        <v>109</v>
      </c>
      <c r="AA28" s="141" t="s">
        <v>110</v>
      </c>
      <c r="AB28" s="141" t="s">
        <v>110</v>
      </c>
      <c r="AC28" s="141" t="s">
        <v>109</v>
      </c>
      <c r="AD28" s="144" t="s">
        <v>110</v>
      </c>
      <c r="AE28" s="141" t="s">
        <v>109</v>
      </c>
      <c r="AF28" s="141" t="s">
        <v>109</v>
      </c>
      <c r="AG28" s="141" t="s">
        <v>110</v>
      </c>
      <c r="AH28" s="141" t="s">
        <v>109</v>
      </c>
      <c r="AI28" s="141" t="s">
        <v>110</v>
      </c>
      <c r="AJ28" s="141" t="s">
        <v>110</v>
      </c>
      <c r="AK28" s="141" t="s">
        <v>109</v>
      </c>
      <c r="AL28" s="141" t="s">
        <v>110</v>
      </c>
      <c r="AM28" s="144" t="s">
        <v>110</v>
      </c>
      <c r="AN28" s="141" t="s">
        <v>108</v>
      </c>
      <c r="AO28" s="141" t="s">
        <v>108</v>
      </c>
      <c r="AP28" s="149" t="s">
        <v>108</v>
      </c>
      <c r="AQ28" s="149" t="s">
        <v>108</v>
      </c>
      <c r="AR28" s="149" t="s">
        <v>108</v>
      </c>
      <c r="AS28" s="149" t="s">
        <v>108</v>
      </c>
      <c r="AT28" s="149" t="s">
        <v>108</v>
      </c>
      <c r="AU28" s="149" t="s">
        <v>108</v>
      </c>
      <c r="AV28" s="149" t="s">
        <v>108</v>
      </c>
      <c r="AW28" s="149" t="s">
        <v>108</v>
      </c>
      <c r="AX28" s="141" t="s">
        <v>112</v>
      </c>
      <c r="AY28" s="141" t="s">
        <v>112</v>
      </c>
      <c r="AZ28" s="141" t="s">
        <v>113</v>
      </c>
      <c r="BA28" s="141" t="s">
        <v>112</v>
      </c>
      <c r="BB28" s="141" t="s">
        <v>113</v>
      </c>
      <c r="BC28" s="141" t="s">
        <v>113</v>
      </c>
      <c r="BD28" s="146" t="s">
        <v>109</v>
      </c>
      <c r="BE28" s="145" t="s">
        <v>109</v>
      </c>
      <c r="BF28" s="145" t="s">
        <v>110</v>
      </c>
      <c r="BG28" s="145" t="s">
        <v>110</v>
      </c>
      <c r="BH28" s="145" t="s">
        <v>110</v>
      </c>
      <c r="BI28" s="145" t="s">
        <v>110</v>
      </c>
      <c r="BJ28" s="145" t="s">
        <v>110</v>
      </c>
      <c r="BK28" s="141" t="s">
        <v>109</v>
      </c>
      <c r="BL28" s="141" t="s">
        <v>109</v>
      </c>
      <c r="BM28" s="145" t="s">
        <v>110</v>
      </c>
      <c r="BN28" s="145" t="s">
        <v>110</v>
      </c>
      <c r="BO28" s="141" t="s">
        <v>109</v>
      </c>
      <c r="BP28" s="145" t="s">
        <v>110</v>
      </c>
      <c r="BQ28" s="141" t="s">
        <v>108</v>
      </c>
      <c r="BR28" s="141" t="s">
        <v>108</v>
      </c>
    </row>
    <row r="29" ht="18.75" customHeight="1">
      <c r="A29" s="147"/>
      <c r="B29" s="115"/>
      <c r="C29" s="174" t="s">
        <v>151</v>
      </c>
      <c r="D29" s="141" t="s">
        <v>110</v>
      </c>
      <c r="E29" s="141" t="s">
        <v>110</v>
      </c>
      <c r="F29" s="141" t="s">
        <v>110</v>
      </c>
      <c r="G29" s="141" t="s">
        <v>110</v>
      </c>
      <c r="H29" s="141" t="s">
        <v>110</v>
      </c>
      <c r="I29" s="141" t="s">
        <v>56</v>
      </c>
      <c r="J29" s="151" t="s">
        <v>109</v>
      </c>
      <c r="K29" s="141" t="s">
        <v>109</v>
      </c>
      <c r="L29" s="141" t="s">
        <v>109</v>
      </c>
      <c r="M29" s="141" t="s">
        <v>110</v>
      </c>
      <c r="N29" s="141" t="s">
        <v>109</v>
      </c>
      <c r="O29" s="144" t="s">
        <v>109</v>
      </c>
      <c r="P29" s="141" t="s">
        <v>109</v>
      </c>
      <c r="Q29" s="141" t="s">
        <v>110</v>
      </c>
      <c r="R29" s="141" t="s">
        <v>109</v>
      </c>
      <c r="S29" s="141" t="s">
        <v>109</v>
      </c>
      <c r="T29" s="141" t="s">
        <v>109</v>
      </c>
      <c r="U29" s="141" t="s">
        <v>110</v>
      </c>
      <c r="V29" s="141" t="s">
        <v>109</v>
      </c>
      <c r="W29" s="144" t="s">
        <v>109</v>
      </c>
      <c r="X29" s="151" t="s">
        <v>109</v>
      </c>
      <c r="Y29" s="141" t="s">
        <v>109</v>
      </c>
      <c r="Z29" s="141" t="s">
        <v>109</v>
      </c>
      <c r="AA29" s="141" t="s">
        <v>110</v>
      </c>
      <c r="AB29" s="141" t="s">
        <v>110</v>
      </c>
      <c r="AC29" s="141" t="s">
        <v>109</v>
      </c>
      <c r="AD29" s="144" t="s">
        <v>110</v>
      </c>
      <c r="AE29" s="141" t="s">
        <v>109</v>
      </c>
      <c r="AF29" s="141" t="s">
        <v>109</v>
      </c>
      <c r="AG29" s="141" t="s">
        <v>110</v>
      </c>
      <c r="AH29" s="141" t="s">
        <v>109</v>
      </c>
      <c r="AI29" s="141" t="s">
        <v>110</v>
      </c>
      <c r="AJ29" s="141" t="s">
        <v>110</v>
      </c>
      <c r="AK29" s="141" t="s">
        <v>109</v>
      </c>
      <c r="AL29" s="141" t="s">
        <v>110</v>
      </c>
      <c r="AM29" s="144" t="s">
        <v>110</v>
      </c>
      <c r="AN29" s="141" t="s">
        <v>108</v>
      </c>
      <c r="AO29" s="141" t="s">
        <v>108</v>
      </c>
      <c r="AP29" s="149" t="s">
        <v>108</v>
      </c>
      <c r="AQ29" s="149" t="s">
        <v>108</v>
      </c>
      <c r="AR29" s="149" t="s">
        <v>108</v>
      </c>
      <c r="AS29" s="149" t="s">
        <v>108</v>
      </c>
      <c r="AT29" s="149" t="s">
        <v>108</v>
      </c>
      <c r="AU29" s="149" t="s">
        <v>108</v>
      </c>
      <c r="AV29" s="149" t="s">
        <v>108</v>
      </c>
      <c r="AW29" s="145" t="s">
        <v>113</v>
      </c>
      <c r="AX29" s="141" t="s">
        <v>112</v>
      </c>
      <c r="AY29" s="141" t="s">
        <v>112</v>
      </c>
      <c r="AZ29" s="141" t="s">
        <v>113</v>
      </c>
      <c r="BA29" s="141" t="s">
        <v>112</v>
      </c>
      <c r="BB29" s="141" t="s">
        <v>113</v>
      </c>
      <c r="BC29" s="141" t="s">
        <v>113</v>
      </c>
      <c r="BD29" s="146" t="s">
        <v>109</v>
      </c>
      <c r="BE29" s="145" t="s">
        <v>109</v>
      </c>
      <c r="BF29" s="145" t="s">
        <v>110</v>
      </c>
      <c r="BG29" s="145" t="s">
        <v>110</v>
      </c>
      <c r="BH29" s="145" t="s">
        <v>110</v>
      </c>
      <c r="BI29" s="145" t="s">
        <v>110</v>
      </c>
      <c r="BJ29" s="145" t="s">
        <v>110</v>
      </c>
      <c r="BK29" s="141" t="s">
        <v>109</v>
      </c>
      <c r="BL29" s="141" t="s">
        <v>109</v>
      </c>
      <c r="BM29" s="145" t="s">
        <v>110</v>
      </c>
      <c r="BN29" s="145" t="s">
        <v>110</v>
      </c>
      <c r="BO29" s="141" t="s">
        <v>109</v>
      </c>
      <c r="BP29" s="145" t="s">
        <v>110</v>
      </c>
      <c r="BQ29" s="141" t="s">
        <v>108</v>
      </c>
      <c r="BR29" s="141" t="s">
        <v>108</v>
      </c>
    </row>
    <row r="30" ht="18.75" customHeight="1">
      <c r="A30" s="147"/>
      <c r="B30" s="175" t="s">
        <v>36</v>
      </c>
      <c r="C30" s="176" t="s">
        <v>152</v>
      </c>
      <c r="D30" s="141" t="s">
        <v>110</v>
      </c>
      <c r="E30" s="141" t="s">
        <v>109</v>
      </c>
      <c r="F30" s="141" t="s">
        <v>110</v>
      </c>
      <c r="G30" s="141" t="s">
        <v>110</v>
      </c>
      <c r="H30" s="141" t="s">
        <v>110</v>
      </c>
      <c r="I30" s="141" t="s">
        <v>56</v>
      </c>
      <c r="J30" s="151" t="s">
        <v>109</v>
      </c>
      <c r="K30" s="141" t="s">
        <v>110</v>
      </c>
      <c r="L30" s="141" t="s">
        <v>109</v>
      </c>
      <c r="M30" s="141" t="s">
        <v>109</v>
      </c>
      <c r="N30" s="141" t="s">
        <v>110</v>
      </c>
      <c r="O30" s="144" t="s">
        <v>110</v>
      </c>
      <c r="P30" s="141" t="s">
        <v>109</v>
      </c>
      <c r="Q30" s="141" t="s">
        <v>110</v>
      </c>
      <c r="R30" s="141" t="s">
        <v>110</v>
      </c>
      <c r="S30" s="141" t="s">
        <v>110</v>
      </c>
      <c r="T30" s="141" t="s">
        <v>110</v>
      </c>
      <c r="U30" s="141" t="s">
        <v>110</v>
      </c>
      <c r="V30" s="141" t="s">
        <v>109</v>
      </c>
      <c r="W30" s="144" t="s">
        <v>110</v>
      </c>
      <c r="X30" s="141" t="s">
        <v>109</v>
      </c>
      <c r="Y30" s="141" t="s">
        <v>109</v>
      </c>
      <c r="Z30" s="141" t="s">
        <v>110</v>
      </c>
      <c r="AA30" s="141" t="s">
        <v>110</v>
      </c>
      <c r="AB30" s="141" t="s">
        <v>110</v>
      </c>
      <c r="AC30" s="141" t="s">
        <v>110</v>
      </c>
      <c r="AD30" s="144" t="s">
        <v>110</v>
      </c>
      <c r="AE30" s="141" t="s">
        <v>110</v>
      </c>
      <c r="AF30" s="141" t="s">
        <v>109</v>
      </c>
      <c r="AG30" s="141" t="s">
        <v>110</v>
      </c>
      <c r="AH30" s="141" t="s">
        <v>110</v>
      </c>
      <c r="AI30" s="141" t="s">
        <v>110</v>
      </c>
      <c r="AJ30" s="141" t="s">
        <v>109</v>
      </c>
      <c r="AK30" s="141" t="s">
        <v>110</v>
      </c>
      <c r="AL30" s="141" t="s">
        <v>110</v>
      </c>
      <c r="AM30" s="144" t="s">
        <v>110</v>
      </c>
      <c r="AN30" s="141" t="s">
        <v>108</v>
      </c>
      <c r="AO30" s="141" t="s">
        <v>108</v>
      </c>
      <c r="AP30" s="149" t="s">
        <v>108</v>
      </c>
      <c r="AQ30" s="149" t="s">
        <v>108</v>
      </c>
      <c r="AR30" s="149" t="s">
        <v>108</v>
      </c>
      <c r="AS30" s="149" t="s">
        <v>108</v>
      </c>
      <c r="AT30" s="149" t="s">
        <v>108</v>
      </c>
      <c r="AU30" s="149" t="s">
        <v>108</v>
      </c>
      <c r="AV30" s="149" t="s">
        <v>108</v>
      </c>
      <c r="AW30" s="149" t="s">
        <v>108</v>
      </c>
      <c r="AX30" s="141" t="s">
        <v>112</v>
      </c>
      <c r="AY30" s="141" t="s">
        <v>113</v>
      </c>
      <c r="AZ30" s="141" t="s">
        <v>112</v>
      </c>
      <c r="BA30" s="141" t="s">
        <v>112</v>
      </c>
      <c r="BB30" s="141" t="s">
        <v>112</v>
      </c>
      <c r="BC30" s="141" t="s">
        <v>112</v>
      </c>
      <c r="BD30" s="146" t="s">
        <v>110</v>
      </c>
      <c r="BE30" s="145" t="s">
        <v>110</v>
      </c>
      <c r="BF30" s="145" t="s">
        <v>110</v>
      </c>
      <c r="BG30" s="145" t="s">
        <v>109</v>
      </c>
      <c r="BH30" s="145" t="s">
        <v>109</v>
      </c>
      <c r="BI30" s="145" t="s">
        <v>109</v>
      </c>
      <c r="BJ30" s="145" t="s">
        <v>110</v>
      </c>
      <c r="BK30" s="141" t="s">
        <v>109</v>
      </c>
      <c r="BL30" s="145" t="s">
        <v>110</v>
      </c>
      <c r="BM30" s="145" t="s">
        <v>110</v>
      </c>
      <c r="BN30" s="145" t="s">
        <v>110</v>
      </c>
      <c r="BO30" s="145" t="s">
        <v>110</v>
      </c>
      <c r="BP30" s="145" t="s">
        <v>110</v>
      </c>
      <c r="BQ30" s="145" t="s">
        <v>110</v>
      </c>
      <c r="BR30" s="141" t="s">
        <v>108</v>
      </c>
    </row>
    <row r="31" ht="18.75" customHeight="1">
      <c r="A31" s="147"/>
      <c r="B31" s="115"/>
      <c r="C31" s="177" t="s">
        <v>37</v>
      </c>
      <c r="D31" s="141" t="s">
        <v>110</v>
      </c>
      <c r="E31" s="141" t="s">
        <v>109</v>
      </c>
      <c r="F31" s="141" t="s">
        <v>110</v>
      </c>
      <c r="G31" s="141" t="s">
        <v>110</v>
      </c>
      <c r="H31" s="141" t="s">
        <v>109</v>
      </c>
      <c r="I31" s="141" t="s">
        <v>56</v>
      </c>
      <c r="J31" s="151" t="s">
        <v>109</v>
      </c>
      <c r="K31" s="141" t="s">
        <v>110</v>
      </c>
      <c r="L31" s="141" t="s">
        <v>109</v>
      </c>
      <c r="M31" s="141" t="s">
        <v>109</v>
      </c>
      <c r="N31" s="141" t="s">
        <v>110</v>
      </c>
      <c r="O31" s="144" t="s">
        <v>110</v>
      </c>
      <c r="P31" s="141" t="s">
        <v>109</v>
      </c>
      <c r="Q31" s="141" t="s">
        <v>109</v>
      </c>
      <c r="R31" s="141" t="s">
        <v>109</v>
      </c>
      <c r="S31" s="141" t="s">
        <v>109</v>
      </c>
      <c r="T31" s="141" t="s">
        <v>110</v>
      </c>
      <c r="U31" s="141" t="s">
        <v>110</v>
      </c>
      <c r="V31" s="141" t="s">
        <v>109</v>
      </c>
      <c r="W31" s="144" t="s">
        <v>110</v>
      </c>
      <c r="X31" s="141" t="s">
        <v>109</v>
      </c>
      <c r="Y31" s="141" t="s">
        <v>109</v>
      </c>
      <c r="Z31" s="141" t="s">
        <v>110</v>
      </c>
      <c r="AA31" s="141" t="s">
        <v>110</v>
      </c>
      <c r="AB31" s="141" t="s">
        <v>110</v>
      </c>
      <c r="AC31" s="141" t="s">
        <v>110</v>
      </c>
      <c r="AD31" s="144" t="s">
        <v>110</v>
      </c>
      <c r="AE31" s="141" t="s">
        <v>110</v>
      </c>
      <c r="AF31" s="141" t="s">
        <v>109</v>
      </c>
      <c r="AG31" s="141" t="s">
        <v>110</v>
      </c>
      <c r="AH31" s="141" t="s">
        <v>110</v>
      </c>
      <c r="AI31" s="141" t="s">
        <v>110</v>
      </c>
      <c r="AJ31" s="141" t="s">
        <v>109</v>
      </c>
      <c r="AK31" s="141" t="s">
        <v>110</v>
      </c>
      <c r="AL31" s="141" t="s">
        <v>110</v>
      </c>
      <c r="AM31" s="144" t="s">
        <v>110</v>
      </c>
      <c r="AN31" s="141" t="s">
        <v>113</v>
      </c>
      <c r="AO31" s="141" t="s">
        <v>112</v>
      </c>
      <c r="AP31" s="145" t="s">
        <v>112</v>
      </c>
      <c r="AQ31" s="145" t="s">
        <v>112</v>
      </c>
      <c r="AR31" s="145" t="s">
        <v>112</v>
      </c>
      <c r="AS31" s="145" t="s">
        <v>112</v>
      </c>
      <c r="AT31" s="145" t="s">
        <v>112</v>
      </c>
      <c r="AU31" s="145" t="s">
        <v>113</v>
      </c>
      <c r="AV31" s="145" t="s">
        <v>113</v>
      </c>
      <c r="AW31" s="145" t="s">
        <v>112</v>
      </c>
      <c r="AX31" s="141" t="s">
        <v>112</v>
      </c>
      <c r="AY31" s="141" t="s">
        <v>113</v>
      </c>
      <c r="AZ31" s="141" t="s">
        <v>112</v>
      </c>
      <c r="BA31" s="141" t="s">
        <v>112</v>
      </c>
      <c r="BB31" s="141" t="s">
        <v>112</v>
      </c>
      <c r="BC31" s="141" t="s">
        <v>112</v>
      </c>
      <c r="BD31" s="146" t="s">
        <v>110</v>
      </c>
      <c r="BE31" s="145" t="s">
        <v>110</v>
      </c>
      <c r="BF31" s="145" t="s">
        <v>110</v>
      </c>
      <c r="BG31" s="145" t="s">
        <v>109</v>
      </c>
      <c r="BH31" s="145" t="s">
        <v>109</v>
      </c>
      <c r="BI31" s="145" t="s">
        <v>109</v>
      </c>
      <c r="BJ31" s="145" t="s">
        <v>110</v>
      </c>
      <c r="BK31" s="141" t="s">
        <v>109</v>
      </c>
      <c r="BL31" s="145" t="s">
        <v>110</v>
      </c>
      <c r="BM31" s="145" t="s">
        <v>110</v>
      </c>
      <c r="BN31" s="145" t="s">
        <v>110</v>
      </c>
      <c r="BO31" s="145" t="s">
        <v>110</v>
      </c>
      <c r="BP31" s="145" t="s">
        <v>110</v>
      </c>
      <c r="BQ31" s="145" t="s">
        <v>110</v>
      </c>
      <c r="BR31" s="141" t="s">
        <v>108</v>
      </c>
    </row>
    <row r="32" ht="18.75" customHeight="1">
      <c r="A32" s="147"/>
      <c r="B32" s="115"/>
      <c r="C32" s="177" t="s">
        <v>153</v>
      </c>
      <c r="D32" s="141" t="s">
        <v>110</v>
      </c>
      <c r="E32" s="141" t="s">
        <v>109</v>
      </c>
      <c r="F32" s="141" t="s">
        <v>110</v>
      </c>
      <c r="G32" s="141" t="s">
        <v>110</v>
      </c>
      <c r="H32" s="141" t="s">
        <v>110</v>
      </c>
      <c r="I32" s="141" t="s">
        <v>56</v>
      </c>
      <c r="J32" s="151" t="s">
        <v>110</v>
      </c>
      <c r="K32" s="141" t="s">
        <v>110</v>
      </c>
      <c r="L32" s="141" t="s">
        <v>110</v>
      </c>
      <c r="M32" s="141" t="s">
        <v>110</v>
      </c>
      <c r="N32" s="141" t="s">
        <v>109</v>
      </c>
      <c r="O32" s="144" t="s">
        <v>110</v>
      </c>
      <c r="P32" s="141" t="s">
        <v>109</v>
      </c>
      <c r="Q32" s="141" t="s">
        <v>110</v>
      </c>
      <c r="R32" s="141" t="s">
        <v>110</v>
      </c>
      <c r="S32" s="141" t="s">
        <v>110</v>
      </c>
      <c r="T32" s="141" t="s">
        <v>110</v>
      </c>
      <c r="U32" s="141" t="s">
        <v>110</v>
      </c>
      <c r="V32" s="141" t="s">
        <v>109</v>
      </c>
      <c r="W32" s="144" t="s">
        <v>110</v>
      </c>
      <c r="X32" s="141" t="s">
        <v>109</v>
      </c>
      <c r="Y32" s="141" t="s">
        <v>109</v>
      </c>
      <c r="Z32" s="141" t="s">
        <v>110</v>
      </c>
      <c r="AA32" s="141" t="s">
        <v>110</v>
      </c>
      <c r="AB32" s="141" t="s">
        <v>110</v>
      </c>
      <c r="AC32" s="141" t="s">
        <v>110</v>
      </c>
      <c r="AD32" s="144" t="s">
        <v>110</v>
      </c>
      <c r="AE32" s="141" t="s">
        <v>110</v>
      </c>
      <c r="AF32" s="141" t="s">
        <v>110</v>
      </c>
      <c r="AG32" s="141" t="s">
        <v>110</v>
      </c>
      <c r="AH32" s="141" t="s">
        <v>110</v>
      </c>
      <c r="AI32" s="141" t="s">
        <v>110</v>
      </c>
      <c r="AJ32" s="141" t="s">
        <v>109</v>
      </c>
      <c r="AK32" s="141" t="s">
        <v>110</v>
      </c>
      <c r="AL32" s="141" t="s">
        <v>110</v>
      </c>
      <c r="AM32" s="144" t="s">
        <v>110</v>
      </c>
      <c r="AN32" s="141" t="s">
        <v>108</v>
      </c>
      <c r="AO32" s="141" t="s">
        <v>108</v>
      </c>
      <c r="AP32" s="149" t="s">
        <v>108</v>
      </c>
      <c r="AQ32" s="149" t="s">
        <v>108</v>
      </c>
      <c r="AR32" s="149" t="s">
        <v>108</v>
      </c>
      <c r="AS32" s="149" t="s">
        <v>108</v>
      </c>
      <c r="AT32" s="149" t="s">
        <v>108</v>
      </c>
      <c r="AU32" s="149" t="s">
        <v>108</v>
      </c>
      <c r="AV32" s="149" t="s">
        <v>108</v>
      </c>
      <c r="AW32" s="149" t="s">
        <v>108</v>
      </c>
      <c r="AX32" s="141" t="s">
        <v>112</v>
      </c>
      <c r="AY32" s="141" t="s">
        <v>113</v>
      </c>
      <c r="AZ32" s="141" t="s">
        <v>112</v>
      </c>
      <c r="BA32" s="141" t="s">
        <v>112</v>
      </c>
      <c r="BB32" s="141" t="s">
        <v>112</v>
      </c>
      <c r="BC32" s="141" t="s">
        <v>112</v>
      </c>
      <c r="BD32" s="150" t="s">
        <v>108</v>
      </c>
      <c r="BE32" s="149" t="s">
        <v>108</v>
      </c>
      <c r="BF32" s="149" t="s">
        <v>108</v>
      </c>
      <c r="BG32" s="149" t="s">
        <v>108</v>
      </c>
      <c r="BH32" s="149" t="s">
        <v>108</v>
      </c>
      <c r="BI32" s="149" t="s">
        <v>108</v>
      </c>
      <c r="BJ32" s="149" t="s">
        <v>108</v>
      </c>
      <c r="BK32" s="141" t="s">
        <v>108</v>
      </c>
      <c r="BL32" s="141" t="s">
        <v>108</v>
      </c>
      <c r="BM32" s="141" t="s">
        <v>108</v>
      </c>
      <c r="BN32" s="141" t="s">
        <v>108</v>
      </c>
      <c r="BO32" s="141" t="s">
        <v>108</v>
      </c>
      <c r="BP32" s="141" t="s">
        <v>108</v>
      </c>
      <c r="BQ32" s="141" t="s">
        <v>108</v>
      </c>
      <c r="BR32" s="141" t="s">
        <v>108</v>
      </c>
    </row>
    <row r="33" ht="18.75" customHeight="1">
      <c r="A33" s="147"/>
      <c r="B33" s="115"/>
      <c r="C33" s="178" t="s">
        <v>154</v>
      </c>
      <c r="D33" s="141" t="s">
        <v>110</v>
      </c>
      <c r="E33" s="141" t="s">
        <v>109</v>
      </c>
      <c r="F33" s="141" t="s">
        <v>110</v>
      </c>
      <c r="G33" s="141" t="s">
        <v>110</v>
      </c>
      <c r="H33" s="141" t="s">
        <v>110</v>
      </c>
      <c r="I33" s="141" t="s">
        <v>56</v>
      </c>
      <c r="J33" s="151" t="s">
        <v>109</v>
      </c>
      <c r="K33" s="141" t="s">
        <v>110</v>
      </c>
      <c r="L33" s="141" t="s">
        <v>109</v>
      </c>
      <c r="M33" s="141" t="s">
        <v>109</v>
      </c>
      <c r="N33" s="141" t="s">
        <v>110</v>
      </c>
      <c r="O33" s="144" t="s">
        <v>110</v>
      </c>
      <c r="P33" s="179" t="s">
        <v>109</v>
      </c>
      <c r="Q33" s="180" t="s">
        <v>110</v>
      </c>
      <c r="R33" s="180" t="s">
        <v>110</v>
      </c>
      <c r="S33" s="180" t="s">
        <v>110</v>
      </c>
      <c r="T33" s="180" t="s">
        <v>110</v>
      </c>
      <c r="U33" s="180" t="s">
        <v>110</v>
      </c>
      <c r="V33" s="179" t="s">
        <v>109</v>
      </c>
      <c r="W33" s="181" t="s">
        <v>110</v>
      </c>
      <c r="X33" s="141" t="s">
        <v>109</v>
      </c>
      <c r="Y33" s="141" t="s">
        <v>109</v>
      </c>
      <c r="Z33" s="141" t="s">
        <v>110</v>
      </c>
      <c r="AA33" s="141" t="s">
        <v>110</v>
      </c>
      <c r="AB33" s="141" t="s">
        <v>110</v>
      </c>
      <c r="AC33" s="141" t="s">
        <v>110</v>
      </c>
      <c r="AD33" s="144" t="s">
        <v>110</v>
      </c>
      <c r="AE33" s="141" t="s">
        <v>110</v>
      </c>
      <c r="AF33" s="141" t="s">
        <v>109</v>
      </c>
      <c r="AG33" s="141" t="s">
        <v>110</v>
      </c>
      <c r="AH33" s="141" t="s">
        <v>110</v>
      </c>
      <c r="AI33" s="141" t="s">
        <v>110</v>
      </c>
      <c r="AJ33" s="141" t="s">
        <v>109</v>
      </c>
      <c r="AK33" s="141" t="s">
        <v>110</v>
      </c>
      <c r="AL33" s="141" t="s">
        <v>110</v>
      </c>
      <c r="AM33" s="144" t="s">
        <v>110</v>
      </c>
      <c r="AN33" s="141" t="s">
        <v>119</v>
      </c>
      <c r="AO33" s="141" t="s">
        <v>119</v>
      </c>
      <c r="AP33" s="141" t="s">
        <v>119</v>
      </c>
      <c r="AQ33" s="141" t="s">
        <v>119</v>
      </c>
      <c r="AR33" s="141" t="s">
        <v>119</v>
      </c>
      <c r="AS33" s="141" t="s">
        <v>119</v>
      </c>
      <c r="AT33" s="141" t="s">
        <v>119</v>
      </c>
      <c r="AU33" s="141" t="s">
        <v>119</v>
      </c>
      <c r="AV33" s="141" t="s">
        <v>119</v>
      </c>
      <c r="AW33" s="141" t="s">
        <v>119</v>
      </c>
      <c r="AX33" s="141" t="s">
        <v>119</v>
      </c>
      <c r="AY33" s="141" t="s">
        <v>119</v>
      </c>
      <c r="AZ33" s="141" t="s">
        <v>119</v>
      </c>
      <c r="BA33" s="141" t="s">
        <v>119</v>
      </c>
      <c r="BB33" s="141" t="s">
        <v>119</v>
      </c>
      <c r="BC33" s="141" t="s">
        <v>119</v>
      </c>
      <c r="BD33" s="151" t="s">
        <v>119</v>
      </c>
      <c r="BE33" s="141" t="s">
        <v>119</v>
      </c>
      <c r="BF33" s="141" t="s">
        <v>119</v>
      </c>
      <c r="BG33" s="141" t="s">
        <v>119</v>
      </c>
      <c r="BH33" s="141" t="s">
        <v>119</v>
      </c>
      <c r="BI33" s="141" t="s">
        <v>119</v>
      </c>
      <c r="BJ33" s="141" t="s">
        <v>119</v>
      </c>
      <c r="BK33" s="141" t="s">
        <v>119</v>
      </c>
      <c r="BL33" s="141" t="s">
        <v>119</v>
      </c>
      <c r="BM33" s="141" t="s">
        <v>119</v>
      </c>
      <c r="BN33" s="141" t="s">
        <v>119</v>
      </c>
      <c r="BO33" s="141" t="s">
        <v>119</v>
      </c>
      <c r="BP33" s="141" t="s">
        <v>119</v>
      </c>
      <c r="BQ33" s="141" t="s">
        <v>119</v>
      </c>
      <c r="BR33" s="141" t="s">
        <v>119</v>
      </c>
    </row>
    <row r="34" ht="18.75" customHeight="1">
      <c r="A34" s="147"/>
      <c r="B34" s="115"/>
      <c r="C34" s="177" t="s">
        <v>155</v>
      </c>
      <c r="D34" s="141" t="s">
        <v>119</v>
      </c>
      <c r="E34" s="141" t="s">
        <v>119</v>
      </c>
      <c r="F34" s="141" t="s">
        <v>119</v>
      </c>
      <c r="G34" s="141" t="s">
        <v>119</v>
      </c>
      <c r="H34" s="141" t="s">
        <v>119</v>
      </c>
      <c r="I34" s="141" t="s">
        <v>119</v>
      </c>
      <c r="J34" s="151" t="s">
        <v>119</v>
      </c>
      <c r="K34" s="141" t="s">
        <v>119</v>
      </c>
      <c r="L34" s="141" t="s">
        <v>119</v>
      </c>
      <c r="M34" s="141" t="s">
        <v>119</v>
      </c>
      <c r="N34" s="141" t="s">
        <v>119</v>
      </c>
      <c r="O34" s="144" t="s">
        <v>119</v>
      </c>
      <c r="P34" s="141" t="s">
        <v>119</v>
      </c>
      <c r="Q34" s="141" t="s">
        <v>119</v>
      </c>
      <c r="R34" s="141" t="s">
        <v>119</v>
      </c>
      <c r="S34" s="141" t="s">
        <v>119</v>
      </c>
      <c r="T34" s="141" t="s">
        <v>119</v>
      </c>
      <c r="U34" s="141" t="s">
        <v>119</v>
      </c>
      <c r="V34" s="141" t="s">
        <v>119</v>
      </c>
      <c r="W34" s="141" t="s">
        <v>119</v>
      </c>
      <c r="X34" s="141" t="s">
        <v>119</v>
      </c>
      <c r="Y34" s="141" t="s">
        <v>119</v>
      </c>
      <c r="Z34" s="141" t="s">
        <v>119</v>
      </c>
      <c r="AA34" s="141" t="s">
        <v>119</v>
      </c>
      <c r="AB34" s="141" t="s">
        <v>119</v>
      </c>
      <c r="AC34" s="141" t="s">
        <v>119</v>
      </c>
      <c r="AD34" s="141" t="s">
        <v>119</v>
      </c>
      <c r="AE34" s="141" t="s">
        <v>119</v>
      </c>
      <c r="AF34" s="141" t="s">
        <v>119</v>
      </c>
      <c r="AG34" s="141" t="s">
        <v>119</v>
      </c>
      <c r="AH34" s="141" t="s">
        <v>119</v>
      </c>
      <c r="AI34" s="141" t="s">
        <v>119</v>
      </c>
      <c r="AJ34" s="141" t="s">
        <v>119</v>
      </c>
      <c r="AK34" s="141" t="s">
        <v>119</v>
      </c>
      <c r="AL34" s="141" t="s">
        <v>119</v>
      </c>
      <c r="AM34" s="144" t="s">
        <v>119</v>
      </c>
      <c r="AN34" s="141" t="s">
        <v>113</v>
      </c>
      <c r="AO34" s="141" t="s">
        <v>112</v>
      </c>
      <c r="AP34" s="145" t="s">
        <v>112</v>
      </c>
      <c r="AQ34" s="145" t="s">
        <v>112</v>
      </c>
      <c r="AR34" s="145" t="s">
        <v>112</v>
      </c>
      <c r="AS34" s="145" t="s">
        <v>113</v>
      </c>
      <c r="AT34" s="145" t="s">
        <v>112</v>
      </c>
      <c r="AU34" s="145" t="s">
        <v>112</v>
      </c>
      <c r="AV34" s="145" t="s">
        <v>113</v>
      </c>
      <c r="AW34" s="145" t="s">
        <v>113</v>
      </c>
      <c r="AX34" s="141" t="s">
        <v>108</v>
      </c>
      <c r="AY34" s="141" t="s">
        <v>108</v>
      </c>
      <c r="AZ34" s="141" t="s">
        <v>108</v>
      </c>
      <c r="BA34" s="141" t="s">
        <v>108</v>
      </c>
      <c r="BB34" s="141" t="s">
        <v>108</v>
      </c>
      <c r="BC34" s="141" t="s">
        <v>108</v>
      </c>
      <c r="BD34" s="146" t="s">
        <v>110</v>
      </c>
      <c r="BE34" s="145" t="s">
        <v>110</v>
      </c>
      <c r="BF34" s="145" t="s">
        <v>110</v>
      </c>
      <c r="BG34" s="145" t="s">
        <v>109</v>
      </c>
      <c r="BH34" s="145" t="s">
        <v>109</v>
      </c>
      <c r="BI34" s="145" t="s">
        <v>109</v>
      </c>
      <c r="BJ34" s="145" t="s">
        <v>110</v>
      </c>
      <c r="BK34" s="141" t="s">
        <v>109</v>
      </c>
      <c r="BL34" s="145" t="s">
        <v>110</v>
      </c>
      <c r="BM34" s="145" t="s">
        <v>110</v>
      </c>
      <c r="BN34" s="145" t="s">
        <v>110</v>
      </c>
      <c r="BO34" s="145" t="s">
        <v>110</v>
      </c>
      <c r="BP34" s="145" t="s">
        <v>110</v>
      </c>
      <c r="BQ34" s="145" t="s">
        <v>110</v>
      </c>
      <c r="BR34" s="141" t="s">
        <v>108</v>
      </c>
    </row>
    <row r="35" ht="18.75" customHeight="1">
      <c r="A35" s="147"/>
      <c r="B35" s="115"/>
      <c r="C35" s="178" t="s">
        <v>156</v>
      </c>
      <c r="D35" s="141" t="s">
        <v>110</v>
      </c>
      <c r="E35" s="141" t="s">
        <v>109</v>
      </c>
      <c r="F35" s="141" t="s">
        <v>110</v>
      </c>
      <c r="G35" s="141" t="s">
        <v>110</v>
      </c>
      <c r="H35" s="141" t="s">
        <v>109</v>
      </c>
      <c r="I35" s="141" t="s">
        <v>56</v>
      </c>
      <c r="J35" s="151" t="s">
        <v>108</v>
      </c>
      <c r="K35" s="141" t="s">
        <v>108</v>
      </c>
      <c r="L35" s="141" t="s">
        <v>108</v>
      </c>
      <c r="M35" s="141" t="s">
        <v>108</v>
      </c>
      <c r="N35" s="141" t="s">
        <v>108</v>
      </c>
      <c r="O35" s="144" t="s">
        <v>108</v>
      </c>
      <c r="P35" s="141" t="s">
        <v>119</v>
      </c>
      <c r="Q35" s="141" t="s">
        <v>119</v>
      </c>
      <c r="R35" s="141" t="s">
        <v>119</v>
      </c>
      <c r="S35" s="141" t="s">
        <v>119</v>
      </c>
      <c r="T35" s="141" t="s">
        <v>119</v>
      </c>
      <c r="U35" s="141" t="s">
        <v>119</v>
      </c>
      <c r="V35" s="141" t="s">
        <v>119</v>
      </c>
      <c r="W35" s="141" t="s">
        <v>119</v>
      </c>
      <c r="X35" s="141" t="s">
        <v>119</v>
      </c>
      <c r="Y35" s="141" t="s">
        <v>119</v>
      </c>
      <c r="Z35" s="141" t="s">
        <v>119</v>
      </c>
      <c r="AA35" s="141" t="s">
        <v>119</v>
      </c>
      <c r="AB35" s="141" t="s">
        <v>119</v>
      </c>
      <c r="AC35" s="141" t="s">
        <v>119</v>
      </c>
      <c r="AD35" s="141" t="s">
        <v>119</v>
      </c>
      <c r="AE35" s="141" t="s">
        <v>119</v>
      </c>
      <c r="AF35" s="141" t="s">
        <v>119</v>
      </c>
      <c r="AG35" s="141" t="s">
        <v>119</v>
      </c>
      <c r="AH35" s="141" t="s">
        <v>119</v>
      </c>
      <c r="AI35" s="141" t="s">
        <v>119</v>
      </c>
      <c r="AJ35" s="141" t="s">
        <v>119</v>
      </c>
      <c r="AK35" s="141" t="s">
        <v>119</v>
      </c>
      <c r="AL35" s="141" t="s">
        <v>119</v>
      </c>
      <c r="AM35" s="144" t="s">
        <v>119</v>
      </c>
      <c r="AN35" s="141" t="s">
        <v>119</v>
      </c>
      <c r="AO35" s="141" t="s">
        <v>119</v>
      </c>
      <c r="AP35" s="141" t="s">
        <v>119</v>
      </c>
      <c r="AQ35" s="141" t="s">
        <v>119</v>
      </c>
      <c r="AR35" s="141" t="s">
        <v>119</v>
      </c>
      <c r="AS35" s="141" t="s">
        <v>119</v>
      </c>
      <c r="AT35" s="141" t="s">
        <v>119</v>
      </c>
      <c r="AU35" s="141" t="s">
        <v>119</v>
      </c>
      <c r="AV35" s="141" t="s">
        <v>119</v>
      </c>
      <c r="AW35" s="141" t="s">
        <v>119</v>
      </c>
      <c r="AX35" s="141" t="s">
        <v>119</v>
      </c>
      <c r="AY35" s="141" t="s">
        <v>119</v>
      </c>
      <c r="AZ35" s="141" t="s">
        <v>119</v>
      </c>
      <c r="BA35" s="141" t="s">
        <v>119</v>
      </c>
      <c r="BB35" s="141" t="s">
        <v>119</v>
      </c>
      <c r="BC35" s="141" t="s">
        <v>119</v>
      </c>
      <c r="BD35" s="151" t="s">
        <v>119</v>
      </c>
      <c r="BE35" s="141" t="s">
        <v>119</v>
      </c>
      <c r="BF35" s="141" t="s">
        <v>119</v>
      </c>
      <c r="BG35" s="141" t="s">
        <v>119</v>
      </c>
      <c r="BH35" s="141" t="s">
        <v>119</v>
      </c>
      <c r="BI35" s="141" t="s">
        <v>119</v>
      </c>
      <c r="BJ35" s="141" t="s">
        <v>119</v>
      </c>
      <c r="BK35" s="141" t="s">
        <v>119</v>
      </c>
      <c r="BL35" s="141" t="s">
        <v>119</v>
      </c>
      <c r="BM35" s="141" t="s">
        <v>119</v>
      </c>
      <c r="BN35" s="141" t="s">
        <v>119</v>
      </c>
      <c r="BO35" s="141" t="s">
        <v>119</v>
      </c>
      <c r="BP35" s="141" t="s">
        <v>119</v>
      </c>
      <c r="BQ35" s="141" t="s">
        <v>119</v>
      </c>
      <c r="BR35" s="141" t="s">
        <v>119</v>
      </c>
    </row>
    <row r="36" ht="18.75" customHeight="1">
      <c r="A36" s="147"/>
      <c r="B36" s="115"/>
      <c r="C36" s="178" t="s">
        <v>44</v>
      </c>
      <c r="D36" s="141" t="s">
        <v>119</v>
      </c>
      <c r="E36" s="141" t="s">
        <v>119</v>
      </c>
      <c r="F36" s="141" t="s">
        <v>119</v>
      </c>
      <c r="G36" s="141" t="s">
        <v>119</v>
      </c>
      <c r="H36" s="141" t="s">
        <v>119</v>
      </c>
      <c r="I36" s="141" t="s">
        <v>119</v>
      </c>
      <c r="J36" s="151" t="s">
        <v>119</v>
      </c>
      <c r="K36" s="141" t="s">
        <v>119</v>
      </c>
      <c r="L36" s="141" t="s">
        <v>119</v>
      </c>
      <c r="M36" s="141" t="s">
        <v>119</v>
      </c>
      <c r="N36" s="141" t="s">
        <v>119</v>
      </c>
      <c r="O36" s="144" t="s">
        <v>119</v>
      </c>
      <c r="P36" s="141" t="s">
        <v>109</v>
      </c>
      <c r="Q36" s="141" t="s">
        <v>109</v>
      </c>
      <c r="R36" s="141" t="s">
        <v>109</v>
      </c>
      <c r="S36" s="141" t="s">
        <v>109</v>
      </c>
      <c r="T36" s="141" t="s">
        <v>110</v>
      </c>
      <c r="U36" s="141" t="s">
        <v>110</v>
      </c>
      <c r="V36" s="141" t="s">
        <v>109</v>
      </c>
      <c r="W36" s="144" t="s">
        <v>110</v>
      </c>
      <c r="X36" s="141" t="s">
        <v>109</v>
      </c>
      <c r="Y36" s="141" t="s">
        <v>110</v>
      </c>
      <c r="Z36" s="141" t="s">
        <v>110</v>
      </c>
      <c r="AA36" s="141" t="s">
        <v>109</v>
      </c>
      <c r="AB36" s="141" t="s">
        <v>109</v>
      </c>
      <c r="AC36" s="141" t="s">
        <v>110</v>
      </c>
      <c r="AD36" s="144" t="s">
        <v>110</v>
      </c>
      <c r="AE36" s="141" t="s">
        <v>110</v>
      </c>
      <c r="AF36" s="141" t="s">
        <v>109</v>
      </c>
      <c r="AG36" s="141" t="s">
        <v>110</v>
      </c>
      <c r="AH36" s="141" t="s">
        <v>110</v>
      </c>
      <c r="AI36" s="141" t="s">
        <v>110</v>
      </c>
      <c r="AJ36" s="141" t="s">
        <v>109</v>
      </c>
      <c r="AK36" s="141" t="s">
        <v>110</v>
      </c>
      <c r="AL36" s="141" t="s">
        <v>110</v>
      </c>
      <c r="AM36" s="144" t="s">
        <v>110</v>
      </c>
      <c r="AN36" s="141" t="s">
        <v>119</v>
      </c>
      <c r="AO36" s="141" t="s">
        <v>119</v>
      </c>
      <c r="AP36" s="141" t="s">
        <v>119</v>
      </c>
      <c r="AQ36" s="141" t="s">
        <v>119</v>
      </c>
      <c r="AR36" s="141" t="s">
        <v>119</v>
      </c>
      <c r="AS36" s="141" t="s">
        <v>119</v>
      </c>
      <c r="AT36" s="141" t="s">
        <v>119</v>
      </c>
      <c r="AU36" s="141" t="s">
        <v>119</v>
      </c>
      <c r="AV36" s="141" t="s">
        <v>119</v>
      </c>
      <c r="AW36" s="141" t="s">
        <v>119</v>
      </c>
      <c r="AX36" s="141" t="s">
        <v>119</v>
      </c>
      <c r="AY36" s="141" t="s">
        <v>119</v>
      </c>
      <c r="AZ36" s="141" t="s">
        <v>119</v>
      </c>
      <c r="BA36" s="141" t="s">
        <v>119</v>
      </c>
      <c r="BB36" s="141" t="s">
        <v>119</v>
      </c>
      <c r="BC36" s="141" t="s">
        <v>119</v>
      </c>
      <c r="BD36" s="151" t="s">
        <v>119</v>
      </c>
      <c r="BE36" s="141" t="s">
        <v>119</v>
      </c>
      <c r="BF36" s="141" t="s">
        <v>119</v>
      </c>
      <c r="BG36" s="141" t="s">
        <v>119</v>
      </c>
      <c r="BH36" s="141" t="s">
        <v>119</v>
      </c>
      <c r="BI36" s="141" t="s">
        <v>119</v>
      </c>
      <c r="BJ36" s="141" t="s">
        <v>119</v>
      </c>
      <c r="BK36" s="141" t="s">
        <v>119</v>
      </c>
      <c r="BL36" s="141" t="s">
        <v>119</v>
      </c>
      <c r="BM36" s="141" t="s">
        <v>119</v>
      </c>
      <c r="BN36" s="141" t="s">
        <v>119</v>
      </c>
      <c r="BO36" s="141" t="s">
        <v>119</v>
      </c>
      <c r="BP36" s="141" t="s">
        <v>119</v>
      </c>
      <c r="BQ36" s="141" t="s">
        <v>119</v>
      </c>
      <c r="BR36" s="141" t="s">
        <v>119</v>
      </c>
    </row>
    <row r="37" ht="18.75" customHeight="1">
      <c r="A37" s="147"/>
      <c r="B37" s="115"/>
      <c r="C37" s="177" t="s">
        <v>157</v>
      </c>
      <c r="D37" s="141" t="s">
        <v>119</v>
      </c>
      <c r="E37" s="141" t="s">
        <v>119</v>
      </c>
      <c r="F37" s="141" t="s">
        <v>119</v>
      </c>
      <c r="G37" s="141" t="s">
        <v>119</v>
      </c>
      <c r="H37" s="141" t="s">
        <v>119</v>
      </c>
      <c r="I37" s="141" t="s">
        <v>119</v>
      </c>
      <c r="J37" s="151" t="s">
        <v>119</v>
      </c>
      <c r="K37" s="141" t="s">
        <v>119</v>
      </c>
      <c r="L37" s="141" t="s">
        <v>119</v>
      </c>
      <c r="M37" s="141" t="s">
        <v>119</v>
      </c>
      <c r="N37" s="141" t="s">
        <v>119</v>
      </c>
      <c r="O37" s="144" t="s">
        <v>119</v>
      </c>
      <c r="P37" s="141" t="s">
        <v>119</v>
      </c>
      <c r="Q37" s="141" t="s">
        <v>119</v>
      </c>
      <c r="R37" s="141" t="s">
        <v>119</v>
      </c>
      <c r="S37" s="141" t="s">
        <v>119</v>
      </c>
      <c r="T37" s="141" t="s">
        <v>119</v>
      </c>
      <c r="U37" s="141" t="s">
        <v>119</v>
      </c>
      <c r="V37" s="141" t="s">
        <v>119</v>
      </c>
      <c r="W37" s="141" t="s">
        <v>119</v>
      </c>
      <c r="X37" s="141" t="s">
        <v>119</v>
      </c>
      <c r="Y37" s="141" t="s">
        <v>119</v>
      </c>
      <c r="Z37" s="141" t="s">
        <v>119</v>
      </c>
      <c r="AA37" s="141" t="s">
        <v>119</v>
      </c>
      <c r="AB37" s="141" t="s">
        <v>119</v>
      </c>
      <c r="AC37" s="141" t="s">
        <v>119</v>
      </c>
      <c r="AD37" s="141" t="s">
        <v>119</v>
      </c>
      <c r="AE37" s="141" t="s">
        <v>119</v>
      </c>
      <c r="AF37" s="141" t="s">
        <v>119</v>
      </c>
      <c r="AG37" s="141" t="s">
        <v>119</v>
      </c>
      <c r="AH37" s="141" t="s">
        <v>119</v>
      </c>
      <c r="AI37" s="141" t="s">
        <v>119</v>
      </c>
      <c r="AJ37" s="141" t="s">
        <v>119</v>
      </c>
      <c r="AK37" s="141" t="s">
        <v>119</v>
      </c>
      <c r="AL37" s="141" t="s">
        <v>119</v>
      </c>
      <c r="AM37" s="144" t="s">
        <v>119</v>
      </c>
      <c r="AN37" s="141" t="s">
        <v>113</v>
      </c>
      <c r="AO37" s="141" t="s">
        <v>112</v>
      </c>
      <c r="AP37" s="145" t="s">
        <v>112</v>
      </c>
      <c r="AQ37" s="145" t="s">
        <v>112</v>
      </c>
      <c r="AR37" s="145" t="s">
        <v>112</v>
      </c>
      <c r="AS37" s="145" t="s">
        <v>113</v>
      </c>
      <c r="AT37" s="145" t="s">
        <v>112</v>
      </c>
      <c r="AU37" s="145" t="s">
        <v>112</v>
      </c>
      <c r="AV37" s="145" t="s">
        <v>113</v>
      </c>
      <c r="AW37" s="145" t="s">
        <v>112</v>
      </c>
      <c r="AX37" s="141" t="s">
        <v>112</v>
      </c>
      <c r="AY37" s="141" t="s">
        <v>113</v>
      </c>
      <c r="AZ37" s="141" t="s">
        <v>112</v>
      </c>
      <c r="BA37" s="141" t="s">
        <v>112</v>
      </c>
      <c r="BB37" s="141" t="s">
        <v>112</v>
      </c>
      <c r="BC37" s="141" t="s">
        <v>112</v>
      </c>
      <c r="BD37" s="146" t="s">
        <v>110</v>
      </c>
      <c r="BE37" s="145" t="s">
        <v>110</v>
      </c>
      <c r="BF37" s="145" t="s">
        <v>110</v>
      </c>
      <c r="BG37" s="145" t="s">
        <v>109</v>
      </c>
      <c r="BH37" s="145" t="s">
        <v>109</v>
      </c>
      <c r="BI37" s="145" t="s">
        <v>109</v>
      </c>
      <c r="BJ37" s="145" t="s">
        <v>110</v>
      </c>
      <c r="BK37" s="141" t="s">
        <v>109</v>
      </c>
      <c r="BL37" s="145" t="s">
        <v>110</v>
      </c>
      <c r="BM37" s="145" t="s">
        <v>110</v>
      </c>
      <c r="BN37" s="145" t="s">
        <v>110</v>
      </c>
      <c r="BO37" s="145" t="s">
        <v>110</v>
      </c>
      <c r="BP37" s="145" t="s">
        <v>110</v>
      </c>
      <c r="BQ37" s="145" t="s">
        <v>110</v>
      </c>
      <c r="BR37" s="141" t="s">
        <v>108</v>
      </c>
    </row>
    <row r="38" ht="18.75" customHeight="1">
      <c r="A38" s="147"/>
      <c r="B38" s="182" t="s">
        <v>43</v>
      </c>
      <c r="C38" s="183" t="s">
        <v>44</v>
      </c>
      <c r="D38" s="141" t="s">
        <v>119</v>
      </c>
      <c r="E38" s="141" t="s">
        <v>119</v>
      </c>
      <c r="F38" s="141" t="s">
        <v>119</v>
      </c>
      <c r="G38" s="141" t="s">
        <v>119</v>
      </c>
      <c r="H38" s="141" t="s">
        <v>119</v>
      </c>
      <c r="I38" s="141" t="s">
        <v>119</v>
      </c>
      <c r="J38" s="151" t="s">
        <v>119</v>
      </c>
      <c r="K38" s="141" t="s">
        <v>119</v>
      </c>
      <c r="L38" s="141" t="s">
        <v>119</v>
      </c>
      <c r="M38" s="141" t="s">
        <v>119</v>
      </c>
      <c r="N38" s="141" t="s">
        <v>119</v>
      </c>
      <c r="O38" s="144" t="s">
        <v>119</v>
      </c>
      <c r="P38" s="141" t="s">
        <v>119</v>
      </c>
      <c r="Q38" s="141" t="s">
        <v>119</v>
      </c>
      <c r="R38" s="141" t="s">
        <v>119</v>
      </c>
      <c r="S38" s="141" t="s">
        <v>119</v>
      </c>
      <c r="T38" s="141" t="s">
        <v>119</v>
      </c>
      <c r="U38" s="141" t="s">
        <v>119</v>
      </c>
      <c r="V38" s="141" t="s">
        <v>119</v>
      </c>
      <c r="W38" s="141" t="s">
        <v>119</v>
      </c>
      <c r="X38" s="141" t="s">
        <v>119</v>
      </c>
      <c r="Y38" s="141" t="s">
        <v>119</v>
      </c>
      <c r="Z38" s="141" t="s">
        <v>119</v>
      </c>
      <c r="AA38" s="141" t="s">
        <v>119</v>
      </c>
      <c r="AB38" s="141" t="s">
        <v>119</v>
      </c>
      <c r="AC38" s="141" t="s">
        <v>119</v>
      </c>
      <c r="AD38" s="141" t="s">
        <v>119</v>
      </c>
      <c r="AE38" s="141" t="s">
        <v>119</v>
      </c>
      <c r="AF38" s="141" t="s">
        <v>119</v>
      </c>
      <c r="AG38" s="141" t="s">
        <v>119</v>
      </c>
      <c r="AH38" s="141" t="s">
        <v>119</v>
      </c>
      <c r="AI38" s="141" t="s">
        <v>119</v>
      </c>
      <c r="AJ38" s="141" t="s">
        <v>119</v>
      </c>
      <c r="AK38" s="141" t="s">
        <v>119</v>
      </c>
      <c r="AL38" s="141" t="s">
        <v>119</v>
      </c>
      <c r="AM38" s="144" t="s">
        <v>119</v>
      </c>
      <c r="AN38" s="141" t="s">
        <v>113</v>
      </c>
      <c r="AO38" s="141" t="s">
        <v>112</v>
      </c>
      <c r="AP38" s="145" t="s">
        <v>112</v>
      </c>
      <c r="AQ38" s="145" t="s">
        <v>113</v>
      </c>
      <c r="AR38" s="145" t="s">
        <v>112</v>
      </c>
      <c r="AS38" s="145" t="s">
        <v>112</v>
      </c>
      <c r="AT38" s="145" t="s">
        <v>112</v>
      </c>
      <c r="AU38" s="145" t="s">
        <v>113</v>
      </c>
      <c r="AV38" s="145" t="s">
        <v>113</v>
      </c>
      <c r="AW38" s="145" t="s">
        <v>112</v>
      </c>
      <c r="AX38" s="145" t="s">
        <v>112</v>
      </c>
      <c r="AY38" s="145" t="s">
        <v>112</v>
      </c>
      <c r="AZ38" s="145" t="s">
        <v>112</v>
      </c>
      <c r="BA38" s="145" t="s">
        <v>112</v>
      </c>
      <c r="BB38" s="145" t="s">
        <v>112</v>
      </c>
      <c r="BC38" s="145" t="s">
        <v>112</v>
      </c>
      <c r="BD38" s="146" t="s">
        <v>110</v>
      </c>
      <c r="BE38" s="145" t="s">
        <v>109</v>
      </c>
      <c r="BF38" s="145" t="s">
        <v>110</v>
      </c>
      <c r="BG38" s="145" t="s">
        <v>109</v>
      </c>
      <c r="BH38" s="145" t="s">
        <v>109</v>
      </c>
      <c r="BI38" s="145" t="s">
        <v>109</v>
      </c>
      <c r="BJ38" s="145" t="s">
        <v>110</v>
      </c>
      <c r="BK38" s="145" t="s">
        <v>110</v>
      </c>
      <c r="BL38" s="145" t="s">
        <v>110</v>
      </c>
      <c r="BM38" s="145" t="s">
        <v>110</v>
      </c>
      <c r="BN38" s="145" t="s">
        <v>110</v>
      </c>
      <c r="BO38" s="145" t="s">
        <v>110</v>
      </c>
      <c r="BP38" s="145" t="s">
        <v>110</v>
      </c>
      <c r="BQ38" s="141" t="s">
        <v>109</v>
      </c>
      <c r="BR38" s="141" t="s">
        <v>108</v>
      </c>
    </row>
    <row r="39" ht="18.75" customHeight="1">
      <c r="A39" s="184"/>
      <c r="B39" s="185" t="s">
        <v>49</v>
      </c>
      <c r="C39" s="186" t="s">
        <v>50</v>
      </c>
      <c r="D39" s="141" t="s">
        <v>110</v>
      </c>
      <c r="E39" s="187" t="s">
        <v>117</v>
      </c>
      <c r="F39" s="187" t="s">
        <v>117</v>
      </c>
      <c r="G39" s="187" t="s">
        <v>117</v>
      </c>
      <c r="H39" s="187" t="s">
        <v>117</v>
      </c>
      <c r="I39" s="188" t="s">
        <v>56</v>
      </c>
      <c r="J39" s="151" t="s">
        <v>117</v>
      </c>
      <c r="K39" s="141" t="s">
        <v>117</v>
      </c>
      <c r="L39" s="188" t="s">
        <v>117</v>
      </c>
      <c r="M39" s="141" t="s">
        <v>117</v>
      </c>
      <c r="N39" s="141" t="s">
        <v>117</v>
      </c>
      <c r="O39" s="144" t="s">
        <v>117</v>
      </c>
      <c r="P39" s="141" t="s">
        <v>117</v>
      </c>
      <c r="Q39" s="141" t="s">
        <v>117</v>
      </c>
      <c r="R39" s="141" t="s">
        <v>117</v>
      </c>
      <c r="S39" s="141" t="s">
        <v>117</v>
      </c>
      <c r="T39" s="141" t="s">
        <v>117</v>
      </c>
      <c r="U39" s="141" t="s">
        <v>110</v>
      </c>
      <c r="V39" s="141" t="s">
        <v>117</v>
      </c>
      <c r="W39" s="144" t="s">
        <v>117</v>
      </c>
      <c r="X39" s="188" t="s">
        <v>117</v>
      </c>
      <c r="Y39" s="141" t="s">
        <v>117</v>
      </c>
      <c r="Z39" s="141" t="s">
        <v>117</v>
      </c>
      <c r="AA39" s="188" t="s">
        <v>110</v>
      </c>
      <c r="AB39" s="141" t="s">
        <v>117</v>
      </c>
      <c r="AC39" s="141" t="s">
        <v>117</v>
      </c>
      <c r="AD39" s="144" t="s">
        <v>117</v>
      </c>
      <c r="AE39" s="188" t="s">
        <v>117</v>
      </c>
      <c r="AF39" s="141" t="s">
        <v>109</v>
      </c>
      <c r="AG39" s="141" t="s">
        <v>117</v>
      </c>
      <c r="AH39" s="188" t="s">
        <v>117</v>
      </c>
      <c r="AI39" s="141" t="s">
        <v>110</v>
      </c>
      <c r="AJ39" s="141" t="s">
        <v>117</v>
      </c>
      <c r="AK39" s="188" t="s">
        <v>117</v>
      </c>
      <c r="AL39" s="188" t="s">
        <v>117</v>
      </c>
      <c r="AM39" s="144" t="s">
        <v>117</v>
      </c>
      <c r="AN39" s="144" t="s">
        <v>117</v>
      </c>
      <c r="AO39" s="144" t="s">
        <v>117</v>
      </c>
      <c r="AP39" s="144" t="s">
        <v>117</v>
      </c>
      <c r="AQ39" s="144" t="s">
        <v>117</v>
      </c>
      <c r="AR39" s="144" t="s">
        <v>117</v>
      </c>
      <c r="AS39" s="144" t="s">
        <v>117</v>
      </c>
      <c r="AT39" s="144" t="s">
        <v>117</v>
      </c>
      <c r="AU39" s="144" t="s">
        <v>117</v>
      </c>
      <c r="AV39" s="189" t="s">
        <v>112</v>
      </c>
      <c r="AW39" s="190" t="s">
        <v>117</v>
      </c>
      <c r="AX39" s="190" t="s">
        <v>117</v>
      </c>
      <c r="AY39" s="190" t="s">
        <v>117</v>
      </c>
      <c r="AZ39" s="188" t="s">
        <v>113</v>
      </c>
      <c r="BA39" s="190" t="s">
        <v>117</v>
      </c>
      <c r="BB39" s="190" t="s">
        <v>117</v>
      </c>
      <c r="BC39" s="190" t="s">
        <v>117</v>
      </c>
      <c r="BD39" s="146" t="s">
        <v>117</v>
      </c>
      <c r="BE39" s="145" t="s">
        <v>117</v>
      </c>
      <c r="BF39" s="145" t="s">
        <v>117</v>
      </c>
      <c r="BG39" s="145" t="s">
        <v>117</v>
      </c>
      <c r="BH39" s="145" t="s">
        <v>117</v>
      </c>
      <c r="BI39" s="145" t="s">
        <v>117</v>
      </c>
      <c r="BJ39" s="145" t="s">
        <v>117</v>
      </c>
      <c r="BK39" s="145" t="s">
        <v>117</v>
      </c>
      <c r="BL39" s="145" t="s">
        <v>117</v>
      </c>
      <c r="BM39" s="145" t="s">
        <v>117</v>
      </c>
      <c r="BN39" s="145" t="s">
        <v>117</v>
      </c>
      <c r="BO39" s="145" t="s">
        <v>117</v>
      </c>
      <c r="BP39" s="145" t="s">
        <v>110</v>
      </c>
      <c r="BQ39" s="145" t="s">
        <v>117</v>
      </c>
      <c r="BR39" s="141" t="s">
        <v>108</v>
      </c>
    </row>
    <row r="40" ht="11.25" customHeight="1">
      <c r="A40" s="191"/>
      <c r="B40" s="191"/>
      <c r="C40" s="191"/>
      <c r="D40" s="192" t="str">
        <f t="shared" ref="D40:BD40" si="3">CONCATENATE("{""status"": ", IF(GT(D41, D42), """aangenomen""", """verworpen"""), ", ""title"": """, D5, """, ""url"": """,D24  , """, ""voor"":", D41,", ""tegen"": ", D42, ", ""onthouden"":", D43, "}")</f>
        <v>{"status": "aangenomen", "title": "M0149", "url": "https://reddit.com/r/RMTK/comments/ftq0uh", "voor":14, "tegen": 8, "onthouden":0}</v>
      </c>
      <c r="E40" s="193" t="str">
        <f t="shared" si="3"/>
        <v>{"status": "aangenomen", "title": "M0150", "url": "https://reddit.com/r/RMTK/comments/fu5pcf", "voor":16, "tegen": 5, "onthouden":1}</v>
      </c>
      <c r="F40" s="194" t="str">
        <f t="shared" si="3"/>
        <v>{"status": "aangenomen", "title": "W0075", "url": "https://reddit.com/r/RMTK/comments/frul6g", "voor":21, "tegen": 0, "onthouden":1}</v>
      </c>
      <c r="G40" s="194" t="str">
        <f t="shared" si="3"/>
        <v>{"status": "aangenomen", "title": "W0077", "url": "https://reddit.com/r/RMTK/comments/ft3no2", "voor":21, "tegen": 0, "onthouden":1}</v>
      </c>
      <c r="H40" s="194" t="str">
        <f t="shared" si="3"/>
        <v>{"status": "aangenomen", "title": "W0078", "url": "https://reddit.com/r/RMTK/comments/fur4rn", "voor":18, "tegen": 3, "onthouden":1}</v>
      </c>
      <c r="I40" s="194" t="str">
        <f t="shared" si="3"/>
        <v>{"status": "aangenomen", "title": "M0163", "url": "https://www.reddit.com/r/RMTK/comments/fyhsvd/stemming_tweede_kamer_over_m0163/", "voor":8, "tegen": 6, "onthouden":5}</v>
      </c>
      <c r="J40" s="194" t="str">
        <f t="shared" si="3"/>
        <v>{"status": "verworpen", "title": "M0152", "url": "https://reddit.com/r/RMTK/comments/fvw34y", "voor":1, "tegen": 18, "onthouden":1}</v>
      </c>
      <c r="K40" s="194" t="str">
        <f t="shared" si="3"/>
        <v>{"status": "verworpen", "title": "M0153", "url": "https://reddit.com/r/RMTK/comments/fx3ttl", "voor":4, "tegen": 15, "onthouden":1}</v>
      </c>
      <c r="L40" s="195" t="str">
        <f t="shared" si="3"/>
        <v>{"status": "verworpen", "title": "M0154", "url": "https://reddit.com/r/RMTK/comments/fwa1h8", "voor":1, "tegen": 18, "onthouden":1}</v>
      </c>
      <c r="M40" s="194" t="str">
        <f t="shared" si="3"/>
        <v>{"status": "aangenomen", "title": "W0076-I", "url": "https://reddit.com/r/RMTK/comments/fz9q6d", "voor":15, "tegen": 4, "onthouden":1}</v>
      </c>
      <c r="N40" s="194" t="str">
        <f t="shared" si="3"/>
        <v>{"status": "aangenomen", "title": "W0079", "url": "https://reddit.com/r/RMTK/comments/fwhw8q", "voor":11, "tegen": 8, "onthouden":1}</v>
      </c>
      <c r="O40" s="194" t="str">
        <f t="shared" si="3"/>
        <v>{"status": "verworpen", "title": "W0080", "url": "https://reddit.com/r/RMTK/comments/fx3ttg", "voor":4, "tegen": 15, "onthouden":1}</v>
      </c>
      <c r="P40" s="194" t="str">
        <f t="shared" si="3"/>
        <v>{"status": "verworpen", "title": "M0155", "url": "https://www.reddit.com/r/RMTK/comments/fxpsug/m0155_motie_tot_hernoeming_flevoland_of_lelystad/", "voor":0, "tegen": 21, "onthouden":1}</v>
      </c>
      <c r="Q40" s="194" t="str">
        <f t="shared" si="3"/>
        <v>{"status": "verworpen", "title": "M0156", "url": "https://www.reddit.com/r/RMTK/comments/fxhwmu/m0156_motie_tot_jaarlijkse_cursus/", "voor":8, "tegen": 13, "onthouden":1}</v>
      </c>
      <c r="R40" s="194" t="str">
        <f t="shared" si="3"/>
        <v>{"status": "verworpen", "title": "M0157", "url": "https://www.reddit.com/r/RMTK/comments/fz3pfj/m0157_motie_tot_spelende_kinderen_blij_maken/", "voor":3, "tegen": 18, "onthouden":1}</v>
      </c>
      <c r="S40" s="194" t="str">
        <f t="shared" si="3"/>
        <v>{"status": "verworpen", "title": "M0158", "url": "https://www.reddit.com/r/RMTK/comments/g0km1j/m0158_motie_tot_versoepelen_rijwetgeving/", "voor":3, "tegen": 18, "onthouden":1}</v>
      </c>
      <c r="T40" s="194" t="str">
        <f t="shared" si="3"/>
        <v>{"status": "aangenomen", "title": "W0076", "url": "https://www.reddit.com/r/RMTK/comments/fsgnao/w0076_vaststelling_van_de_begrotingsstaat_van_het/", "voor":14, "tegen": 7, "onthouden":1}</v>
      </c>
      <c r="U40" s="194" t="str">
        <f t="shared" si="3"/>
        <v>{"status": "aangenomen", "title": "W0081-I", "url": "https://www.reddit.com/r/RMTK/comments/g4o0o2/w0081i_amendement_tot_wijziging_van_de_wet_op/", "voor":17, "tegen": 5, "onthouden":0}</v>
      </c>
      <c r="V40" s="194" t="str">
        <f t="shared" si="3"/>
        <v>{"status": "verworpen", "title": "W0082", "url": "https://www.reddit.com/r/RMTK/comments/g10sdl/w0082_wet_btwverhoging_vleesproducten_en/", "voor":7, "tegen": 14, "onthouden":1}</v>
      </c>
      <c r="W40" s="194" t="str">
        <f t="shared" si="3"/>
        <v>{"status": "verworpen", "title": "W0084-I", "url": "https://www.reddit.com/r/RMTK/comments/g4ud01/w0084i_amendement_tot_wijziging_van_de_vlootwet/", "voor":9, "tegen": 12, "onthouden":1}</v>
      </c>
      <c r="X40" s="195" t="str">
        <f t="shared" si="3"/>
        <v>{"status": "verworpen", "title": "M0159", "url": "https://www.reddit.com/r/RMTK/comments/g188en/m0159_motie_tot_uitleg_politieke_stromingen_in/", "voor":1, "tegen": 21, "onthouden":1}</v>
      </c>
      <c r="Y40" s="194" t="str">
        <f t="shared" si="3"/>
        <v>{"status": "verworpen", "title": "M0160", "url": "https://www.reddit.com/r/RMTK/comments/g188dx/m0160_motie_tot_erkenning_van_taiwan_als/", "voor":6, "tegen": 15, "onthouden":2}</v>
      </c>
      <c r="Z40" s="194" t="str">
        <f t="shared" si="3"/>
        <v>{"status": "aangenomen", "title": "M0161", "url": "https://www.reddit.com/r/RMTK/comments/g2gjt7/m0161_motie_tot_verhoging_salaris_militairen/", "voor":12, "tegen": 10, "onthouden":1}</v>
      </c>
      <c r="AA40" s="195" t="str">
        <f t="shared" si="3"/>
        <v>{"status": "aangenomen", "title": "W0081", "url": "https://www.reddit.com/r/RMTK/comments/gbfml1/w0081_wijziging_van_de_wet_op_het_voortgezet/", "voor":15, "tegen": 8, "onthouden":0}</v>
      </c>
      <c r="AB40" s="194" t="str">
        <f t="shared" si="3"/>
        <v>{"status": "aangenomen", "title": "W0083", "url": "https://www.reddit.com/r/RMTK/comments/g1mxke/w0083_wetswijziging_ter_afschaffing_automatisch/", "voor":21, "tegen": 1, "onthouden":1}</v>
      </c>
      <c r="AC40" s="194" t="str">
        <f t="shared" si="3"/>
        <v>{"status": "verworpen", "title": "W0084", "url": "https://www.reddit.com/r/RMTK/comments/g2bf4w/w0084_vlootwet_2020/", "voor":6, "tegen": 15, "onthouden":2}</v>
      </c>
      <c r="AD40" s="196" t="str">
        <f t="shared" si="3"/>
        <v>{"status": "aangenomen", "title": "W0085", "url": "https://www.reddit.com/r/RMTK/comments/g3jxay/w0085_wetswijziging_van_de_wet_op_de_kansspelen/", "voor":22, "tegen": 0, "onthouden":1}</v>
      </c>
      <c r="AE40" s="195" t="str">
        <f t="shared" si="3"/>
        <v>{"status": "verworpen", "title": "M0162", "url": "https://reddit.com/r/RMTK/comments/g3pugv", "voor":5, "tegen": 15, "onthouden":1}</v>
      </c>
      <c r="AF40" s="194" t="str">
        <f t="shared" si="3"/>
        <v>{"status": "verworpen", "title": "M0164", "url": "https://reddit.com/r/RMTK/comments/g5eso7", "voor":1, "tegen": 20, "onthouden":0}</v>
      </c>
      <c r="AG40" s="194" t="str">
        <f t="shared" si="3"/>
        <v>{"status": "aangenomen", "title": "M0165", "url": "https://reddit.com/r/RMTK/comments/g5wgvo", "voor":20, "tegen": 0, "onthouden":1}</v>
      </c>
      <c r="AH40" s="195" t="str">
        <f t="shared" si="3"/>
        <v>{"status": "verworpen", "title": "M0166", "url": "https://reddit.com/r/RMTK/comments/g6m9by", "voor":8, "tegen": 10, "onthouden":3}</v>
      </c>
      <c r="AI40" s="194" t="str">
        <f t="shared" si="3"/>
        <v>{"status": "aangenomen", "title": "M0178", "url": "https://reddit.com/r/RMTK/comments/gdb6s1", "voor":15, "tegen": 6, "onthouden":0}</v>
      </c>
      <c r="AJ40" s="194" t="str">
        <f t="shared" si="3"/>
        <v>{"status": "aangenomen", "title": "W0086", "url": "https://reddit.com/r/RMTK/comments/g5aglx", "voor":15, "tegen": 5, "onthouden":1}</v>
      </c>
      <c r="AK40" s="195" t="str">
        <f t="shared" si="3"/>
        <v>{"status": "aangenomen", "title": "W0087", "url": "https://reddit.com/r/RMTK/comments/g60qgw", "voor":14, "tegen": 6, "onthouden":1}</v>
      </c>
      <c r="AL40" s="195" t="str">
        <f t="shared" si="3"/>
        <v>{"status": "aangenomen", "title": "W0090", "url": "https://reddit.com/r/RMTK/comments/gehwkg", "voor":20, "tegen": 0, "onthouden":1}</v>
      </c>
      <c r="AM40" s="196" t="str">
        <f t="shared" si="3"/>
        <v>{"status": "aangenomen", "title": "W088-I", "url": "https://reddit.com/r/RMTK/comments/gc4mq7", "voor":20, "tegen": 0, "onthouden":1}</v>
      </c>
      <c r="AN40" s="194" t="str">
        <f t="shared" si="3"/>
        <v>{"status": "aangenomen", "title": "M0167", "url": "https://www.reddit.com/r/RMTK/comments/g7t5gv/m0167_motie_tot_verbieden_participatieverklaring/", "voor":11, "tegen": 4, "onthouden":1}</v>
      </c>
      <c r="AO40" s="195" t="str">
        <f t="shared" si="3"/>
        <v>{"status": "aangenomen", "title": "W0089", "url": "https://www.reddit.com/r/RMTK/comments/g9mrib", "voor":14, "tegen": 2, "onthouden":1}</v>
      </c>
      <c r="AP40" s="195" t="str">
        <f t="shared" si="3"/>
        <v>{"status": "aangenomen", "title": "M0168", "url": "https://www.reddit.com/r/RMTK/comments/ga90n1/m0168_zoeken_van_draagvlak_voor_de_participatie/", "voor":13, "tegen": 3, "onthouden":1}</v>
      </c>
      <c r="AQ40" s="195" t="str">
        <f t="shared" si="3"/>
        <v>{"status": "verworpen", "title": "M0169", "url": "https://www.reddit.com/r/RMTK/comments/gav8k0/m0169_motie_tot_aanschaf_betere_wapens_voor_het/", "voor":7, "tegen": 8, "onthouden":2}</v>
      </c>
      <c r="AR40" s="195" t="str">
        <f t="shared" si="3"/>
        <v>{"status": "aangenomen", "title": "M0170", "url": "https://www.reddit.com/r/RMTK/comments/gdvpgj/m0170_motie_tot_het_verhogen_van_salarissen_voor/", "voor":15, "tegen": 1, "onthouden":1}</v>
      </c>
      <c r="AS40" s="197" t="str">
        <f t="shared" si="3"/>
        <v>{"status": "aangenomen", "title": "W0088", "url": "https://www.reddit.com/r/RMTK/comments/g6i299/w0088_wetswijziging_tot_inkorting_aanpassing/", "voor":13, "tegen": 3, "onthouden":1}</v>
      </c>
      <c r="AT40" s="195" t="str">
        <f t="shared" si="3"/>
        <v>{"status": "aangenomen", "title": "M0179", "url": "https://www.reddit.com/r/RMTK/comments/gdxb1s/m0179_motie_tot_bevestiging_steun_voor_moties/", "voor":11, "tegen": 5, "onthouden":1}</v>
      </c>
      <c r="AU40" s="195" t="str">
        <f t="shared" si="3"/>
        <v>{"status": "verworpen", "title": "M0171", "url": "https://www.reddit.com/r/RMTK/comments/gf4gid/m0171_motie_tot_vak_belastingaangifte/", "voor":3, "tegen": 13, "onthouden":1}</v>
      </c>
      <c r="AV40" s="195" t="str">
        <f t="shared" si="3"/>
        <v>{"status": "verworpen", "title": "M0182", "url": "https://www.reddit.com/r/RMTK/comments/ghu0dd/m0182_motie_van_wantrouwen_jegens_de_minister_van/", "voor":3, "tegen": 13, "onthouden":1}</v>
      </c>
      <c r="AW40" s="197" t="str">
        <f t="shared" si="3"/>
        <v>{"status": "aangenomen", "title": "M0183", "url": "https://www.reddit.com/r/RMTK/comments/gkao3p/m0183_motie_tot_kwaliteit_bij_staatsrechtelijke/", "voor":14, "tegen": 5, "onthouden":1}</v>
      </c>
      <c r="AX40" s="194" t="str">
        <f t="shared" si="3"/>
        <v>{"status": "aangenomen", "title": "M0172", "url": "https://reddit.com/r/RMTK/comments/gi92kk", "voor":16, "tegen": 4, "onthouden":1}</v>
      </c>
      <c r="AY40" s="194" t="str">
        <f t="shared" si="3"/>
        <v>{"status": "aangenomen", "title": "M0180", "url": "https://reddit.com/r/RMTK/comments/gm7q2f", "voor":13, "tegen": 7, "onthouden":1}</v>
      </c>
      <c r="AZ40" s="195" t="str">
        <f t="shared" si="3"/>
        <v>{"status": "verworpen", "title": "M0185", "url": "https://reddit.com/r/RMTK/comments/gn9d57", "voor":8, "tegen": 13, "onthouden":0}</v>
      </c>
      <c r="BA40" s="194" t="str">
        <f t="shared" si="3"/>
        <v>{"status": "aangenomen", "title": "W0091", "url": "https://reddit.com/r/RMTK/comments/gfssqx", "voor":18, "tegen": 2, "onthouden":1}</v>
      </c>
      <c r="BB40" s="194" t="str">
        <f t="shared" si="3"/>
        <v>{"status": "verworpen", "title": "W0092", "url": "https://reddit.com/r/RMTK/comments/ggf1z2", "voor":7, "tegen": 13, "onthouden":1}</v>
      </c>
      <c r="BC40" s="194" t="str">
        <f t="shared" si="3"/>
        <v>{"status": "verworpen", "title": "W0093", "url": "https://reddit.com/r/RMTK/comments/ghp690", "voor":7, "tegen": 13, "onthouden":1}</v>
      </c>
      <c r="BD40" s="198" t="str">
        <f t="shared" si="3"/>
        <v>{"status": "verworpen", "title": "M0173", "url": "", "voor":8, "tegen": 12, "onthouden":1}</v>
      </c>
      <c r="BE40" s="194"/>
      <c r="BF40" s="194"/>
      <c r="BG40" s="194"/>
      <c r="BH40" s="194"/>
      <c r="BI40" s="194"/>
      <c r="BJ40" s="194"/>
      <c r="BK40" s="194" t="str">
        <f t="shared" ref="BK40:BR40" si="4">CONCATENATE("{""status"": ", IF(GT(BK41, BK42), """aangenomen""", """verworpen"""), ", ""title"": """, BH5, """, ""url"": """,BJ24  , """, ""voor"":", BK41,", ""tegen"": ", BK42, ", ""onthouden"":", BK43, "}")</f>
        <v>{"status": "verworpen", "title": "M0177", "url": "", "voor":2, "tegen": 18, "onthouden":1}</v>
      </c>
      <c r="BL40" s="194" t="str">
        <f t="shared" si="4"/>
        <v>{"status": "verworpen", "title": "M0181", "url": "", "voor":6, "tegen": 14, "onthouden":1}</v>
      </c>
      <c r="BM40" s="194" t="str">
        <f t="shared" si="4"/>
        <v>{"status": "aangenomen", "title": "M0194", "url": "", "voor":19, "tegen": 1, "onthouden":1}</v>
      </c>
      <c r="BN40" s="194" t="str">
        <f t="shared" si="4"/>
        <v>{"status": "aangenomen", "title": "M0204", "url": "", "voor":20, "tegen": 0, "onthouden":1}</v>
      </c>
      <c r="BO40" s="194" t="str">
        <f t="shared" si="4"/>
        <v>{"status": "verworpen", "title": "W0094", "url": "", "voor":5, "tegen": 15, "onthouden":1}</v>
      </c>
      <c r="BP40" s="194" t="str">
        <f t="shared" si="4"/>
        <v>{"status": "aangenomen", "title": "W0095", "url": "", "voor":19, "tegen": 2, "onthouden":0}</v>
      </c>
      <c r="BQ40" s="194" t="str">
        <f t="shared" si="4"/>
        <v>{"status": "aangenomen", "title": "W0096", "url": "", "voor":14, "tegen": 1, "onthouden":1}</v>
      </c>
      <c r="BR40" s="194" t="str">
        <f t="shared" si="4"/>
        <v>{"status": "verworpen", "title": "W0097-I", "url": "", "voor":0, "tegen": 0, "onthouden":0}</v>
      </c>
    </row>
    <row r="41" ht="18.0" customHeight="1">
      <c r="A41" s="199" t="s">
        <v>158</v>
      </c>
      <c r="B41" s="200" t="s">
        <v>110</v>
      </c>
      <c r="C41" s="44"/>
      <c r="D41" s="201">
        <f t="shared" ref="D41:H41" si="5">COUNTIF(D5:D39,"Voor")</f>
        <v>14</v>
      </c>
      <c r="E41" s="201">
        <f t="shared" si="5"/>
        <v>16</v>
      </c>
      <c r="F41" s="201">
        <f t="shared" si="5"/>
        <v>21</v>
      </c>
      <c r="G41" s="201">
        <f t="shared" si="5"/>
        <v>21</v>
      </c>
      <c r="H41" s="201">
        <f t="shared" si="5"/>
        <v>18</v>
      </c>
      <c r="I41" s="202">
        <v>8.0</v>
      </c>
      <c r="J41" s="203">
        <f t="shared" ref="J41:BR41" si="6">COUNTIF(J5:J39,"Voor")</f>
        <v>1</v>
      </c>
      <c r="K41" s="201">
        <f t="shared" si="6"/>
        <v>4</v>
      </c>
      <c r="L41" s="203">
        <f t="shared" si="6"/>
        <v>1</v>
      </c>
      <c r="M41" s="201">
        <f t="shared" si="6"/>
        <v>15</v>
      </c>
      <c r="N41" s="201">
        <f t="shared" si="6"/>
        <v>11</v>
      </c>
      <c r="O41" s="204">
        <f t="shared" si="6"/>
        <v>4</v>
      </c>
      <c r="P41" s="203">
        <f t="shared" si="6"/>
        <v>0</v>
      </c>
      <c r="Q41" s="201">
        <f t="shared" si="6"/>
        <v>8</v>
      </c>
      <c r="R41" s="201">
        <f t="shared" si="6"/>
        <v>3</v>
      </c>
      <c r="S41" s="201">
        <f t="shared" si="6"/>
        <v>3</v>
      </c>
      <c r="T41" s="201">
        <f t="shared" si="6"/>
        <v>14</v>
      </c>
      <c r="U41" s="203">
        <f t="shared" si="6"/>
        <v>17</v>
      </c>
      <c r="V41" s="201">
        <f t="shared" si="6"/>
        <v>7</v>
      </c>
      <c r="W41" s="201">
        <f t="shared" si="6"/>
        <v>9</v>
      </c>
      <c r="X41" s="203">
        <f t="shared" si="6"/>
        <v>1</v>
      </c>
      <c r="Y41" s="201">
        <f t="shared" si="6"/>
        <v>6</v>
      </c>
      <c r="Z41" s="201">
        <f t="shared" si="6"/>
        <v>12</v>
      </c>
      <c r="AA41" s="203">
        <f t="shared" si="6"/>
        <v>15</v>
      </c>
      <c r="AB41" s="201">
        <f t="shared" si="6"/>
        <v>21</v>
      </c>
      <c r="AC41" s="201">
        <f t="shared" si="6"/>
        <v>6</v>
      </c>
      <c r="AD41" s="201">
        <f t="shared" si="6"/>
        <v>22</v>
      </c>
      <c r="AE41" s="203">
        <f t="shared" si="6"/>
        <v>5</v>
      </c>
      <c r="AF41" s="201">
        <f t="shared" si="6"/>
        <v>1</v>
      </c>
      <c r="AG41" s="201">
        <f t="shared" si="6"/>
        <v>20</v>
      </c>
      <c r="AH41" s="203">
        <f t="shared" si="6"/>
        <v>8</v>
      </c>
      <c r="AI41" s="201">
        <f t="shared" si="6"/>
        <v>15</v>
      </c>
      <c r="AJ41" s="201">
        <f t="shared" si="6"/>
        <v>15</v>
      </c>
      <c r="AK41" s="203">
        <f t="shared" si="6"/>
        <v>14</v>
      </c>
      <c r="AL41" s="203">
        <f t="shared" si="6"/>
        <v>20</v>
      </c>
      <c r="AM41" s="201">
        <f t="shared" si="6"/>
        <v>20</v>
      </c>
      <c r="AN41" s="201">
        <f t="shared" si="6"/>
        <v>11</v>
      </c>
      <c r="AO41" s="203">
        <f t="shared" si="6"/>
        <v>14</v>
      </c>
      <c r="AP41" s="203">
        <f t="shared" si="6"/>
        <v>13</v>
      </c>
      <c r="AQ41" s="201">
        <f t="shared" si="6"/>
        <v>7</v>
      </c>
      <c r="AR41" s="201">
        <f t="shared" si="6"/>
        <v>15</v>
      </c>
      <c r="AS41" s="201">
        <f t="shared" si="6"/>
        <v>13</v>
      </c>
      <c r="AT41" s="203">
        <f t="shared" si="6"/>
        <v>11</v>
      </c>
      <c r="AU41" s="201">
        <f t="shared" si="6"/>
        <v>3</v>
      </c>
      <c r="AV41" s="201">
        <f t="shared" si="6"/>
        <v>3</v>
      </c>
      <c r="AW41" s="201">
        <f t="shared" si="6"/>
        <v>14</v>
      </c>
      <c r="AX41" s="201">
        <f t="shared" si="6"/>
        <v>16</v>
      </c>
      <c r="AY41" s="201">
        <f t="shared" si="6"/>
        <v>13</v>
      </c>
      <c r="AZ41" s="203">
        <f t="shared" si="6"/>
        <v>8</v>
      </c>
      <c r="BA41" s="201">
        <f t="shared" si="6"/>
        <v>18</v>
      </c>
      <c r="BB41" s="201">
        <f t="shared" si="6"/>
        <v>7</v>
      </c>
      <c r="BC41" s="201">
        <f t="shared" si="6"/>
        <v>7</v>
      </c>
      <c r="BD41" s="203">
        <f t="shared" si="6"/>
        <v>8</v>
      </c>
      <c r="BE41" s="201">
        <f t="shared" si="6"/>
        <v>5</v>
      </c>
      <c r="BF41" s="201">
        <f t="shared" si="6"/>
        <v>19</v>
      </c>
      <c r="BG41" s="201">
        <f t="shared" si="6"/>
        <v>7</v>
      </c>
      <c r="BH41" s="201">
        <f t="shared" si="6"/>
        <v>5</v>
      </c>
      <c r="BI41" s="201">
        <f t="shared" si="6"/>
        <v>10</v>
      </c>
      <c r="BJ41" s="201">
        <f t="shared" si="6"/>
        <v>13</v>
      </c>
      <c r="BK41" s="201">
        <f t="shared" si="6"/>
        <v>2</v>
      </c>
      <c r="BL41" s="201">
        <f t="shared" si="6"/>
        <v>6</v>
      </c>
      <c r="BM41" s="201">
        <f t="shared" si="6"/>
        <v>19</v>
      </c>
      <c r="BN41" s="201">
        <f t="shared" si="6"/>
        <v>20</v>
      </c>
      <c r="BO41" s="201">
        <f t="shared" si="6"/>
        <v>5</v>
      </c>
      <c r="BP41" s="201">
        <f t="shared" si="6"/>
        <v>19</v>
      </c>
      <c r="BQ41" s="201">
        <f t="shared" si="6"/>
        <v>14</v>
      </c>
      <c r="BR41" s="201">
        <f t="shared" si="6"/>
        <v>0</v>
      </c>
    </row>
    <row r="42" ht="18.75" customHeight="1">
      <c r="A42" s="44"/>
      <c r="B42" s="205" t="s">
        <v>109</v>
      </c>
      <c r="C42" s="44"/>
      <c r="D42" s="206">
        <f t="shared" ref="D42:H42" si="7">COUNTIF(D5:D39,"Tegen")</f>
        <v>8</v>
      </c>
      <c r="E42" s="206">
        <f t="shared" si="7"/>
        <v>5</v>
      </c>
      <c r="F42" s="206">
        <f t="shared" si="7"/>
        <v>0</v>
      </c>
      <c r="G42" s="206">
        <f t="shared" si="7"/>
        <v>0</v>
      </c>
      <c r="H42" s="206">
        <f t="shared" si="7"/>
        <v>3</v>
      </c>
      <c r="I42" s="207">
        <v>6.0</v>
      </c>
      <c r="J42" s="208">
        <f t="shared" ref="J42:BR42" si="8">COUNTIF(J5:J39,"Tegen")</f>
        <v>18</v>
      </c>
      <c r="K42" s="206">
        <f t="shared" si="8"/>
        <v>15</v>
      </c>
      <c r="L42" s="208">
        <f t="shared" si="8"/>
        <v>18</v>
      </c>
      <c r="M42" s="206">
        <f t="shared" si="8"/>
        <v>4</v>
      </c>
      <c r="N42" s="206">
        <f t="shared" si="8"/>
        <v>8</v>
      </c>
      <c r="O42" s="209">
        <f t="shared" si="8"/>
        <v>15</v>
      </c>
      <c r="P42" s="208">
        <f t="shared" si="8"/>
        <v>21</v>
      </c>
      <c r="Q42" s="206">
        <f t="shared" si="8"/>
        <v>13</v>
      </c>
      <c r="R42" s="206">
        <f t="shared" si="8"/>
        <v>18</v>
      </c>
      <c r="S42" s="206">
        <f t="shared" si="8"/>
        <v>18</v>
      </c>
      <c r="T42" s="206">
        <f t="shared" si="8"/>
        <v>7</v>
      </c>
      <c r="U42" s="208">
        <f t="shared" si="8"/>
        <v>5</v>
      </c>
      <c r="V42" s="206">
        <f t="shared" si="8"/>
        <v>14</v>
      </c>
      <c r="W42" s="206">
        <f t="shared" si="8"/>
        <v>12</v>
      </c>
      <c r="X42" s="208">
        <f t="shared" si="8"/>
        <v>21</v>
      </c>
      <c r="Y42" s="206">
        <f t="shared" si="8"/>
        <v>15</v>
      </c>
      <c r="Z42" s="206">
        <f t="shared" si="8"/>
        <v>10</v>
      </c>
      <c r="AA42" s="208">
        <f t="shared" si="8"/>
        <v>8</v>
      </c>
      <c r="AB42" s="206">
        <f t="shared" si="8"/>
        <v>1</v>
      </c>
      <c r="AC42" s="206">
        <f t="shared" si="8"/>
        <v>15</v>
      </c>
      <c r="AD42" s="206">
        <f t="shared" si="8"/>
        <v>0</v>
      </c>
      <c r="AE42" s="208">
        <f t="shared" si="8"/>
        <v>15</v>
      </c>
      <c r="AF42" s="206">
        <f t="shared" si="8"/>
        <v>20</v>
      </c>
      <c r="AG42" s="206">
        <f t="shared" si="8"/>
        <v>0</v>
      </c>
      <c r="AH42" s="208">
        <f t="shared" si="8"/>
        <v>10</v>
      </c>
      <c r="AI42" s="206">
        <f t="shared" si="8"/>
        <v>6</v>
      </c>
      <c r="AJ42" s="206">
        <f t="shared" si="8"/>
        <v>5</v>
      </c>
      <c r="AK42" s="208">
        <f t="shared" si="8"/>
        <v>6</v>
      </c>
      <c r="AL42" s="208">
        <f t="shared" si="8"/>
        <v>0</v>
      </c>
      <c r="AM42" s="206">
        <f t="shared" si="8"/>
        <v>0</v>
      </c>
      <c r="AN42" s="206">
        <f t="shared" si="8"/>
        <v>4</v>
      </c>
      <c r="AO42" s="208">
        <f t="shared" si="8"/>
        <v>2</v>
      </c>
      <c r="AP42" s="208">
        <f t="shared" si="8"/>
        <v>3</v>
      </c>
      <c r="AQ42" s="206">
        <f t="shared" si="8"/>
        <v>8</v>
      </c>
      <c r="AR42" s="206">
        <f t="shared" si="8"/>
        <v>1</v>
      </c>
      <c r="AS42" s="206">
        <f t="shared" si="8"/>
        <v>3</v>
      </c>
      <c r="AT42" s="208">
        <f t="shared" si="8"/>
        <v>5</v>
      </c>
      <c r="AU42" s="206">
        <f t="shared" si="8"/>
        <v>13</v>
      </c>
      <c r="AV42" s="206">
        <f t="shared" si="8"/>
        <v>13</v>
      </c>
      <c r="AW42" s="206">
        <f t="shared" si="8"/>
        <v>5</v>
      </c>
      <c r="AX42" s="206">
        <f t="shared" si="8"/>
        <v>4</v>
      </c>
      <c r="AY42" s="206">
        <f t="shared" si="8"/>
        <v>7</v>
      </c>
      <c r="AZ42" s="208">
        <f t="shared" si="8"/>
        <v>13</v>
      </c>
      <c r="BA42" s="206">
        <f t="shared" si="8"/>
        <v>2</v>
      </c>
      <c r="BB42" s="206">
        <f t="shared" si="8"/>
        <v>13</v>
      </c>
      <c r="BC42" s="206">
        <f t="shared" si="8"/>
        <v>13</v>
      </c>
      <c r="BD42" s="208">
        <f t="shared" si="8"/>
        <v>12</v>
      </c>
      <c r="BE42" s="206">
        <f t="shared" si="8"/>
        <v>15</v>
      </c>
      <c r="BF42" s="206">
        <f t="shared" si="8"/>
        <v>1</v>
      </c>
      <c r="BG42" s="206">
        <f t="shared" si="8"/>
        <v>13</v>
      </c>
      <c r="BH42" s="206">
        <f t="shared" si="8"/>
        <v>14</v>
      </c>
      <c r="BI42" s="206">
        <f t="shared" si="8"/>
        <v>10</v>
      </c>
      <c r="BJ42" s="206">
        <f t="shared" si="8"/>
        <v>6</v>
      </c>
      <c r="BK42" s="206">
        <f t="shared" si="8"/>
        <v>18</v>
      </c>
      <c r="BL42" s="206">
        <f t="shared" si="8"/>
        <v>14</v>
      </c>
      <c r="BM42" s="206">
        <f t="shared" si="8"/>
        <v>1</v>
      </c>
      <c r="BN42" s="206">
        <f t="shared" si="8"/>
        <v>0</v>
      </c>
      <c r="BO42" s="206">
        <f t="shared" si="8"/>
        <v>15</v>
      </c>
      <c r="BP42" s="206">
        <f t="shared" si="8"/>
        <v>2</v>
      </c>
      <c r="BQ42" s="206">
        <f t="shared" si="8"/>
        <v>1</v>
      </c>
      <c r="BR42" s="206">
        <f t="shared" si="8"/>
        <v>0</v>
      </c>
    </row>
    <row r="43" ht="18.75" customHeight="1">
      <c r="A43" s="44"/>
      <c r="B43" s="210" t="s">
        <v>159</v>
      </c>
      <c r="C43" s="44"/>
      <c r="D43" s="211">
        <f t="shared" ref="D43:H43" si="9">COUNTIF(D5:D39,"SO")</f>
        <v>0</v>
      </c>
      <c r="E43" s="211">
        <f t="shared" si="9"/>
        <v>1</v>
      </c>
      <c r="F43" s="211">
        <f t="shared" si="9"/>
        <v>1</v>
      </c>
      <c r="G43" s="211">
        <f t="shared" si="9"/>
        <v>1</v>
      </c>
      <c r="H43" s="211">
        <f t="shared" si="9"/>
        <v>1</v>
      </c>
      <c r="I43" s="212">
        <v>5.0</v>
      </c>
      <c r="J43" s="213">
        <f t="shared" ref="J43:BR43" si="10">COUNTIF(J5:J39,"SO")</f>
        <v>1</v>
      </c>
      <c r="K43" s="211">
        <f t="shared" si="10"/>
        <v>1</v>
      </c>
      <c r="L43" s="213">
        <f t="shared" si="10"/>
        <v>1</v>
      </c>
      <c r="M43" s="211">
        <f t="shared" si="10"/>
        <v>1</v>
      </c>
      <c r="N43" s="211">
        <f t="shared" si="10"/>
        <v>1</v>
      </c>
      <c r="O43" s="214">
        <f t="shared" si="10"/>
        <v>1</v>
      </c>
      <c r="P43" s="213">
        <f t="shared" si="10"/>
        <v>1</v>
      </c>
      <c r="Q43" s="211">
        <f t="shared" si="10"/>
        <v>1</v>
      </c>
      <c r="R43" s="211">
        <f t="shared" si="10"/>
        <v>1</v>
      </c>
      <c r="S43" s="211">
        <f t="shared" si="10"/>
        <v>1</v>
      </c>
      <c r="T43" s="211">
        <f t="shared" si="10"/>
        <v>1</v>
      </c>
      <c r="U43" s="213">
        <f t="shared" si="10"/>
        <v>0</v>
      </c>
      <c r="V43" s="211">
        <f t="shared" si="10"/>
        <v>1</v>
      </c>
      <c r="W43" s="211">
        <f t="shared" si="10"/>
        <v>1</v>
      </c>
      <c r="X43" s="213">
        <f t="shared" si="10"/>
        <v>1</v>
      </c>
      <c r="Y43" s="211">
        <f t="shared" si="10"/>
        <v>2</v>
      </c>
      <c r="Z43" s="211">
        <f t="shared" si="10"/>
        <v>1</v>
      </c>
      <c r="AA43" s="213">
        <f t="shared" si="10"/>
        <v>0</v>
      </c>
      <c r="AB43" s="211">
        <f t="shared" si="10"/>
        <v>1</v>
      </c>
      <c r="AC43" s="211">
        <f t="shared" si="10"/>
        <v>2</v>
      </c>
      <c r="AD43" s="211">
        <f t="shared" si="10"/>
        <v>1</v>
      </c>
      <c r="AE43" s="213">
        <f t="shared" si="10"/>
        <v>1</v>
      </c>
      <c r="AF43" s="211">
        <f t="shared" si="10"/>
        <v>0</v>
      </c>
      <c r="AG43" s="211">
        <f t="shared" si="10"/>
        <v>1</v>
      </c>
      <c r="AH43" s="213">
        <f t="shared" si="10"/>
        <v>3</v>
      </c>
      <c r="AI43" s="211">
        <f t="shared" si="10"/>
        <v>0</v>
      </c>
      <c r="AJ43" s="211">
        <f t="shared" si="10"/>
        <v>1</v>
      </c>
      <c r="AK43" s="213">
        <f t="shared" si="10"/>
        <v>1</v>
      </c>
      <c r="AL43" s="213">
        <f t="shared" si="10"/>
        <v>1</v>
      </c>
      <c r="AM43" s="211">
        <f t="shared" si="10"/>
        <v>1</v>
      </c>
      <c r="AN43" s="211">
        <f t="shared" si="10"/>
        <v>1</v>
      </c>
      <c r="AO43" s="213">
        <f t="shared" si="10"/>
        <v>1</v>
      </c>
      <c r="AP43" s="213">
        <f t="shared" si="10"/>
        <v>1</v>
      </c>
      <c r="AQ43" s="211">
        <f t="shared" si="10"/>
        <v>2</v>
      </c>
      <c r="AR43" s="211">
        <f t="shared" si="10"/>
        <v>1</v>
      </c>
      <c r="AS43" s="211">
        <f t="shared" si="10"/>
        <v>1</v>
      </c>
      <c r="AT43" s="213">
        <f t="shared" si="10"/>
        <v>1</v>
      </c>
      <c r="AU43" s="211">
        <f t="shared" si="10"/>
        <v>1</v>
      </c>
      <c r="AV43" s="211">
        <f t="shared" si="10"/>
        <v>1</v>
      </c>
      <c r="AW43" s="211">
        <f t="shared" si="10"/>
        <v>1</v>
      </c>
      <c r="AX43" s="211">
        <f t="shared" si="10"/>
        <v>1</v>
      </c>
      <c r="AY43" s="211">
        <f t="shared" si="10"/>
        <v>1</v>
      </c>
      <c r="AZ43" s="213">
        <f t="shared" si="10"/>
        <v>0</v>
      </c>
      <c r="BA43" s="211">
        <f t="shared" si="10"/>
        <v>1</v>
      </c>
      <c r="BB43" s="211">
        <f t="shared" si="10"/>
        <v>1</v>
      </c>
      <c r="BC43" s="211">
        <f t="shared" si="10"/>
        <v>1</v>
      </c>
      <c r="BD43" s="213">
        <f t="shared" si="10"/>
        <v>1</v>
      </c>
      <c r="BE43" s="211">
        <f t="shared" si="10"/>
        <v>1</v>
      </c>
      <c r="BF43" s="211">
        <f t="shared" si="10"/>
        <v>1</v>
      </c>
      <c r="BG43" s="211">
        <f t="shared" si="10"/>
        <v>1</v>
      </c>
      <c r="BH43" s="211">
        <f t="shared" si="10"/>
        <v>2</v>
      </c>
      <c r="BI43" s="211">
        <f t="shared" si="10"/>
        <v>1</v>
      </c>
      <c r="BJ43" s="211">
        <f t="shared" si="10"/>
        <v>2</v>
      </c>
      <c r="BK43" s="211">
        <f t="shared" si="10"/>
        <v>1</v>
      </c>
      <c r="BL43" s="211">
        <f t="shared" si="10"/>
        <v>1</v>
      </c>
      <c r="BM43" s="211">
        <f t="shared" si="10"/>
        <v>1</v>
      </c>
      <c r="BN43" s="211">
        <f t="shared" si="10"/>
        <v>1</v>
      </c>
      <c r="BO43" s="211">
        <f t="shared" si="10"/>
        <v>1</v>
      </c>
      <c r="BP43" s="211">
        <f t="shared" si="10"/>
        <v>0</v>
      </c>
      <c r="BQ43" s="211">
        <f t="shared" si="10"/>
        <v>1</v>
      </c>
      <c r="BR43" s="211">
        <f t="shared" si="10"/>
        <v>0</v>
      </c>
    </row>
    <row r="44" ht="18.75" customHeight="1">
      <c r="A44" s="44"/>
      <c r="B44" s="215" t="s">
        <v>160</v>
      </c>
      <c r="C44" s="44"/>
      <c r="D44" s="216">
        <f t="shared" ref="D44:H44" si="11">COUNTIF(D5:D39,"NG")</f>
        <v>3</v>
      </c>
      <c r="E44" s="216">
        <f t="shared" si="11"/>
        <v>3</v>
      </c>
      <c r="F44" s="216">
        <f t="shared" si="11"/>
        <v>3</v>
      </c>
      <c r="G44" s="216">
        <f t="shared" si="11"/>
        <v>3</v>
      </c>
      <c r="H44" s="216">
        <f t="shared" si="11"/>
        <v>3</v>
      </c>
      <c r="I44" s="217">
        <v>6.0</v>
      </c>
      <c r="J44" s="218">
        <f t="shared" ref="J44:BR44" si="12">COUNTIF(J5:J39,"NG")</f>
        <v>5</v>
      </c>
      <c r="K44" s="216">
        <f t="shared" si="12"/>
        <v>5</v>
      </c>
      <c r="L44" s="218">
        <f t="shared" si="12"/>
        <v>5</v>
      </c>
      <c r="M44" s="216">
        <f t="shared" si="12"/>
        <v>5</v>
      </c>
      <c r="N44" s="216">
        <f t="shared" si="12"/>
        <v>5</v>
      </c>
      <c r="O44" s="219">
        <f t="shared" si="12"/>
        <v>5</v>
      </c>
      <c r="P44" s="218">
        <f t="shared" si="12"/>
        <v>3</v>
      </c>
      <c r="Q44" s="216">
        <f t="shared" si="12"/>
        <v>3</v>
      </c>
      <c r="R44" s="216">
        <f t="shared" si="12"/>
        <v>3</v>
      </c>
      <c r="S44" s="216">
        <f t="shared" si="12"/>
        <v>3</v>
      </c>
      <c r="T44" s="216">
        <f t="shared" si="12"/>
        <v>3</v>
      </c>
      <c r="U44" s="218">
        <f t="shared" si="12"/>
        <v>3</v>
      </c>
      <c r="V44" s="216">
        <f t="shared" si="12"/>
        <v>3</v>
      </c>
      <c r="W44" s="216">
        <f t="shared" si="12"/>
        <v>3</v>
      </c>
      <c r="X44" s="218">
        <f t="shared" si="12"/>
        <v>2</v>
      </c>
      <c r="Y44" s="216">
        <f t="shared" si="12"/>
        <v>2</v>
      </c>
      <c r="Z44" s="216">
        <f t="shared" si="12"/>
        <v>2</v>
      </c>
      <c r="AA44" s="218">
        <f t="shared" si="12"/>
        <v>2</v>
      </c>
      <c r="AB44" s="216">
        <f t="shared" si="12"/>
        <v>2</v>
      </c>
      <c r="AC44" s="216">
        <f t="shared" si="12"/>
        <v>2</v>
      </c>
      <c r="AD44" s="216">
        <f t="shared" si="12"/>
        <v>2</v>
      </c>
      <c r="AE44" s="218">
        <f t="shared" si="12"/>
        <v>4</v>
      </c>
      <c r="AF44" s="216">
        <f t="shared" si="12"/>
        <v>4</v>
      </c>
      <c r="AG44" s="216">
        <f t="shared" si="12"/>
        <v>4</v>
      </c>
      <c r="AH44" s="218">
        <f t="shared" si="12"/>
        <v>4</v>
      </c>
      <c r="AI44" s="216">
        <f t="shared" si="12"/>
        <v>4</v>
      </c>
      <c r="AJ44" s="216">
        <f t="shared" si="12"/>
        <v>4</v>
      </c>
      <c r="AK44" s="218">
        <f t="shared" si="12"/>
        <v>4</v>
      </c>
      <c r="AL44" s="218">
        <f t="shared" si="12"/>
        <v>4</v>
      </c>
      <c r="AM44" s="216">
        <f t="shared" si="12"/>
        <v>4</v>
      </c>
      <c r="AN44" s="216">
        <f t="shared" si="12"/>
        <v>8</v>
      </c>
      <c r="AO44" s="218">
        <f t="shared" si="12"/>
        <v>8</v>
      </c>
      <c r="AP44" s="218">
        <f t="shared" si="12"/>
        <v>8</v>
      </c>
      <c r="AQ44" s="216">
        <f t="shared" si="12"/>
        <v>8</v>
      </c>
      <c r="AR44" s="216">
        <f t="shared" si="12"/>
        <v>8</v>
      </c>
      <c r="AS44" s="216">
        <f t="shared" si="12"/>
        <v>8</v>
      </c>
      <c r="AT44" s="218">
        <f t="shared" si="12"/>
        <v>8</v>
      </c>
      <c r="AU44" s="216">
        <f t="shared" si="12"/>
        <v>8</v>
      </c>
      <c r="AV44" s="216">
        <f t="shared" si="12"/>
        <v>8</v>
      </c>
      <c r="AW44" s="216">
        <f t="shared" si="12"/>
        <v>5</v>
      </c>
      <c r="AX44" s="216">
        <f t="shared" si="12"/>
        <v>4</v>
      </c>
      <c r="AY44" s="216">
        <f t="shared" si="12"/>
        <v>4</v>
      </c>
      <c r="AZ44" s="218">
        <f t="shared" si="12"/>
        <v>4</v>
      </c>
      <c r="BA44" s="216">
        <f t="shared" si="12"/>
        <v>4</v>
      </c>
      <c r="BB44" s="216">
        <f t="shared" si="12"/>
        <v>4</v>
      </c>
      <c r="BC44" s="216">
        <f t="shared" si="12"/>
        <v>4</v>
      </c>
      <c r="BD44" s="218">
        <f t="shared" si="12"/>
        <v>4</v>
      </c>
      <c r="BE44" s="216">
        <f t="shared" si="12"/>
        <v>4</v>
      </c>
      <c r="BF44" s="216">
        <f t="shared" si="12"/>
        <v>4</v>
      </c>
      <c r="BG44" s="216">
        <f t="shared" si="12"/>
        <v>4</v>
      </c>
      <c r="BH44" s="216">
        <f t="shared" si="12"/>
        <v>4</v>
      </c>
      <c r="BI44" s="216">
        <f t="shared" si="12"/>
        <v>4</v>
      </c>
      <c r="BJ44" s="216">
        <f t="shared" si="12"/>
        <v>4</v>
      </c>
      <c r="BK44" s="216">
        <f t="shared" si="12"/>
        <v>4</v>
      </c>
      <c r="BL44" s="216">
        <f t="shared" si="12"/>
        <v>4</v>
      </c>
      <c r="BM44" s="216">
        <f t="shared" si="12"/>
        <v>4</v>
      </c>
      <c r="BN44" s="216">
        <f t="shared" si="12"/>
        <v>4</v>
      </c>
      <c r="BO44" s="216">
        <f t="shared" si="12"/>
        <v>4</v>
      </c>
      <c r="BP44" s="216">
        <f t="shared" si="12"/>
        <v>4</v>
      </c>
      <c r="BQ44" s="216">
        <f t="shared" si="12"/>
        <v>9</v>
      </c>
      <c r="BR44" s="216">
        <f t="shared" si="12"/>
        <v>25</v>
      </c>
    </row>
    <row r="45" ht="18.75" customHeight="1">
      <c r="A45" s="44"/>
      <c r="B45" s="220" t="s">
        <v>161</v>
      </c>
      <c r="C45" s="44"/>
      <c r="D45" s="221">
        <f t="shared" ref="D45:BR45" si="13">SUM(D41:D44)</f>
        <v>25</v>
      </c>
      <c r="E45" s="221">
        <f t="shared" si="13"/>
        <v>25</v>
      </c>
      <c r="F45" s="221">
        <f t="shared" si="13"/>
        <v>25</v>
      </c>
      <c r="G45" s="221">
        <f t="shared" si="13"/>
        <v>25</v>
      </c>
      <c r="H45" s="221">
        <f t="shared" si="13"/>
        <v>25</v>
      </c>
      <c r="I45" s="222">
        <f t="shared" si="13"/>
        <v>25</v>
      </c>
      <c r="J45" s="223">
        <f t="shared" si="13"/>
        <v>25</v>
      </c>
      <c r="K45" s="221">
        <f t="shared" si="13"/>
        <v>25</v>
      </c>
      <c r="L45" s="223">
        <f t="shared" si="13"/>
        <v>25</v>
      </c>
      <c r="M45" s="221">
        <f t="shared" si="13"/>
        <v>25</v>
      </c>
      <c r="N45" s="221">
        <f t="shared" si="13"/>
        <v>25</v>
      </c>
      <c r="O45" s="224">
        <f t="shared" si="13"/>
        <v>25</v>
      </c>
      <c r="P45" s="223">
        <f t="shared" si="13"/>
        <v>25</v>
      </c>
      <c r="Q45" s="221">
        <f t="shared" si="13"/>
        <v>25</v>
      </c>
      <c r="R45" s="221">
        <f t="shared" si="13"/>
        <v>25</v>
      </c>
      <c r="S45" s="221">
        <f t="shared" si="13"/>
        <v>25</v>
      </c>
      <c r="T45" s="221">
        <f t="shared" si="13"/>
        <v>25</v>
      </c>
      <c r="U45" s="223">
        <f t="shared" si="13"/>
        <v>25</v>
      </c>
      <c r="V45" s="221">
        <f t="shared" si="13"/>
        <v>25</v>
      </c>
      <c r="W45" s="221">
        <f t="shared" si="13"/>
        <v>25</v>
      </c>
      <c r="X45" s="223">
        <f t="shared" si="13"/>
        <v>25</v>
      </c>
      <c r="Y45" s="221">
        <f t="shared" si="13"/>
        <v>25</v>
      </c>
      <c r="Z45" s="221">
        <f t="shared" si="13"/>
        <v>25</v>
      </c>
      <c r="AA45" s="223">
        <f t="shared" si="13"/>
        <v>25</v>
      </c>
      <c r="AB45" s="221">
        <f t="shared" si="13"/>
        <v>25</v>
      </c>
      <c r="AC45" s="221">
        <f t="shared" si="13"/>
        <v>25</v>
      </c>
      <c r="AD45" s="221">
        <f t="shared" si="13"/>
        <v>25</v>
      </c>
      <c r="AE45" s="223">
        <f t="shared" si="13"/>
        <v>25</v>
      </c>
      <c r="AF45" s="221">
        <f t="shared" si="13"/>
        <v>25</v>
      </c>
      <c r="AG45" s="221">
        <f t="shared" si="13"/>
        <v>25</v>
      </c>
      <c r="AH45" s="223">
        <f t="shared" si="13"/>
        <v>25</v>
      </c>
      <c r="AI45" s="221">
        <f t="shared" si="13"/>
        <v>25</v>
      </c>
      <c r="AJ45" s="221">
        <f t="shared" si="13"/>
        <v>25</v>
      </c>
      <c r="AK45" s="223">
        <f t="shared" si="13"/>
        <v>25</v>
      </c>
      <c r="AL45" s="223">
        <f t="shared" si="13"/>
        <v>25</v>
      </c>
      <c r="AM45" s="221">
        <f t="shared" si="13"/>
        <v>25</v>
      </c>
      <c r="AN45" s="221">
        <f t="shared" si="13"/>
        <v>24</v>
      </c>
      <c r="AO45" s="223">
        <f t="shared" si="13"/>
        <v>25</v>
      </c>
      <c r="AP45" s="223">
        <f t="shared" si="13"/>
        <v>25</v>
      </c>
      <c r="AQ45" s="221">
        <f t="shared" si="13"/>
        <v>25</v>
      </c>
      <c r="AR45" s="221">
        <f t="shared" si="13"/>
        <v>25</v>
      </c>
      <c r="AS45" s="221">
        <f t="shared" si="13"/>
        <v>25</v>
      </c>
      <c r="AT45" s="223">
        <f t="shared" si="13"/>
        <v>25</v>
      </c>
      <c r="AU45" s="221">
        <f t="shared" si="13"/>
        <v>25</v>
      </c>
      <c r="AV45" s="221">
        <f t="shared" si="13"/>
        <v>25</v>
      </c>
      <c r="AW45" s="221">
        <f t="shared" si="13"/>
        <v>25</v>
      </c>
      <c r="AX45" s="221">
        <f t="shared" si="13"/>
        <v>25</v>
      </c>
      <c r="AY45" s="221">
        <f t="shared" si="13"/>
        <v>25</v>
      </c>
      <c r="AZ45" s="223">
        <f t="shared" si="13"/>
        <v>25</v>
      </c>
      <c r="BA45" s="221">
        <f t="shared" si="13"/>
        <v>25</v>
      </c>
      <c r="BB45" s="221">
        <f t="shared" si="13"/>
        <v>25</v>
      </c>
      <c r="BC45" s="221">
        <f t="shared" si="13"/>
        <v>25</v>
      </c>
      <c r="BD45" s="223">
        <f t="shared" si="13"/>
        <v>25</v>
      </c>
      <c r="BE45" s="221">
        <f t="shared" si="13"/>
        <v>25</v>
      </c>
      <c r="BF45" s="221">
        <f t="shared" si="13"/>
        <v>25</v>
      </c>
      <c r="BG45" s="221">
        <f t="shared" si="13"/>
        <v>25</v>
      </c>
      <c r="BH45" s="221">
        <f t="shared" si="13"/>
        <v>25</v>
      </c>
      <c r="BI45" s="221">
        <f t="shared" si="13"/>
        <v>25</v>
      </c>
      <c r="BJ45" s="221">
        <f t="shared" si="13"/>
        <v>25</v>
      </c>
      <c r="BK45" s="221">
        <f t="shared" si="13"/>
        <v>25</v>
      </c>
      <c r="BL45" s="221">
        <f t="shared" si="13"/>
        <v>25</v>
      </c>
      <c r="BM45" s="221">
        <f t="shared" si="13"/>
        <v>25</v>
      </c>
      <c r="BN45" s="221">
        <f t="shared" si="13"/>
        <v>25</v>
      </c>
      <c r="BO45" s="221">
        <f t="shared" si="13"/>
        <v>25</v>
      </c>
      <c r="BP45" s="221">
        <f t="shared" si="13"/>
        <v>25</v>
      </c>
      <c r="BQ45" s="221">
        <f t="shared" si="13"/>
        <v>25</v>
      </c>
      <c r="BR45" s="221">
        <f t="shared" si="13"/>
        <v>25</v>
      </c>
    </row>
    <row r="46" ht="18.75" customHeight="1">
      <c r="A46" s="44"/>
      <c r="B46" s="225" t="s">
        <v>162</v>
      </c>
      <c r="C46" s="44"/>
      <c r="D46" s="226">
        <f t="shared" ref="D46:BR46" si="14">D41+D42+D43</f>
        <v>22</v>
      </c>
      <c r="E46" s="226">
        <f t="shared" si="14"/>
        <v>22</v>
      </c>
      <c r="F46" s="226">
        <f t="shared" si="14"/>
        <v>22</v>
      </c>
      <c r="G46" s="226">
        <f t="shared" si="14"/>
        <v>22</v>
      </c>
      <c r="H46" s="226">
        <f t="shared" si="14"/>
        <v>22</v>
      </c>
      <c r="I46" s="227">
        <f t="shared" si="14"/>
        <v>19</v>
      </c>
      <c r="J46" s="228">
        <f t="shared" si="14"/>
        <v>20</v>
      </c>
      <c r="K46" s="226">
        <f t="shared" si="14"/>
        <v>20</v>
      </c>
      <c r="L46" s="228">
        <f t="shared" si="14"/>
        <v>20</v>
      </c>
      <c r="M46" s="226">
        <f t="shared" si="14"/>
        <v>20</v>
      </c>
      <c r="N46" s="226">
        <f t="shared" si="14"/>
        <v>20</v>
      </c>
      <c r="O46" s="229">
        <f t="shared" si="14"/>
        <v>20</v>
      </c>
      <c r="P46" s="228">
        <f t="shared" si="14"/>
        <v>22</v>
      </c>
      <c r="Q46" s="226">
        <f t="shared" si="14"/>
        <v>22</v>
      </c>
      <c r="R46" s="226">
        <f t="shared" si="14"/>
        <v>22</v>
      </c>
      <c r="S46" s="226">
        <f t="shared" si="14"/>
        <v>22</v>
      </c>
      <c r="T46" s="226">
        <f t="shared" si="14"/>
        <v>22</v>
      </c>
      <c r="U46" s="228">
        <f t="shared" si="14"/>
        <v>22</v>
      </c>
      <c r="V46" s="226">
        <f t="shared" si="14"/>
        <v>22</v>
      </c>
      <c r="W46" s="226">
        <f t="shared" si="14"/>
        <v>22</v>
      </c>
      <c r="X46" s="228">
        <f t="shared" si="14"/>
        <v>23</v>
      </c>
      <c r="Y46" s="226">
        <f t="shared" si="14"/>
        <v>23</v>
      </c>
      <c r="Z46" s="226">
        <f t="shared" si="14"/>
        <v>23</v>
      </c>
      <c r="AA46" s="228">
        <f t="shared" si="14"/>
        <v>23</v>
      </c>
      <c r="AB46" s="226">
        <f t="shared" si="14"/>
        <v>23</v>
      </c>
      <c r="AC46" s="226">
        <f t="shared" si="14"/>
        <v>23</v>
      </c>
      <c r="AD46" s="226">
        <f t="shared" si="14"/>
        <v>23</v>
      </c>
      <c r="AE46" s="228">
        <f t="shared" si="14"/>
        <v>21</v>
      </c>
      <c r="AF46" s="226">
        <f t="shared" si="14"/>
        <v>21</v>
      </c>
      <c r="AG46" s="226">
        <f t="shared" si="14"/>
        <v>21</v>
      </c>
      <c r="AH46" s="228">
        <f t="shared" si="14"/>
        <v>21</v>
      </c>
      <c r="AI46" s="226">
        <f t="shared" si="14"/>
        <v>21</v>
      </c>
      <c r="AJ46" s="226">
        <f t="shared" si="14"/>
        <v>21</v>
      </c>
      <c r="AK46" s="228">
        <f t="shared" si="14"/>
        <v>21</v>
      </c>
      <c r="AL46" s="228">
        <f t="shared" si="14"/>
        <v>21</v>
      </c>
      <c r="AM46" s="226">
        <f t="shared" si="14"/>
        <v>21</v>
      </c>
      <c r="AN46" s="226">
        <f t="shared" si="14"/>
        <v>16</v>
      </c>
      <c r="AO46" s="228">
        <f t="shared" si="14"/>
        <v>17</v>
      </c>
      <c r="AP46" s="228">
        <f t="shared" si="14"/>
        <v>17</v>
      </c>
      <c r="AQ46" s="226">
        <f t="shared" si="14"/>
        <v>17</v>
      </c>
      <c r="AR46" s="226">
        <f t="shared" si="14"/>
        <v>17</v>
      </c>
      <c r="AS46" s="226">
        <f t="shared" si="14"/>
        <v>17</v>
      </c>
      <c r="AT46" s="228">
        <f t="shared" si="14"/>
        <v>17</v>
      </c>
      <c r="AU46" s="226">
        <f t="shared" si="14"/>
        <v>17</v>
      </c>
      <c r="AV46" s="226">
        <f t="shared" si="14"/>
        <v>17</v>
      </c>
      <c r="AW46" s="226">
        <f t="shared" si="14"/>
        <v>20</v>
      </c>
      <c r="AX46" s="226">
        <f t="shared" si="14"/>
        <v>21</v>
      </c>
      <c r="AY46" s="226">
        <f t="shared" si="14"/>
        <v>21</v>
      </c>
      <c r="AZ46" s="228">
        <f t="shared" si="14"/>
        <v>21</v>
      </c>
      <c r="BA46" s="226">
        <f t="shared" si="14"/>
        <v>21</v>
      </c>
      <c r="BB46" s="226">
        <f t="shared" si="14"/>
        <v>21</v>
      </c>
      <c r="BC46" s="226">
        <f t="shared" si="14"/>
        <v>21</v>
      </c>
      <c r="BD46" s="228">
        <f t="shared" si="14"/>
        <v>21</v>
      </c>
      <c r="BE46" s="226">
        <f t="shared" si="14"/>
        <v>21</v>
      </c>
      <c r="BF46" s="226">
        <f t="shared" si="14"/>
        <v>21</v>
      </c>
      <c r="BG46" s="226">
        <f t="shared" si="14"/>
        <v>21</v>
      </c>
      <c r="BH46" s="226">
        <f t="shared" si="14"/>
        <v>21</v>
      </c>
      <c r="BI46" s="226">
        <f t="shared" si="14"/>
        <v>21</v>
      </c>
      <c r="BJ46" s="226">
        <f t="shared" si="14"/>
        <v>21</v>
      </c>
      <c r="BK46" s="226">
        <f t="shared" si="14"/>
        <v>21</v>
      </c>
      <c r="BL46" s="226">
        <f t="shared" si="14"/>
        <v>21</v>
      </c>
      <c r="BM46" s="226">
        <f t="shared" si="14"/>
        <v>21</v>
      </c>
      <c r="BN46" s="226">
        <f t="shared" si="14"/>
        <v>21</v>
      </c>
      <c r="BO46" s="226">
        <f t="shared" si="14"/>
        <v>21</v>
      </c>
      <c r="BP46" s="226">
        <f t="shared" si="14"/>
        <v>21</v>
      </c>
      <c r="BQ46" s="226">
        <f t="shared" si="14"/>
        <v>16</v>
      </c>
      <c r="BR46" s="226">
        <f t="shared" si="14"/>
        <v>0</v>
      </c>
    </row>
    <row r="47" ht="18.75" customHeight="1">
      <c r="A47" s="230"/>
      <c r="B47" s="231" t="s">
        <v>163</v>
      </c>
      <c r="C47" s="230"/>
      <c r="D47" s="232">
        <f t="shared" ref="D47:BR47" si="15">IFERROR(D46/D45,"")</f>
        <v>0.88</v>
      </c>
      <c r="E47" s="232">
        <f t="shared" si="15"/>
        <v>0.88</v>
      </c>
      <c r="F47" s="232">
        <f t="shared" si="15"/>
        <v>0.88</v>
      </c>
      <c r="G47" s="232">
        <f t="shared" si="15"/>
        <v>0.88</v>
      </c>
      <c r="H47" s="232">
        <f t="shared" si="15"/>
        <v>0.88</v>
      </c>
      <c r="I47" s="233">
        <f t="shared" si="15"/>
        <v>0.76</v>
      </c>
      <c r="J47" s="234">
        <f t="shared" si="15"/>
        <v>0.8</v>
      </c>
      <c r="K47" s="232">
        <f t="shared" si="15"/>
        <v>0.8</v>
      </c>
      <c r="L47" s="234">
        <f t="shared" si="15"/>
        <v>0.8</v>
      </c>
      <c r="M47" s="232">
        <f t="shared" si="15"/>
        <v>0.8</v>
      </c>
      <c r="N47" s="232">
        <f t="shared" si="15"/>
        <v>0.8</v>
      </c>
      <c r="O47" s="235">
        <f t="shared" si="15"/>
        <v>0.8</v>
      </c>
      <c r="P47" s="234">
        <f t="shared" si="15"/>
        <v>0.88</v>
      </c>
      <c r="Q47" s="232">
        <f t="shared" si="15"/>
        <v>0.88</v>
      </c>
      <c r="R47" s="232">
        <f t="shared" si="15"/>
        <v>0.88</v>
      </c>
      <c r="S47" s="232">
        <f t="shared" si="15"/>
        <v>0.88</v>
      </c>
      <c r="T47" s="232">
        <f t="shared" si="15"/>
        <v>0.88</v>
      </c>
      <c r="U47" s="234">
        <f t="shared" si="15"/>
        <v>0.88</v>
      </c>
      <c r="V47" s="232">
        <f t="shared" si="15"/>
        <v>0.88</v>
      </c>
      <c r="W47" s="232">
        <f t="shared" si="15"/>
        <v>0.88</v>
      </c>
      <c r="X47" s="234">
        <f t="shared" si="15"/>
        <v>0.92</v>
      </c>
      <c r="Y47" s="232">
        <f t="shared" si="15"/>
        <v>0.92</v>
      </c>
      <c r="Z47" s="232">
        <f t="shared" si="15"/>
        <v>0.92</v>
      </c>
      <c r="AA47" s="234">
        <f t="shared" si="15"/>
        <v>0.92</v>
      </c>
      <c r="AB47" s="232">
        <f t="shared" si="15"/>
        <v>0.92</v>
      </c>
      <c r="AC47" s="232">
        <f t="shared" si="15"/>
        <v>0.92</v>
      </c>
      <c r="AD47" s="232">
        <f t="shared" si="15"/>
        <v>0.92</v>
      </c>
      <c r="AE47" s="234">
        <f t="shared" si="15"/>
        <v>0.84</v>
      </c>
      <c r="AF47" s="232">
        <f t="shared" si="15"/>
        <v>0.84</v>
      </c>
      <c r="AG47" s="232">
        <f t="shared" si="15"/>
        <v>0.84</v>
      </c>
      <c r="AH47" s="234">
        <f t="shared" si="15"/>
        <v>0.84</v>
      </c>
      <c r="AI47" s="232">
        <f t="shared" si="15"/>
        <v>0.84</v>
      </c>
      <c r="AJ47" s="232">
        <f t="shared" si="15"/>
        <v>0.84</v>
      </c>
      <c r="AK47" s="234">
        <f t="shared" si="15"/>
        <v>0.84</v>
      </c>
      <c r="AL47" s="234">
        <f t="shared" si="15"/>
        <v>0.84</v>
      </c>
      <c r="AM47" s="232">
        <f t="shared" si="15"/>
        <v>0.84</v>
      </c>
      <c r="AN47" s="232">
        <f t="shared" si="15"/>
        <v>0.6666666667</v>
      </c>
      <c r="AO47" s="234">
        <f t="shared" si="15"/>
        <v>0.68</v>
      </c>
      <c r="AP47" s="234">
        <f t="shared" si="15"/>
        <v>0.68</v>
      </c>
      <c r="AQ47" s="232">
        <f t="shared" si="15"/>
        <v>0.68</v>
      </c>
      <c r="AR47" s="232">
        <f t="shared" si="15"/>
        <v>0.68</v>
      </c>
      <c r="AS47" s="232">
        <f t="shared" si="15"/>
        <v>0.68</v>
      </c>
      <c r="AT47" s="234">
        <f t="shared" si="15"/>
        <v>0.68</v>
      </c>
      <c r="AU47" s="232">
        <f t="shared" si="15"/>
        <v>0.68</v>
      </c>
      <c r="AV47" s="232">
        <f t="shared" si="15"/>
        <v>0.68</v>
      </c>
      <c r="AW47" s="232">
        <f t="shared" si="15"/>
        <v>0.8</v>
      </c>
      <c r="AX47" s="232">
        <f t="shared" si="15"/>
        <v>0.84</v>
      </c>
      <c r="AY47" s="232">
        <f t="shared" si="15"/>
        <v>0.84</v>
      </c>
      <c r="AZ47" s="234">
        <f t="shared" si="15"/>
        <v>0.84</v>
      </c>
      <c r="BA47" s="232">
        <f t="shared" si="15"/>
        <v>0.84</v>
      </c>
      <c r="BB47" s="232">
        <f t="shared" si="15"/>
        <v>0.84</v>
      </c>
      <c r="BC47" s="232">
        <f t="shared" si="15"/>
        <v>0.84</v>
      </c>
      <c r="BD47" s="234">
        <f t="shared" si="15"/>
        <v>0.84</v>
      </c>
      <c r="BE47" s="232">
        <f t="shared" si="15"/>
        <v>0.84</v>
      </c>
      <c r="BF47" s="232">
        <f t="shared" si="15"/>
        <v>0.84</v>
      </c>
      <c r="BG47" s="232">
        <f t="shared" si="15"/>
        <v>0.84</v>
      </c>
      <c r="BH47" s="232">
        <f t="shared" si="15"/>
        <v>0.84</v>
      </c>
      <c r="BI47" s="232">
        <f t="shared" si="15"/>
        <v>0.84</v>
      </c>
      <c r="BJ47" s="232">
        <f t="shared" si="15"/>
        <v>0.84</v>
      </c>
      <c r="BK47" s="232">
        <f t="shared" si="15"/>
        <v>0.84</v>
      </c>
      <c r="BL47" s="232">
        <f t="shared" si="15"/>
        <v>0.84</v>
      </c>
      <c r="BM47" s="232">
        <f t="shared" si="15"/>
        <v>0.84</v>
      </c>
      <c r="BN47" s="232">
        <f t="shared" si="15"/>
        <v>0.84</v>
      </c>
      <c r="BO47" s="232">
        <f t="shared" si="15"/>
        <v>0.84</v>
      </c>
      <c r="BP47" s="232">
        <f t="shared" si="15"/>
        <v>0.84</v>
      </c>
      <c r="BQ47" s="232">
        <f t="shared" si="15"/>
        <v>0.64</v>
      </c>
      <c r="BR47" s="232">
        <f t="shared" si="15"/>
        <v>0</v>
      </c>
    </row>
  </sheetData>
  <mergeCells count="25">
    <mergeCell ref="AW4:BC4"/>
    <mergeCell ref="BD4:BQ4"/>
    <mergeCell ref="A2:C2"/>
    <mergeCell ref="D2:BQ3"/>
    <mergeCell ref="A3:C4"/>
    <mergeCell ref="D4:I4"/>
    <mergeCell ref="J4:O4"/>
    <mergeCell ref="P4:W4"/>
    <mergeCell ref="X4:AD4"/>
    <mergeCell ref="AE4:AM4"/>
    <mergeCell ref="AN4:AV4"/>
    <mergeCell ref="A7:A23"/>
    <mergeCell ref="B7:B14"/>
    <mergeCell ref="B15:B23"/>
    <mergeCell ref="B25:B29"/>
    <mergeCell ref="B30:B37"/>
    <mergeCell ref="B46:C46"/>
    <mergeCell ref="B47:C47"/>
    <mergeCell ref="A25:A39"/>
    <mergeCell ref="A41:A47"/>
    <mergeCell ref="B41:C41"/>
    <mergeCell ref="B42:C42"/>
    <mergeCell ref="B43:C43"/>
    <mergeCell ref="B44:C44"/>
    <mergeCell ref="B45:C45"/>
  </mergeCells>
  <conditionalFormatting sqref="A3 B25:B26">
    <cfRule type="containsText" dxfId="0" priority="1" operator="containsText" text="voor">
      <formula>NOT(ISERROR(SEARCH(("voor"),(A3))))</formula>
    </cfRule>
  </conditionalFormatting>
  <conditionalFormatting sqref="A3 B25:B26">
    <cfRule type="containsText" dxfId="1" priority="2" operator="containsText" text="tegen">
      <formula>NOT(ISERROR(SEARCH(("tegen"),(A3))))</formula>
    </cfRule>
  </conditionalFormatting>
  <conditionalFormatting sqref="C7:BR23 B25:B29 C25:C38 D25:D39 E25:H38 I25:BR39">
    <cfRule type="containsText" dxfId="2" priority="3" operator="containsText" text="SO">
      <formula>NOT(ISERROR(SEARCH(("SO"),(C7))))</formula>
    </cfRule>
  </conditionalFormatting>
  <conditionalFormatting sqref="A3 C7:BR23 B25:B29 C25:C38 D25:D39 E25:H38 I25:BR39">
    <cfRule type="containsText" dxfId="3" priority="4" operator="containsText" text="tegen">
      <formula>NOT(ISERROR(SEARCH(("tegen"),(A3))))</formula>
    </cfRule>
  </conditionalFormatting>
  <conditionalFormatting sqref="C7:BR23 B25:B29 C25:C38 D25:D39 E25:H38 I25:BR39">
    <cfRule type="containsText" dxfId="4" priority="5" operator="containsText" text="voor">
      <formula>NOT(ISERROR(SEARCH(("voor"),(C7))))</formula>
    </cfRule>
  </conditionalFormatting>
  <conditionalFormatting sqref="C7:BR23 B25:B29 C25:C38 D25:D39 E25:H38 I25:BR39">
    <cfRule type="cellIs" dxfId="5" priority="6" operator="equal">
      <formula>"NG"</formula>
    </cfRule>
  </conditionalFormatting>
  <conditionalFormatting sqref="C7:BR23 B25:B29 C25:C38 D25:D39 E25:H38 I25:BR39">
    <cfRule type="containsText" dxfId="6" priority="7" operator="containsText" text="NVT">
      <formula>NOT(ISERROR(SEARCH(("NVT"),(C7))))</formula>
    </cfRule>
  </conditionalFormatting>
  <hyperlinks>
    <hyperlink r:id="rId2" ref="AW5"/>
    <hyperlink r:id="rId3" ref="AX5"/>
    <hyperlink r:id="rId4" ref="AY5"/>
    <hyperlink r:id="rId5" ref="AZ5"/>
    <hyperlink r:id="rId6" ref="BA5"/>
    <hyperlink r:id="rId7" ref="BB5"/>
    <hyperlink r:id="rId8" ref="BC5"/>
    <hyperlink r:id="rId9" ref="AN24"/>
    <hyperlink r:id="rId10" ref="AO24"/>
    <hyperlink r:id="rId11" ref="AP24"/>
    <hyperlink r:id="rId12" ref="AQ24"/>
    <hyperlink r:id="rId13" ref="AR24"/>
    <hyperlink r:id="rId14" ref="AS24"/>
    <hyperlink r:id="rId15" ref="AT24"/>
    <hyperlink r:id="rId16" ref="AU24"/>
    <hyperlink r:id="rId17" ref="AV24"/>
    <hyperlink r:id="rId18" ref="AW24"/>
    <hyperlink r:id="rId19" ref="AX24"/>
    <hyperlink r:id="rId20" ref="AY24"/>
    <hyperlink r:id="rId21" ref="AZ24"/>
    <hyperlink r:id="rId22" ref="BA24"/>
    <hyperlink r:id="rId23" ref="BB24"/>
    <hyperlink r:id="rId24" ref="BC24"/>
  </hyperlinks>
  <drawing r:id="rId25"/>
  <legacyDrawing r:id="rId26"/>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4125"/>
    <outlinePr summaryBelow="0" summaryRight="0"/>
  </sheetPr>
  <sheetViews>
    <sheetView workbookViewId="0">
      <pane xSplit="3.0" ySplit="6.0" topLeftCell="D7" activePane="bottomRight" state="frozen"/>
      <selection activeCell="D1" sqref="D1" pane="topRight"/>
      <selection activeCell="A7" sqref="A7" pane="bottomLeft"/>
      <selection activeCell="D7" sqref="D7" pane="bottomRight"/>
    </sheetView>
  </sheetViews>
  <sheetFormatPr customHeight="1" defaultColWidth="14.43" defaultRowHeight="15.75"/>
  <cols>
    <col customWidth="1" min="1" max="1" width="10.86"/>
    <col customWidth="1" min="2" max="2" width="11.0"/>
    <col customWidth="1" min="3" max="3" width="26.29"/>
  </cols>
  <sheetData>
    <row r="1" ht="18.75" customHeight="1">
      <c r="A1" s="104" t="s">
        <v>164</v>
      </c>
      <c r="B1" s="105"/>
      <c r="C1" s="105"/>
      <c r="D1" s="105"/>
      <c r="E1" s="105"/>
      <c r="F1" s="105"/>
      <c r="G1" s="105"/>
      <c r="H1" s="105"/>
      <c r="I1" s="105"/>
      <c r="J1" s="105"/>
      <c r="K1" s="105"/>
      <c r="L1" s="105"/>
      <c r="M1" s="105"/>
      <c r="N1" s="105"/>
      <c r="O1" s="105"/>
      <c r="P1" s="105"/>
      <c r="Q1" s="105"/>
      <c r="R1" s="105"/>
      <c r="S1" s="105"/>
    </row>
    <row r="2" ht="18.75" customHeight="1">
      <c r="A2" s="108" t="s">
        <v>1014</v>
      </c>
      <c r="B2" s="109"/>
      <c r="C2" s="110"/>
      <c r="D2" s="111" t="s">
        <v>1576</v>
      </c>
      <c r="E2" s="112"/>
      <c r="F2" s="112"/>
      <c r="G2" s="112"/>
      <c r="H2" s="112"/>
      <c r="I2" s="112"/>
      <c r="J2" s="112"/>
      <c r="K2" s="112"/>
      <c r="L2" s="112"/>
      <c r="M2" s="112"/>
      <c r="N2" s="112"/>
      <c r="O2" s="112"/>
      <c r="P2" s="112"/>
      <c r="Q2" s="112"/>
      <c r="R2" s="112"/>
      <c r="S2" s="20"/>
    </row>
    <row r="3" ht="18.75" customHeight="1">
      <c r="A3" s="1961" t="s">
        <v>1572</v>
      </c>
      <c r="C3" s="115"/>
      <c r="D3" s="43"/>
      <c r="S3" s="44"/>
    </row>
    <row r="4" ht="18.75" customHeight="1">
      <c r="C4" s="115"/>
      <c r="D4" s="26"/>
      <c r="E4" s="504"/>
      <c r="F4" s="504"/>
      <c r="G4" s="504"/>
      <c r="H4" s="504"/>
      <c r="I4" s="504"/>
      <c r="J4" s="504"/>
      <c r="K4" s="504"/>
      <c r="L4" s="504"/>
      <c r="M4" s="504"/>
      <c r="N4" s="504"/>
      <c r="O4" s="504"/>
      <c r="P4" s="504"/>
      <c r="Q4" s="504"/>
      <c r="R4" s="504"/>
      <c r="S4" s="27"/>
    </row>
    <row r="5" ht="18.75" customHeight="1">
      <c r="A5" s="121" t="s">
        <v>82</v>
      </c>
      <c r="B5" s="122" t="s">
        <v>83</v>
      </c>
      <c r="C5" s="123" t="s">
        <v>84</v>
      </c>
      <c r="D5" s="124" t="str">
        <f>hyperlink("https://www.reddit.com/r/RMTK/comments/e0q3ef/w0048_sanctiewet_republiek_turkije_2019/","W0048")</f>
        <v>W0048</v>
      </c>
      <c r="E5" s="124" t="str">
        <f>hyperlink("https://www.reddit.com/r/RMTK/comments/dy8slq/w0052_wetswijziging_ter_afschaffing_van_de/","W0052")</f>
        <v>W0052</v>
      </c>
      <c r="F5" s="124" t="str">
        <f>hyperlink("https://www.reddit.com/r/RMTK/comments/e5znmk/w0054_grondwetswijziging_ter/","W0054")</f>
        <v>W0054</v>
      </c>
      <c r="G5" s="124" t="str">
        <f>hyperlink("https://www.reddit.com/r/RMTK/comments/e6gw21/w0055_wetswijziging_tot_het_uitbreiden_van_de/","W0055")</f>
        <v>W0055</v>
      </c>
      <c r="H5" s="124" t="str">
        <f>hyperlink("https://www.reddit.com/r/RMTK/comments/ecbver/w0058_wet_verkorting_uitkeringsduur_appa_2020/","W0058")</f>
        <v>W0058</v>
      </c>
      <c r="I5" s="124" t="str">
        <f>hyperlink("https://www.reddit.com/r/RMTK/comments/efm3vz/w0059_wetsvoorstel_tot_budgettaire_begroting/","W0059")</f>
        <v>W0059</v>
      </c>
      <c r="J5" s="124" t="str">
        <f>hyperlink("https://www.reddit.com/r/RMTK/comments/eixzg8/w0060_wetswijziging_tot_verhoging_algemene/","W0060")</f>
        <v>W0060</v>
      </c>
      <c r="K5" s="124" t="str">
        <f>hyperlink("https://www.reddit.com/r/RMTK/comments/em9c3k/w0061_rijkswet_afkondigings_en/","W0061")</f>
        <v>W0061</v>
      </c>
      <c r="L5" s="124" t="str">
        <f>hyperlink("https://www.reddit.com/r/RMTK/comments/eo3tv9/w0062_wet_tot_het_samenvoegen_van_de_rustwetten/","W0062")</f>
        <v>W0062</v>
      </c>
      <c r="M5" s="124" t="str">
        <f>hyperlink("https://www.reddit.com/r/RMTK/comments/eokzf9/w0063_wet_tot_oprichting_van_het/","W0063")</f>
        <v>W0063</v>
      </c>
      <c r="N5" s="124" t="str">
        <f>hyperlink("https://www.reddit.com/r/RMTK/comments/esssij/w0064_wet_gelijke_behandeling_op_grond_van/","W0064")</f>
        <v>W0064</v>
      </c>
      <c r="O5" s="124" t="str">
        <f>hyperlink("https://www.reddit.com/r/RMTK/comments/ev5bje/w0066_wijziging_van_de_kernenergiewet_ter/","W0066")</f>
        <v>W0066</v>
      </c>
      <c r="P5" s="124" t="str">
        <f>hyperlink("https://www.reddit.com/r/RMTK/comments/ewnh2a/w0067_wetswijziging_afschaffing_verzwaarde/","W0067")</f>
        <v>W0067</v>
      </c>
      <c r="Q5" s="124" t="str">
        <f>hyperlink("https://www.reddit.com/r/RMTK/comments/ey660k/w0068_wijziging_van_de_algemene_rustwet_voor_de/","W0068")</f>
        <v>W0068</v>
      </c>
      <c r="R5" s="124" t="str">
        <f>hyperlink("https://www.reddit.com/r/RMTK/comments/ewsp33/w0069_wetsvoorstel_tot_oprichting_alan/","W0069")</f>
        <v>W0069</v>
      </c>
      <c r="S5" s="124" t="str">
        <f>hyperlink("https://www.reddit.com/r/RMTK/comments/f58gig/w0070_voorstel_wet_derde_geslacht/","W0070")</f>
        <v>W0070</v>
      </c>
    </row>
    <row r="6" ht="6.0" customHeight="1">
      <c r="A6" s="128"/>
      <c r="B6" s="129"/>
      <c r="C6" s="129"/>
      <c r="D6" s="130"/>
      <c r="E6" s="131"/>
      <c r="F6" s="1964"/>
      <c r="G6" s="1966"/>
      <c r="H6" s="1966"/>
      <c r="I6" s="1966"/>
      <c r="J6" s="131"/>
      <c r="K6" s="131"/>
      <c r="L6" s="131"/>
      <c r="M6" s="131"/>
      <c r="N6" s="1964"/>
      <c r="O6" s="1966"/>
      <c r="P6" s="1966"/>
      <c r="Q6" s="1964"/>
      <c r="R6" s="1966"/>
      <c r="S6" s="1966"/>
    </row>
    <row r="7" ht="18.75" customHeight="1">
      <c r="A7" s="250" t="s">
        <v>1577</v>
      </c>
      <c r="B7" s="153" t="s">
        <v>24</v>
      </c>
      <c r="C7" s="257" t="s">
        <v>125</v>
      </c>
      <c r="D7" s="141" t="s">
        <v>110</v>
      </c>
      <c r="E7" s="144" t="s">
        <v>110</v>
      </c>
      <c r="F7" s="252" t="s">
        <v>110</v>
      </c>
      <c r="G7" s="144" t="s">
        <v>110</v>
      </c>
      <c r="H7" s="252" t="s">
        <v>110</v>
      </c>
      <c r="I7" s="144" t="s">
        <v>117</v>
      </c>
      <c r="J7" s="2012" t="s">
        <v>110</v>
      </c>
      <c r="K7" s="252" t="s">
        <v>110</v>
      </c>
      <c r="L7" s="252" t="s">
        <v>110</v>
      </c>
      <c r="M7" s="2012" t="s">
        <v>110</v>
      </c>
      <c r="N7" s="2012" t="s">
        <v>110</v>
      </c>
      <c r="O7" s="252" t="s">
        <v>110</v>
      </c>
      <c r="P7" s="252" t="s">
        <v>110</v>
      </c>
      <c r="Q7" s="2012" t="s">
        <v>110</v>
      </c>
      <c r="R7" s="255" t="s">
        <v>108</v>
      </c>
      <c r="S7" s="2013" t="s">
        <v>108</v>
      </c>
    </row>
    <row r="8" ht="18.75" customHeight="1">
      <c r="A8" s="147"/>
      <c r="B8" s="1972" t="s">
        <v>36</v>
      </c>
      <c r="C8" s="2014" t="s">
        <v>871</v>
      </c>
      <c r="D8" s="141" t="s">
        <v>110</v>
      </c>
      <c r="E8" s="144" t="s">
        <v>117</v>
      </c>
      <c r="F8" s="252" t="s">
        <v>110</v>
      </c>
      <c r="G8" s="144" t="s">
        <v>110</v>
      </c>
      <c r="H8" s="252" t="s">
        <v>110</v>
      </c>
      <c r="I8" s="144" t="s">
        <v>110</v>
      </c>
      <c r="J8" s="2012" t="s">
        <v>110</v>
      </c>
      <c r="K8" s="141" t="s">
        <v>109</v>
      </c>
      <c r="L8" s="252" t="s">
        <v>110</v>
      </c>
      <c r="M8" s="2012" t="s">
        <v>110</v>
      </c>
      <c r="N8" s="2012" t="s">
        <v>110</v>
      </c>
      <c r="O8" s="252" t="s">
        <v>110</v>
      </c>
      <c r="P8" s="141" t="s">
        <v>109</v>
      </c>
      <c r="Q8" s="2012" t="s">
        <v>110</v>
      </c>
      <c r="R8" s="252" t="s">
        <v>110</v>
      </c>
      <c r="S8" s="144" t="s">
        <v>117</v>
      </c>
    </row>
    <row r="9" ht="18.75" customHeight="1">
      <c r="A9" s="159"/>
      <c r="B9" s="1980" t="s">
        <v>740</v>
      </c>
      <c r="C9" s="2015" t="s">
        <v>121</v>
      </c>
      <c r="D9" s="141" t="s">
        <v>110</v>
      </c>
      <c r="E9" s="144" t="s">
        <v>110</v>
      </c>
      <c r="F9" s="255" t="s">
        <v>108</v>
      </c>
      <c r="G9" s="144" t="s">
        <v>108</v>
      </c>
      <c r="H9" s="141" t="s">
        <v>110</v>
      </c>
      <c r="I9" s="144" t="s">
        <v>110</v>
      </c>
      <c r="J9" s="2012" t="s">
        <v>110</v>
      </c>
      <c r="K9" s="141" t="s">
        <v>109</v>
      </c>
      <c r="L9" s="252" t="s">
        <v>110</v>
      </c>
      <c r="M9" s="2012" t="s">
        <v>110</v>
      </c>
      <c r="N9" s="2016" t="s">
        <v>108</v>
      </c>
      <c r="O9" s="252" t="s">
        <v>110</v>
      </c>
      <c r="P9" s="141" t="s">
        <v>109</v>
      </c>
      <c r="Q9" s="2012" t="s">
        <v>110</v>
      </c>
      <c r="R9" s="252" t="s">
        <v>110</v>
      </c>
      <c r="S9" s="2012" t="s">
        <v>110</v>
      </c>
    </row>
    <row r="10" ht="9.75" customHeight="1">
      <c r="A10" s="160"/>
      <c r="B10" s="161"/>
      <c r="C10" s="161"/>
      <c r="D10" s="1988" t="str">
        <f t="shared" ref="D10:S10" si="1">LINKURL(D5)</f>
        <v>https://www.reddit.com/r/RMTK/comments/e0q3ef/w0048_sanctiewet_republiek_turkije_2019/</v>
      </c>
      <c r="E10" s="1988" t="str">
        <f t="shared" si="1"/>
        <v>https://www.reddit.com/r/RMTK/comments/dy8slq/w0052_wetswijziging_ter_afschaffing_van_de/</v>
      </c>
      <c r="F10" s="1988" t="str">
        <f t="shared" si="1"/>
        <v>https://www.reddit.com/r/RMTK/comments/e5znmk/w0054_grondwetswijziging_ter/</v>
      </c>
      <c r="G10" s="1988" t="str">
        <f t="shared" si="1"/>
        <v>https://www.reddit.com/r/RMTK/comments/e6gw21/w0055_wetswijziging_tot_het_uitbreiden_van_de/</v>
      </c>
      <c r="H10" s="2017" t="str">
        <f t="shared" si="1"/>
        <v>https://www.reddit.com/r/RMTK/comments/ecbver/w0058_wet_verkorting_uitkeringsduur_appa_2020/</v>
      </c>
      <c r="I10" s="2017" t="str">
        <f t="shared" si="1"/>
        <v>https://www.reddit.com/r/RMTK/comments/efm3vz/w0059_wetsvoorstel_tot_budgettaire_begroting/</v>
      </c>
      <c r="J10" s="2017" t="str">
        <f t="shared" si="1"/>
        <v>https://www.reddit.com/r/RMTK/comments/eixzg8/w0060_wetswijziging_tot_verhoging_algemene/</v>
      </c>
      <c r="K10" s="1988" t="str">
        <f t="shared" si="1"/>
        <v>https://www.reddit.com/r/RMTK/comments/em9c3k/w0061_rijkswet_afkondigings_en/</v>
      </c>
      <c r="L10" s="2018" t="str">
        <f t="shared" si="1"/>
        <v>https://www.reddit.com/r/RMTK/comments/eo3tv9/w0062_wet_tot_het_samenvoegen_van_de_rustwetten/</v>
      </c>
      <c r="M10" s="2019" t="str">
        <f t="shared" si="1"/>
        <v>https://www.reddit.com/r/RMTK/comments/eokzf9/w0063_wet_tot_oprichting_van_het/</v>
      </c>
      <c r="N10" s="2019" t="str">
        <f t="shared" si="1"/>
        <v>https://www.reddit.com/r/RMTK/comments/esssij/w0064_wet_gelijke_behandeling_op_grond_van/</v>
      </c>
      <c r="O10" s="2018" t="str">
        <f t="shared" si="1"/>
        <v>https://www.reddit.com/r/RMTK/comments/ev5bje/w0066_wijziging_van_de_kernenergiewet_ter/</v>
      </c>
      <c r="P10" s="2018" t="str">
        <f t="shared" si="1"/>
        <v>https://www.reddit.com/r/RMTK/comments/ewnh2a/w0067_wetswijziging_afschaffing_verzwaarde/</v>
      </c>
      <c r="Q10" s="2018" t="str">
        <f t="shared" si="1"/>
        <v>https://www.reddit.com/r/RMTK/comments/ey660k/w0068_wijziging_van_de_algemene_rustwet_voor_de/</v>
      </c>
      <c r="R10" s="2018" t="str">
        <f t="shared" si="1"/>
        <v>https://www.reddit.com/r/RMTK/comments/ewsp33/w0069_wetsvoorstel_tot_oprichting_alan/</v>
      </c>
      <c r="S10" s="2020" t="str">
        <f t="shared" si="1"/>
        <v>https://www.reddit.com/r/RMTK/comments/f58gig/w0070_voorstel_wet_derde_geslacht/</v>
      </c>
    </row>
    <row r="11" ht="18.75" customHeight="1">
      <c r="A11" s="250" t="s">
        <v>1578</v>
      </c>
      <c r="B11" s="172" t="s">
        <v>31</v>
      </c>
      <c r="C11" s="2021" t="s">
        <v>1579</v>
      </c>
      <c r="D11" s="141" t="s">
        <v>108</v>
      </c>
      <c r="E11" s="144" t="s">
        <v>108</v>
      </c>
      <c r="F11" s="141" t="s">
        <v>119</v>
      </c>
      <c r="G11" s="252" t="s">
        <v>119</v>
      </c>
      <c r="H11" s="252" t="s">
        <v>119</v>
      </c>
      <c r="I11" s="252" t="s">
        <v>119</v>
      </c>
      <c r="J11" s="252" t="s">
        <v>119</v>
      </c>
      <c r="K11" s="252" t="s">
        <v>119</v>
      </c>
      <c r="L11" s="252" t="s">
        <v>119</v>
      </c>
      <c r="M11" s="2012" t="s">
        <v>119</v>
      </c>
      <c r="N11" s="2022" t="s">
        <v>119</v>
      </c>
      <c r="O11" s="2023" t="s">
        <v>119</v>
      </c>
      <c r="P11" s="2023" t="s">
        <v>119</v>
      </c>
      <c r="Q11" s="2022" t="s">
        <v>119</v>
      </c>
      <c r="R11" s="2023" t="s">
        <v>119</v>
      </c>
      <c r="S11" s="2022" t="s">
        <v>119</v>
      </c>
    </row>
    <row r="12" ht="18.75" customHeight="1">
      <c r="A12" s="147"/>
      <c r="B12" s="115"/>
      <c r="C12" s="2024" t="s">
        <v>150</v>
      </c>
      <c r="D12" s="252" t="s">
        <v>119</v>
      </c>
      <c r="E12" s="252" t="s">
        <v>119</v>
      </c>
      <c r="F12" s="252" t="s">
        <v>119</v>
      </c>
      <c r="G12" s="2012" t="s">
        <v>119</v>
      </c>
      <c r="H12" s="252" t="s">
        <v>110</v>
      </c>
      <c r="I12" s="144" t="s">
        <v>110</v>
      </c>
      <c r="J12" s="2012" t="s">
        <v>110</v>
      </c>
      <c r="K12" s="252" t="s">
        <v>110</v>
      </c>
      <c r="L12" s="252" t="s">
        <v>110</v>
      </c>
      <c r="M12" s="2012" t="s">
        <v>110</v>
      </c>
      <c r="N12" s="2012" t="s">
        <v>110</v>
      </c>
      <c r="O12" s="252" t="s">
        <v>110</v>
      </c>
      <c r="P12" s="252" t="s">
        <v>110</v>
      </c>
      <c r="Q12" s="2012" t="s">
        <v>110</v>
      </c>
      <c r="R12" s="252" t="s">
        <v>110</v>
      </c>
      <c r="S12" s="2012" t="s">
        <v>110</v>
      </c>
    </row>
    <row r="13" ht="18.75" customHeight="1">
      <c r="A13" s="147"/>
      <c r="B13" s="115"/>
      <c r="C13" s="2021" t="s">
        <v>1278</v>
      </c>
      <c r="D13" s="141" t="s">
        <v>119</v>
      </c>
      <c r="E13" s="144" t="s">
        <v>119</v>
      </c>
      <c r="F13" s="252" t="s">
        <v>110</v>
      </c>
      <c r="G13" s="144" t="s">
        <v>110</v>
      </c>
      <c r="H13" s="252" t="s">
        <v>119</v>
      </c>
      <c r="I13" s="252" t="s">
        <v>119</v>
      </c>
      <c r="J13" s="252" t="s">
        <v>119</v>
      </c>
      <c r="K13" s="252" t="s">
        <v>119</v>
      </c>
      <c r="L13" s="252" t="s">
        <v>119</v>
      </c>
      <c r="M13" s="2012" t="s">
        <v>119</v>
      </c>
      <c r="N13" s="2022" t="s">
        <v>119</v>
      </c>
      <c r="O13" s="2023" t="s">
        <v>119</v>
      </c>
      <c r="P13" s="2023" t="s">
        <v>119</v>
      </c>
      <c r="Q13" s="2022" t="s">
        <v>119</v>
      </c>
      <c r="R13" s="2023" t="s">
        <v>119</v>
      </c>
      <c r="S13" s="2022" t="s">
        <v>119</v>
      </c>
    </row>
    <row r="14" ht="18.75" customHeight="1">
      <c r="A14" s="147"/>
      <c r="B14" s="1994" t="s">
        <v>449</v>
      </c>
      <c r="C14" s="1995" t="s">
        <v>610</v>
      </c>
      <c r="D14" s="141" t="s">
        <v>108</v>
      </c>
      <c r="E14" s="144" t="s">
        <v>108</v>
      </c>
      <c r="F14" s="141" t="s">
        <v>108</v>
      </c>
      <c r="G14" s="144" t="s">
        <v>108</v>
      </c>
      <c r="H14" s="255" t="s">
        <v>108</v>
      </c>
      <c r="I14" s="2013" t="s">
        <v>108</v>
      </c>
      <c r="J14" s="144" t="s">
        <v>108</v>
      </c>
      <c r="K14" s="141" t="s">
        <v>108</v>
      </c>
      <c r="L14" s="141" t="s">
        <v>108</v>
      </c>
      <c r="M14" s="144" t="s">
        <v>108</v>
      </c>
      <c r="N14" s="2013" t="s">
        <v>108</v>
      </c>
      <c r="O14" s="255" t="s">
        <v>108</v>
      </c>
      <c r="P14" s="255" t="s">
        <v>108</v>
      </c>
      <c r="Q14" s="2013" t="s">
        <v>108</v>
      </c>
      <c r="R14" s="255" t="s">
        <v>108</v>
      </c>
      <c r="S14" s="2013" t="s">
        <v>108</v>
      </c>
    </row>
    <row r="15" ht="18.75" customHeight="1">
      <c r="A15" s="159"/>
      <c r="B15" s="2025" t="s">
        <v>440</v>
      </c>
      <c r="C15" s="2002" t="s">
        <v>120</v>
      </c>
      <c r="D15" s="141" t="s">
        <v>110</v>
      </c>
      <c r="E15" s="144" t="s">
        <v>109</v>
      </c>
      <c r="F15" s="252" t="s">
        <v>110</v>
      </c>
      <c r="G15" s="144" t="s">
        <v>110</v>
      </c>
      <c r="H15" s="252" t="s">
        <v>110</v>
      </c>
      <c r="I15" s="144" t="s">
        <v>110</v>
      </c>
      <c r="J15" s="144" t="s">
        <v>109</v>
      </c>
      <c r="K15" s="252" t="s">
        <v>110</v>
      </c>
      <c r="L15" s="252" t="s">
        <v>110</v>
      </c>
      <c r="M15" s="144" t="s">
        <v>109</v>
      </c>
      <c r="N15" s="2012" t="s">
        <v>110</v>
      </c>
      <c r="O15" s="252" t="s">
        <v>110</v>
      </c>
      <c r="P15" s="252" t="s">
        <v>110</v>
      </c>
      <c r="Q15" s="2012" t="s">
        <v>110</v>
      </c>
      <c r="R15" s="276" t="s">
        <v>108</v>
      </c>
      <c r="S15" s="2026" t="s">
        <v>108</v>
      </c>
    </row>
    <row r="16" ht="11.25" customHeight="1">
      <c r="A16" s="191"/>
      <c r="B16" s="191"/>
      <c r="C16" s="191"/>
      <c r="D16" s="2006" t="str">
        <f t="shared" ref="D16:S16" si="2">CONCATENATE("{""status"": ", IF(GT(D17, D18), """aangenomen""", """verworpen"""), ", ""title"": """, D5, """, ""url"": """,D10  , """, ""voor"":", D17,", ""tegen"": ", D18, ", ""onthouden"":", D19, "}")</f>
        <v>{"status": "aangenomen", "title": "W0048", "url": "https://www.reddit.com/r/RMTK/comments/e0q3ef/w0048_sanctiewet_republiek_turkije_2019/", "voor":4, "tegen": 0, "onthouden":0}</v>
      </c>
      <c r="E16" s="2007" t="str">
        <f t="shared" si="2"/>
        <v>{"status": "aangenomen", "title": "W0052", "url": "https://www.reddit.com/r/RMTK/comments/dy8slq/w0052_wetswijziging_ter_afschaffing_van_de/", "voor":2, "tegen": 1, "onthouden":1}</v>
      </c>
      <c r="F16" s="2007" t="str">
        <f t="shared" si="2"/>
        <v>{"status": "aangenomen", "title": "W0054", "url": "https://www.reddit.com/r/RMTK/comments/e5znmk/w0054_grondwetswijziging_ter/", "voor":4, "tegen": 0, "onthouden":0}</v>
      </c>
      <c r="G16" s="2007" t="str">
        <f t="shared" si="2"/>
        <v>{"status": "aangenomen", "title": "W0055", "url": "https://www.reddit.com/r/RMTK/comments/e6gw21/w0055_wetswijziging_tot_het_uitbreiden_van_de/", "voor":4, "tegen": 0, "onthouden":0}</v>
      </c>
      <c r="H16" s="2007" t="str">
        <f t="shared" si="2"/>
        <v>{"status": "aangenomen", "title": "W0058", "url": "https://www.reddit.com/r/RMTK/comments/ecbver/w0058_wet_verkorting_uitkeringsduur_appa_2020/", "voor":5, "tegen": 0, "onthouden":0}</v>
      </c>
      <c r="I16" s="2007" t="str">
        <f t="shared" si="2"/>
        <v>{"status": "aangenomen", "title": "W0059", "url": "https://www.reddit.com/r/RMTK/comments/efm3vz/w0059_wetsvoorstel_tot_budgettaire_begroting/", "voor":4, "tegen": 0, "onthouden":1}</v>
      </c>
      <c r="J16" s="2007" t="str">
        <f t="shared" si="2"/>
        <v>{"status": "aangenomen", "title": "W0060", "url": "https://www.reddit.com/r/RMTK/comments/eixzg8/w0060_wetswijziging_tot_verhoging_algemene/", "voor":4, "tegen": 1, "onthouden":0}</v>
      </c>
      <c r="K16" s="2007" t="str">
        <f t="shared" si="2"/>
        <v>{"status": "aangenomen", "title": "W0061", "url": "https://www.reddit.com/r/RMTK/comments/em9c3k/w0061_rijkswet_afkondigings_en/", "voor":3, "tegen": 2, "onthouden":0}</v>
      </c>
      <c r="L16" s="2007" t="str">
        <f t="shared" si="2"/>
        <v>{"status": "aangenomen", "title": "W0062", "url": "https://www.reddit.com/r/RMTK/comments/eo3tv9/w0062_wet_tot_het_samenvoegen_van_de_rustwetten/", "voor":5, "tegen": 0, "onthouden":0}</v>
      </c>
      <c r="M16" s="2007" t="str">
        <f t="shared" si="2"/>
        <v>{"status": "aangenomen", "title": "W0063", "url": "https://www.reddit.com/r/RMTK/comments/eokzf9/w0063_wet_tot_oprichting_van_het/", "voor":4, "tegen": 1, "onthouden":0}</v>
      </c>
      <c r="N16" s="2007" t="str">
        <f t="shared" si="2"/>
        <v>{"status": "aangenomen", "title": "W0064", "url": "https://www.reddit.com/r/RMTK/comments/esssij/w0064_wet_gelijke_behandeling_op_grond_van/", "voor":4, "tegen": 0, "onthouden":0}</v>
      </c>
      <c r="O16" s="2007" t="str">
        <f t="shared" si="2"/>
        <v>{"status": "aangenomen", "title": "W0066", "url": "https://www.reddit.com/r/RMTK/comments/ev5bje/w0066_wijziging_van_de_kernenergiewet_ter/", "voor":5, "tegen": 0, "onthouden":0}</v>
      </c>
      <c r="P16" s="2007" t="str">
        <f t="shared" si="2"/>
        <v>{"status": "aangenomen", "title": "W0067", "url": "https://www.reddit.com/r/RMTK/comments/ewnh2a/w0067_wetswijziging_afschaffing_verzwaarde/", "voor":3, "tegen": 2, "onthouden":0}</v>
      </c>
      <c r="Q16" s="2007" t="str">
        <f t="shared" si="2"/>
        <v>{"status": "aangenomen", "title": "W0068", "url": "https://www.reddit.com/r/RMTK/comments/ey660k/w0068_wijziging_van_de_algemene_rustwet_voor_de/", "voor":5, "tegen": 0, "onthouden":0}</v>
      </c>
      <c r="R16" s="2008" t="str">
        <f t="shared" si="2"/>
        <v>{"status": "aangenomen", "title": "W0069", "url": "https://www.reddit.com/r/RMTK/comments/ewsp33/w0069_wetsvoorstel_tot_oprichting_alan/", "voor":3, "tegen": 0, "onthouden":0}</v>
      </c>
      <c r="S16" s="2027" t="str">
        <f t="shared" si="2"/>
        <v>{"status": "aangenomen", "title": "W0070", "url": "https://www.reddit.com/r/RMTK/comments/f58gig/w0070_voorstel_wet_derde_geslacht/", "voor":2, "tegen": 0, "onthouden":1}</v>
      </c>
    </row>
    <row r="17" ht="18.0" customHeight="1">
      <c r="A17" s="199" t="s">
        <v>158</v>
      </c>
      <c r="B17" s="200" t="s">
        <v>110</v>
      </c>
      <c r="C17" s="44"/>
      <c r="D17" s="201">
        <f t="shared" ref="D17:S17" si="3">COUNTIF(D5:D15,"Voor")</f>
        <v>4</v>
      </c>
      <c r="E17" s="201">
        <f t="shared" si="3"/>
        <v>2</v>
      </c>
      <c r="F17" s="201">
        <f t="shared" si="3"/>
        <v>4</v>
      </c>
      <c r="G17" s="201">
        <f t="shared" si="3"/>
        <v>4</v>
      </c>
      <c r="H17" s="201">
        <f t="shared" si="3"/>
        <v>5</v>
      </c>
      <c r="I17" s="201">
        <f t="shared" si="3"/>
        <v>4</v>
      </c>
      <c r="J17" s="201">
        <f t="shared" si="3"/>
        <v>4</v>
      </c>
      <c r="K17" s="201">
        <f t="shared" si="3"/>
        <v>3</v>
      </c>
      <c r="L17" s="201">
        <f t="shared" si="3"/>
        <v>5</v>
      </c>
      <c r="M17" s="201">
        <f t="shared" si="3"/>
        <v>4</v>
      </c>
      <c r="N17" s="203">
        <f t="shared" si="3"/>
        <v>4</v>
      </c>
      <c r="O17" s="201">
        <f t="shared" si="3"/>
        <v>5</v>
      </c>
      <c r="P17" s="201">
        <f t="shared" si="3"/>
        <v>3</v>
      </c>
      <c r="Q17" s="203">
        <f t="shared" si="3"/>
        <v>5</v>
      </c>
      <c r="R17" s="201">
        <f t="shared" si="3"/>
        <v>3</v>
      </c>
      <c r="S17" s="201">
        <f t="shared" si="3"/>
        <v>2</v>
      </c>
    </row>
    <row r="18" ht="18.75" customHeight="1">
      <c r="A18" s="44"/>
      <c r="B18" s="205" t="s">
        <v>109</v>
      </c>
      <c r="C18" s="44"/>
      <c r="D18" s="206">
        <f t="shared" ref="D18:S18" si="4">COUNTIF(D5:D15,"Tegen")</f>
        <v>0</v>
      </c>
      <c r="E18" s="206">
        <f t="shared" si="4"/>
        <v>1</v>
      </c>
      <c r="F18" s="206">
        <f t="shared" si="4"/>
        <v>0</v>
      </c>
      <c r="G18" s="206">
        <f t="shared" si="4"/>
        <v>0</v>
      </c>
      <c r="H18" s="206">
        <f t="shared" si="4"/>
        <v>0</v>
      </c>
      <c r="I18" s="206">
        <f t="shared" si="4"/>
        <v>0</v>
      </c>
      <c r="J18" s="206">
        <f t="shared" si="4"/>
        <v>1</v>
      </c>
      <c r="K18" s="206">
        <f t="shared" si="4"/>
        <v>2</v>
      </c>
      <c r="L18" s="206">
        <f t="shared" si="4"/>
        <v>0</v>
      </c>
      <c r="M18" s="206">
        <f t="shared" si="4"/>
        <v>1</v>
      </c>
      <c r="N18" s="208">
        <f t="shared" si="4"/>
        <v>0</v>
      </c>
      <c r="O18" s="206">
        <f t="shared" si="4"/>
        <v>0</v>
      </c>
      <c r="P18" s="206">
        <f t="shared" si="4"/>
        <v>2</v>
      </c>
      <c r="Q18" s="208">
        <f t="shared" si="4"/>
        <v>0</v>
      </c>
      <c r="R18" s="206">
        <f t="shared" si="4"/>
        <v>0</v>
      </c>
      <c r="S18" s="206">
        <f t="shared" si="4"/>
        <v>0</v>
      </c>
    </row>
    <row r="19" ht="18.75" customHeight="1">
      <c r="A19" s="44"/>
      <c r="B19" s="210" t="s">
        <v>159</v>
      </c>
      <c r="C19" s="44"/>
      <c r="D19" s="211">
        <f t="shared" ref="D19:S19" si="5">COUNTIF(D5:D15,"SO")</f>
        <v>0</v>
      </c>
      <c r="E19" s="211">
        <f t="shared" si="5"/>
        <v>1</v>
      </c>
      <c r="F19" s="211">
        <f t="shared" si="5"/>
        <v>0</v>
      </c>
      <c r="G19" s="211">
        <f t="shared" si="5"/>
        <v>0</v>
      </c>
      <c r="H19" s="211">
        <f t="shared" si="5"/>
        <v>0</v>
      </c>
      <c r="I19" s="211">
        <f t="shared" si="5"/>
        <v>1</v>
      </c>
      <c r="J19" s="211">
        <f t="shared" si="5"/>
        <v>0</v>
      </c>
      <c r="K19" s="211">
        <f t="shared" si="5"/>
        <v>0</v>
      </c>
      <c r="L19" s="211">
        <f t="shared" si="5"/>
        <v>0</v>
      </c>
      <c r="M19" s="211">
        <f t="shared" si="5"/>
        <v>0</v>
      </c>
      <c r="N19" s="213">
        <f t="shared" si="5"/>
        <v>0</v>
      </c>
      <c r="O19" s="211">
        <f t="shared" si="5"/>
        <v>0</v>
      </c>
      <c r="P19" s="211">
        <f t="shared" si="5"/>
        <v>0</v>
      </c>
      <c r="Q19" s="213">
        <f t="shared" si="5"/>
        <v>0</v>
      </c>
      <c r="R19" s="211">
        <f t="shared" si="5"/>
        <v>0</v>
      </c>
      <c r="S19" s="211">
        <f t="shared" si="5"/>
        <v>1</v>
      </c>
    </row>
    <row r="20" ht="18.75" customHeight="1">
      <c r="A20" s="44"/>
      <c r="B20" s="215" t="s">
        <v>160</v>
      </c>
      <c r="C20" s="44"/>
      <c r="D20" s="216">
        <f t="shared" ref="D20:S20" si="6">COUNTIF(D5:D15,"NG")</f>
        <v>2</v>
      </c>
      <c r="E20" s="216">
        <f t="shared" si="6"/>
        <v>2</v>
      </c>
      <c r="F20" s="216">
        <f t="shared" si="6"/>
        <v>2</v>
      </c>
      <c r="G20" s="216">
        <f t="shared" si="6"/>
        <v>2</v>
      </c>
      <c r="H20" s="216">
        <f t="shared" si="6"/>
        <v>1</v>
      </c>
      <c r="I20" s="216">
        <f t="shared" si="6"/>
        <v>1</v>
      </c>
      <c r="J20" s="216">
        <f t="shared" si="6"/>
        <v>1</v>
      </c>
      <c r="K20" s="216">
        <f t="shared" si="6"/>
        <v>1</v>
      </c>
      <c r="L20" s="216">
        <f t="shared" si="6"/>
        <v>1</v>
      </c>
      <c r="M20" s="216">
        <f t="shared" si="6"/>
        <v>1</v>
      </c>
      <c r="N20" s="218">
        <f t="shared" si="6"/>
        <v>2</v>
      </c>
      <c r="O20" s="216">
        <f t="shared" si="6"/>
        <v>1</v>
      </c>
      <c r="P20" s="216">
        <f t="shared" si="6"/>
        <v>1</v>
      </c>
      <c r="Q20" s="218">
        <f t="shared" si="6"/>
        <v>1</v>
      </c>
      <c r="R20" s="216">
        <f t="shared" si="6"/>
        <v>3</v>
      </c>
      <c r="S20" s="216">
        <f t="shared" si="6"/>
        <v>3</v>
      </c>
    </row>
    <row r="21" ht="18.75" customHeight="1">
      <c r="A21" s="44"/>
      <c r="B21" s="220" t="s">
        <v>161</v>
      </c>
      <c r="C21" s="44"/>
      <c r="D21" s="221">
        <f t="shared" ref="D21:S21" si="7">SUM(D17:D20)</f>
        <v>6</v>
      </c>
      <c r="E21" s="221">
        <f t="shared" si="7"/>
        <v>6</v>
      </c>
      <c r="F21" s="221">
        <f t="shared" si="7"/>
        <v>6</v>
      </c>
      <c r="G21" s="221">
        <f t="shared" si="7"/>
        <v>6</v>
      </c>
      <c r="H21" s="221">
        <f t="shared" si="7"/>
        <v>6</v>
      </c>
      <c r="I21" s="221">
        <f t="shared" si="7"/>
        <v>6</v>
      </c>
      <c r="J21" s="221">
        <f t="shared" si="7"/>
        <v>6</v>
      </c>
      <c r="K21" s="221">
        <f t="shared" si="7"/>
        <v>6</v>
      </c>
      <c r="L21" s="221">
        <f t="shared" si="7"/>
        <v>6</v>
      </c>
      <c r="M21" s="221">
        <f t="shared" si="7"/>
        <v>6</v>
      </c>
      <c r="N21" s="223">
        <f t="shared" si="7"/>
        <v>6</v>
      </c>
      <c r="O21" s="221">
        <f t="shared" si="7"/>
        <v>6</v>
      </c>
      <c r="P21" s="221">
        <f t="shared" si="7"/>
        <v>6</v>
      </c>
      <c r="Q21" s="223">
        <f t="shared" si="7"/>
        <v>6</v>
      </c>
      <c r="R21" s="221">
        <f t="shared" si="7"/>
        <v>6</v>
      </c>
      <c r="S21" s="221">
        <f t="shared" si="7"/>
        <v>6</v>
      </c>
    </row>
    <row r="22" ht="18.75" customHeight="1">
      <c r="A22" s="44"/>
      <c r="B22" s="225" t="s">
        <v>162</v>
      </c>
      <c r="C22" s="44"/>
      <c r="D22" s="226">
        <f t="shared" ref="D22:S22" si="8">D17+D18+D19</f>
        <v>4</v>
      </c>
      <c r="E22" s="226">
        <f t="shared" si="8"/>
        <v>4</v>
      </c>
      <c r="F22" s="226">
        <f t="shared" si="8"/>
        <v>4</v>
      </c>
      <c r="G22" s="226">
        <f t="shared" si="8"/>
        <v>4</v>
      </c>
      <c r="H22" s="226">
        <f t="shared" si="8"/>
        <v>5</v>
      </c>
      <c r="I22" s="226">
        <f t="shared" si="8"/>
        <v>5</v>
      </c>
      <c r="J22" s="226">
        <f t="shared" si="8"/>
        <v>5</v>
      </c>
      <c r="K22" s="226">
        <f t="shared" si="8"/>
        <v>5</v>
      </c>
      <c r="L22" s="226">
        <f t="shared" si="8"/>
        <v>5</v>
      </c>
      <c r="M22" s="226">
        <f t="shared" si="8"/>
        <v>5</v>
      </c>
      <c r="N22" s="228">
        <f t="shared" si="8"/>
        <v>4</v>
      </c>
      <c r="O22" s="226">
        <f t="shared" si="8"/>
        <v>5</v>
      </c>
      <c r="P22" s="226">
        <f t="shared" si="8"/>
        <v>5</v>
      </c>
      <c r="Q22" s="228">
        <f t="shared" si="8"/>
        <v>5</v>
      </c>
      <c r="R22" s="226">
        <f t="shared" si="8"/>
        <v>3</v>
      </c>
      <c r="S22" s="226">
        <f t="shared" si="8"/>
        <v>3</v>
      </c>
    </row>
    <row r="23" ht="18.75" customHeight="1">
      <c r="A23" s="230"/>
      <c r="B23" s="231" t="s">
        <v>163</v>
      </c>
      <c r="C23" s="230"/>
      <c r="D23" s="232">
        <f t="shared" ref="D23:S23" si="9">IFERROR(D22/D21,"")</f>
        <v>0.6666666667</v>
      </c>
      <c r="E23" s="232">
        <f t="shared" si="9"/>
        <v>0.6666666667</v>
      </c>
      <c r="F23" s="232">
        <f t="shared" si="9"/>
        <v>0.6666666667</v>
      </c>
      <c r="G23" s="232">
        <f t="shared" si="9"/>
        <v>0.6666666667</v>
      </c>
      <c r="H23" s="232">
        <f t="shared" si="9"/>
        <v>0.8333333333</v>
      </c>
      <c r="I23" s="232">
        <f t="shared" si="9"/>
        <v>0.8333333333</v>
      </c>
      <c r="J23" s="232">
        <f t="shared" si="9"/>
        <v>0.8333333333</v>
      </c>
      <c r="K23" s="232">
        <f t="shared" si="9"/>
        <v>0.8333333333</v>
      </c>
      <c r="L23" s="232">
        <f t="shared" si="9"/>
        <v>0.8333333333</v>
      </c>
      <c r="M23" s="232">
        <f t="shared" si="9"/>
        <v>0.8333333333</v>
      </c>
      <c r="N23" s="234">
        <f t="shared" si="9"/>
        <v>0.6666666667</v>
      </c>
      <c r="O23" s="232">
        <f t="shared" si="9"/>
        <v>0.8333333333</v>
      </c>
      <c r="P23" s="232">
        <f t="shared" si="9"/>
        <v>0.8333333333</v>
      </c>
      <c r="Q23" s="234">
        <f t="shared" si="9"/>
        <v>0.8333333333</v>
      </c>
      <c r="R23" s="232">
        <f t="shared" si="9"/>
        <v>0.5</v>
      </c>
      <c r="S23" s="232">
        <f t="shared" si="9"/>
        <v>0.5</v>
      </c>
    </row>
  </sheetData>
  <mergeCells count="14">
    <mergeCell ref="B17:C17"/>
    <mergeCell ref="B18:C18"/>
    <mergeCell ref="B19:C19"/>
    <mergeCell ref="B20:C20"/>
    <mergeCell ref="B21:C21"/>
    <mergeCell ref="B22:C22"/>
    <mergeCell ref="A2:C2"/>
    <mergeCell ref="D2:S4"/>
    <mergeCell ref="A3:C4"/>
    <mergeCell ref="A7:A9"/>
    <mergeCell ref="A11:A15"/>
    <mergeCell ref="B11:B13"/>
    <mergeCell ref="A17:A23"/>
    <mergeCell ref="B23:C23"/>
  </mergeCells>
  <conditionalFormatting sqref="A3 B11:C13">
    <cfRule type="containsText" dxfId="0" priority="1" operator="containsText" text="voor">
      <formula>NOT(ISERROR(SEARCH(("voor"),(A3))))</formula>
    </cfRule>
  </conditionalFormatting>
  <conditionalFormatting sqref="A3 B11:C13">
    <cfRule type="containsText" dxfId="1" priority="2" operator="containsText" text="tegen">
      <formula>NOT(ISERROR(SEARCH(("tegen"),(A3))))</formula>
    </cfRule>
  </conditionalFormatting>
  <conditionalFormatting sqref="D7:K15 L7:L9 M7:S15 C8 B11:B13 C11:C14 L11:L15">
    <cfRule type="containsText" dxfId="2" priority="3" operator="containsText" text="SO">
      <formula>NOT(ISERROR(SEARCH(("SO"),(D7))))</formula>
    </cfRule>
  </conditionalFormatting>
  <conditionalFormatting sqref="A3 D7:K15 L7:L9 M7:S15 C8 B11:B13 C11:C14 L11:L15">
    <cfRule type="containsText" dxfId="3" priority="4" operator="containsText" text="tegen">
      <formula>NOT(ISERROR(SEARCH(("tegen"),(A3))))</formula>
    </cfRule>
  </conditionalFormatting>
  <conditionalFormatting sqref="D7:K15 L7:L9 M7:S15 C8 B11:B13 C11:C14 L11:L15">
    <cfRule type="containsText" dxfId="4" priority="5" operator="containsText" text="voor">
      <formula>NOT(ISERROR(SEARCH(("voor"),(D7))))</formula>
    </cfRule>
  </conditionalFormatting>
  <conditionalFormatting sqref="D7:K15 L7:L9 M7:S15 C8 B11:B13 C11:C14 L11:L15">
    <cfRule type="cellIs" dxfId="5" priority="6" operator="equal">
      <formula>"NG"</formula>
    </cfRule>
  </conditionalFormatting>
  <conditionalFormatting sqref="D7:K15 L7:L9 M7:S15 C8 B11:B13 C11:C14 L11:L15">
    <cfRule type="containsText" dxfId="6" priority="7" operator="containsText" text="NVT">
      <formula>NOT(ISERROR(SEARCH(("NVT"),(D7))))</formula>
    </cfRule>
  </conditionalFormatting>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74EA7"/>
    <outlinePr summaryBelow="0" summaryRight="0"/>
  </sheetPr>
  <sheetViews>
    <sheetView workbookViewId="0">
      <pane ySplit="4.0" topLeftCell="A5" activePane="bottomLeft" state="frozen"/>
      <selection activeCell="B6" sqref="B6" pane="bottomLeft"/>
    </sheetView>
  </sheetViews>
  <sheetFormatPr customHeight="1" defaultColWidth="14.43" defaultRowHeight="15.75"/>
  <cols>
    <col customWidth="1" min="1" max="1" width="2.86"/>
    <col customWidth="1" min="2" max="2" width="11.0"/>
    <col customWidth="1" min="3" max="3" width="5.86"/>
    <col customWidth="1" min="4" max="4" width="14.14"/>
    <col customWidth="1" min="5" max="5" width="5.86"/>
    <col customWidth="1" min="6" max="6" width="16.43"/>
    <col customWidth="1" min="7" max="7" width="74.14"/>
    <col customWidth="1" min="8" max="8" width="20.0"/>
    <col customWidth="1" min="9" max="9" width="5.86"/>
    <col customWidth="1" min="10" max="10" width="13.14"/>
    <col customWidth="1" min="11" max="11" width="11.71"/>
    <col customWidth="1" min="12" max="12" width="5.86"/>
    <col customWidth="1" min="13" max="13" width="14.71"/>
    <col customWidth="1" min="14" max="14" width="5.86"/>
  </cols>
  <sheetData>
    <row r="1">
      <c r="A1" s="2028" t="s">
        <v>1580</v>
      </c>
      <c r="E1" s="2029"/>
      <c r="F1" s="2030" t="s">
        <v>1581</v>
      </c>
      <c r="I1" s="1760"/>
      <c r="J1" s="2030" t="s">
        <v>1582</v>
      </c>
      <c r="L1" s="2031"/>
      <c r="M1" s="2032" t="s">
        <v>1583</v>
      </c>
      <c r="N1" s="1760"/>
    </row>
    <row r="2">
      <c r="A2" s="2033"/>
      <c r="B2" s="2034"/>
      <c r="C2" s="2034"/>
      <c r="D2" s="2034"/>
      <c r="E2" s="2035"/>
      <c r="F2" s="2034"/>
      <c r="G2" s="2034"/>
      <c r="H2" s="2034"/>
      <c r="I2" s="1760"/>
      <c r="J2" s="2034"/>
      <c r="K2" s="2034"/>
      <c r="L2" s="2031"/>
      <c r="M2" s="373"/>
      <c r="N2" s="1760"/>
    </row>
    <row r="3">
      <c r="A3" s="2030"/>
      <c r="C3" s="2036"/>
      <c r="D3" s="2037" t="s">
        <v>1584</v>
      </c>
      <c r="E3" s="2038"/>
      <c r="F3" s="2039" t="s">
        <v>1585</v>
      </c>
      <c r="G3" s="2040" t="s">
        <v>546</v>
      </c>
      <c r="H3" s="2041" t="s">
        <v>1586</v>
      </c>
      <c r="I3" s="1760"/>
      <c r="J3" s="2042" t="s">
        <v>1587</v>
      </c>
      <c r="K3" s="2043" t="s">
        <v>1588</v>
      </c>
      <c r="L3" s="2031"/>
      <c r="M3" s="373"/>
      <c r="N3" s="1760"/>
    </row>
    <row r="4">
      <c r="A4" s="2044"/>
      <c r="B4" s="2044"/>
      <c r="C4" s="2045"/>
      <c r="D4" s="2045"/>
      <c r="E4" s="2045"/>
      <c r="F4" s="2045"/>
      <c r="G4" s="2046"/>
      <c r="H4" s="2047"/>
      <c r="I4" s="2045"/>
      <c r="J4" s="2045"/>
      <c r="K4" s="2045"/>
      <c r="L4" s="2045"/>
      <c r="M4" s="2048"/>
      <c r="N4" s="2045"/>
    </row>
    <row r="5">
      <c r="A5" s="2049" t="s">
        <v>1589</v>
      </c>
      <c r="B5" s="2050">
        <v>43752.0</v>
      </c>
      <c r="C5" s="2051"/>
      <c r="D5" s="2052" t="s">
        <v>1590</v>
      </c>
      <c r="E5" s="2053"/>
      <c r="F5" s="2054" t="s">
        <v>56</v>
      </c>
      <c r="G5" s="2055" t="s">
        <v>56</v>
      </c>
      <c r="H5" s="2056"/>
      <c r="I5" s="1760"/>
      <c r="J5" s="2057">
        <f t="shared" ref="J5:J7" si="1">B5</f>
        <v>43752</v>
      </c>
      <c r="K5" s="2058">
        <f t="shared" ref="K5:K8" si="2">J5+3</f>
        <v>43755</v>
      </c>
      <c r="L5" s="1760"/>
      <c r="M5" s="2059"/>
      <c r="N5" s="1760"/>
    </row>
    <row r="6">
      <c r="A6" s="2049" t="s">
        <v>1591</v>
      </c>
      <c r="B6" s="2060">
        <f t="shared" ref="B6:B7" si="3">B5+1</f>
        <v>43753</v>
      </c>
      <c r="C6" s="2051"/>
      <c r="D6" s="2052" t="s">
        <v>1590</v>
      </c>
      <c r="E6" s="2053"/>
      <c r="F6" s="2054" t="s">
        <v>56</v>
      </c>
      <c r="G6" s="2061" t="s">
        <v>1592</v>
      </c>
      <c r="H6" s="2062" t="s">
        <v>56</v>
      </c>
      <c r="I6" s="1760"/>
      <c r="J6" s="2057">
        <f t="shared" si="1"/>
        <v>43753</v>
      </c>
      <c r="K6" s="2058">
        <f t="shared" si="2"/>
        <v>43756</v>
      </c>
      <c r="L6" s="1760"/>
      <c r="M6" s="2059"/>
      <c r="N6" s="1760"/>
    </row>
    <row r="7">
      <c r="A7" s="2063" t="s">
        <v>1593</v>
      </c>
      <c r="B7" s="2060">
        <f t="shared" si="3"/>
        <v>43754</v>
      </c>
      <c r="C7" s="2051"/>
      <c r="D7" s="2052" t="s">
        <v>1590</v>
      </c>
      <c r="E7" s="2053"/>
      <c r="F7" s="2054" t="s">
        <v>1594</v>
      </c>
      <c r="G7" s="2055" t="s">
        <v>1595</v>
      </c>
      <c r="H7" s="899" t="s">
        <v>617</v>
      </c>
      <c r="I7" s="1760"/>
      <c r="J7" s="2057">
        <f t="shared" si="1"/>
        <v>43754</v>
      </c>
      <c r="K7" s="2058">
        <f t="shared" si="2"/>
        <v>43757</v>
      </c>
      <c r="L7" s="1760"/>
      <c r="M7" s="2059"/>
      <c r="N7" s="1760"/>
    </row>
    <row r="8">
      <c r="C8" s="2051"/>
      <c r="D8" s="2064" t="s">
        <v>1590</v>
      </c>
      <c r="E8" s="2053"/>
      <c r="F8" s="2054" t="s">
        <v>964</v>
      </c>
      <c r="G8" s="2055" t="s">
        <v>1596</v>
      </c>
      <c r="H8" s="2065" t="s">
        <v>148</v>
      </c>
      <c r="I8" s="1760"/>
      <c r="J8" s="2057">
        <f>B7</f>
        <v>43754</v>
      </c>
      <c r="K8" s="2058">
        <f t="shared" si="2"/>
        <v>43757</v>
      </c>
      <c r="L8" s="1760"/>
      <c r="M8" s="2059"/>
      <c r="N8" s="1760"/>
    </row>
    <row r="9">
      <c r="A9" s="2049" t="s">
        <v>1591</v>
      </c>
      <c r="B9" s="2060">
        <f>B7+1</f>
        <v>43755</v>
      </c>
      <c r="C9" s="2051"/>
      <c r="D9" s="2052" t="s">
        <v>1597</v>
      </c>
      <c r="E9" s="2051"/>
      <c r="F9" s="2066" t="s">
        <v>56</v>
      </c>
      <c r="G9" s="2067" t="s">
        <v>56</v>
      </c>
      <c r="H9" s="2056" t="s">
        <v>56</v>
      </c>
      <c r="I9" s="1760"/>
      <c r="J9" s="2057">
        <f>B9</f>
        <v>43755</v>
      </c>
      <c r="K9" s="2058">
        <f>J9+7</f>
        <v>43762</v>
      </c>
      <c r="L9" s="1760"/>
      <c r="M9" s="2059"/>
      <c r="N9" s="1760"/>
    </row>
    <row r="10">
      <c r="C10" s="2051"/>
      <c r="D10" s="2064" t="s">
        <v>1590</v>
      </c>
      <c r="E10" s="2051"/>
      <c r="F10" s="2054" t="s">
        <v>1598</v>
      </c>
      <c r="G10" s="2055" t="s">
        <v>1599</v>
      </c>
      <c r="H10" s="900" t="s">
        <v>155</v>
      </c>
      <c r="I10" s="1760"/>
      <c r="J10" s="2057">
        <f>B9</f>
        <v>43755</v>
      </c>
      <c r="K10" s="2058">
        <f t="shared" ref="K10:K11" si="4">J10+3</f>
        <v>43758</v>
      </c>
      <c r="L10" s="1760"/>
      <c r="M10" s="2059"/>
      <c r="N10" s="1760"/>
    </row>
    <row r="11">
      <c r="A11" s="2049" t="s">
        <v>1600</v>
      </c>
      <c r="B11" s="2060">
        <f>B9+1</f>
        <v>43756</v>
      </c>
      <c r="C11" s="2051"/>
      <c r="D11" s="2052" t="s">
        <v>1601</v>
      </c>
      <c r="E11" s="2051"/>
      <c r="F11" s="2054" t="s">
        <v>966</v>
      </c>
      <c r="G11" s="2055" t="s">
        <v>1602</v>
      </c>
      <c r="H11" s="899" t="s">
        <v>617</v>
      </c>
      <c r="I11" s="1760"/>
      <c r="J11" s="2057">
        <f>B11</f>
        <v>43756</v>
      </c>
      <c r="K11" s="2058">
        <f t="shared" si="4"/>
        <v>43759</v>
      </c>
      <c r="L11" s="1760"/>
      <c r="M11" s="2059"/>
      <c r="N11" s="1760"/>
    </row>
    <row r="12">
      <c r="A12" s="2049" t="s">
        <v>1603</v>
      </c>
      <c r="B12" s="2060">
        <f t="shared" ref="B12:B14" si="5">B11+1</f>
        <v>43757</v>
      </c>
      <c r="C12" s="2051"/>
      <c r="D12" s="2052" t="s">
        <v>1415</v>
      </c>
      <c r="E12" s="2051"/>
      <c r="F12" s="2068" t="s">
        <v>56</v>
      </c>
      <c r="G12" s="2069" t="s">
        <v>56</v>
      </c>
      <c r="H12" s="1595" t="s">
        <v>56</v>
      </c>
      <c r="I12" s="1760"/>
      <c r="J12" s="2070"/>
      <c r="K12" s="407"/>
      <c r="L12" s="1760"/>
      <c r="M12" s="2059"/>
      <c r="N12" s="1760"/>
    </row>
    <row r="13">
      <c r="A13" s="2071" t="s">
        <v>1603</v>
      </c>
      <c r="B13" s="2072">
        <f t="shared" si="5"/>
        <v>43758</v>
      </c>
      <c r="C13" s="2073"/>
      <c r="D13" s="2074" t="s">
        <v>1604</v>
      </c>
      <c r="E13" s="2073"/>
      <c r="F13" s="2075" t="s">
        <v>56</v>
      </c>
      <c r="G13" s="2076" t="s">
        <v>56</v>
      </c>
      <c r="H13" s="2077" t="s">
        <v>56</v>
      </c>
      <c r="I13" s="2045"/>
      <c r="J13" s="2078"/>
      <c r="K13" s="464"/>
      <c r="L13" s="2045"/>
      <c r="M13" s="2079"/>
      <c r="N13" s="2045"/>
    </row>
    <row r="14">
      <c r="A14" s="2049" t="s">
        <v>1589</v>
      </c>
      <c r="B14" s="2050">
        <f t="shared" si="5"/>
        <v>43759</v>
      </c>
      <c r="C14" s="2051"/>
      <c r="D14" s="2052" t="s">
        <v>1590</v>
      </c>
      <c r="E14" s="2051"/>
      <c r="F14" s="2054" t="s">
        <v>839</v>
      </c>
      <c r="G14" s="2055" t="s">
        <v>1605</v>
      </c>
      <c r="H14" s="2080" t="s">
        <v>25</v>
      </c>
      <c r="I14" s="1760"/>
      <c r="J14" s="2057">
        <f>B14</f>
        <v>43759</v>
      </c>
      <c r="K14" s="2058">
        <f t="shared" ref="K14:K18" si="6">J14+3</f>
        <v>43762</v>
      </c>
      <c r="L14" s="1760"/>
      <c r="M14" s="2059"/>
      <c r="N14" s="1760"/>
    </row>
    <row r="15">
      <c r="C15" s="2051"/>
      <c r="D15" s="2064" t="s">
        <v>1590</v>
      </c>
      <c r="E15" s="2051"/>
      <c r="F15" s="2054" t="s">
        <v>968</v>
      </c>
      <c r="G15" s="2055" t="s">
        <v>1606</v>
      </c>
      <c r="H15" s="2065" t="s">
        <v>662</v>
      </c>
      <c r="I15" s="1760"/>
      <c r="J15" s="2057">
        <f>B14</f>
        <v>43759</v>
      </c>
      <c r="K15" s="2058">
        <f t="shared" si="6"/>
        <v>43762</v>
      </c>
      <c r="L15" s="1760"/>
      <c r="M15" s="2059"/>
      <c r="N15" s="1760"/>
    </row>
    <row r="16">
      <c r="A16" s="2049" t="s">
        <v>1591</v>
      </c>
      <c r="B16" s="2060">
        <f>B14+1</f>
        <v>43760</v>
      </c>
      <c r="C16" s="2051"/>
      <c r="D16" s="2052" t="s">
        <v>1590</v>
      </c>
      <c r="E16" s="2051"/>
      <c r="F16" s="2054" t="s">
        <v>969</v>
      </c>
      <c r="G16" s="2055" t="s">
        <v>1607</v>
      </c>
      <c r="H16" s="2065" t="s">
        <v>148</v>
      </c>
      <c r="I16" s="1760"/>
      <c r="J16" s="2057">
        <f t="shared" ref="J16:J18" si="7">B16</f>
        <v>43760</v>
      </c>
      <c r="K16" s="2058">
        <f t="shared" si="6"/>
        <v>43763</v>
      </c>
      <c r="L16" s="1760"/>
      <c r="M16" s="2059"/>
      <c r="N16" s="1760"/>
    </row>
    <row r="17">
      <c r="A17" s="2063" t="s">
        <v>1593</v>
      </c>
      <c r="B17" s="2060">
        <f t="shared" ref="B17:B18" si="8">B16+1</f>
        <v>43761</v>
      </c>
      <c r="C17" s="2051"/>
      <c r="D17" s="2052" t="s">
        <v>1590</v>
      </c>
      <c r="E17" s="2051"/>
      <c r="F17" s="2054" t="s">
        <v>840</v>
      </c>
      <c r="G17" s="2055" t="s">
        <v>1608</v>
      </c>
      <c r="H17" s="2065" t="s">
        <v>834</v>
      </c>
      <c r="I17" s="1760"/>
      <c r="J17" s="2057">
        <f t="shared" si="7"/>
        <v>43761</v>
      </c>
      <c r="K17" s="2058">
        <f t="shared" si="6"/>
        <v>43764</v>
      </c>
      <c r="L17" s="1760"/>
      <c r="M17" s="2059"/>
      <c r="N17" s="1760"/>
    </row>
    <row r="18">
      <c r="A18" s="2049" t="s">
        <v>1591</v>
      </c>
      <c r="B18" s="2060">
        <f t="shared" si="8"/>
        <v>43762</v>
      </c>
      <c r="C18" s="2051"/>
      <c r="D18" s="2052" t="s">
        <v>1597</v>
      </c>
      <c r="E18" s="2051"/>
      <c r="F18" s="2066" t="s">
        <v>56</v>
      </c>
      <c r="G18" s="2067" t="s">
        <v>56</v>
      </c>
      <c r="H18" s="2056" t="s">
        <v>56</v>
      </c>
      <c r="I18" s="1760"/>
      <c r="J18" s="2057">
        <f t="shared" si="7"/>
        <v>43762</v>
      </c>
      <c r="K18" s="2058">
        <f t="shared" si="6"/>
        <v>43765</v>
      </c>
      <c r="L18" s="1760"/>
      <c r="M18" s="2059"/>
      <c r="N18" s="1760"/>
    </row>
    <row r="19">
      <c r="C19" s="2051"/>
      <c r="D19" s="2064" t="s">
        <v>1590</v>
      </c>
      <c r="E19" s="2051"/>
      <c r="F19" s="2054" t="s">
        <v>720</v>
      </c>
      <c r="G19" s="2055" t="s">
        <v>1609</v>
      </c>
      <c r="H19" s="2081" t="s">
        <v>148</v>
      </c>
      <c r="I19" s="1760"/>
      <c r="J19" s="2057">
        <f>B18</f>
        <v>43762</v>
      </c>
      <c r="K19" s="2058">
        <f>J19+7</f>
        <v>43769</v>
      </c>
      <c r="L19" s="1760"/>
      <c r="M19" s="2059"/>
      <c r="N19" s="1760"/>
    </row>
    <row r="20">
      <c r="A20" s="2049" t="s">
        <v>1600</v>
      </c>
      <c r="B20" s="2060">
        <f>B18+1</f>
        <v>43763</v>
      </c>
      <c r="C20" s="2051"/>
      <c r="D20" s="2052" t="s">
        <v>1601</v>
      </c>
      <c r="E20" s="2051"/>
      <c r="F20" s="2068"/>
      <c r="G20" s="2082"/>
      <c r="H20" s="2056"/>
      <c r="I20" s="1760"/>
      <c r="J20" s="2057">
        <f>B20</f>
        <v>43763</v>
      </c>
      <c r="K20" s="2058">
        <f>J20+3</f>
        <v>43766</v>
      </c>
      <c r="L20" s="1760"/>
      <c r="M20" s="2059"/>
      <c r="N20" s="1760"/>
    </row>
    <row r="21">
      <c r="A21" s="2049" t="s">
        <v>1603</v>
      </c>
      <c r="B21" s="2060">
        <f t="shared" ref="B21:B26" si="9">B20+1</f>
        <v>43764</v>
      </c>
      <c r="C21" s="2051"/>
      <c r="D21" s="2052" t="s">
        <v>1415</v>
      </c>
      <c r="E21" s="2051"/>
      <c r="F21" s="2068" t="s">
        <v>56</v>
      </c>
      <c r="G21" s="2069" t="s">
        <v>56</v>
      </c>
      <c r="H21" s="1595" t="s">
        <v>56</v>
      </c>
      <c r="I21" s="1760"/>
      <c r="J21" s="2070"/>
      <c r="K21" s="2058"/>
      <c r="L21" s="1760"/>
      <c r="M21" s="2059"/>
      <c r="N21" s="1760"/>
    </row>
    <row r="22">
      <c r="A22" s="2071" t="s">
        <v>1603</v>
      </c>
      <c r="B22" s="2072">
        <f t="shared" si="9"/>
        <v>43765</v>
      </c>
      <c r="C22" s="2073"/>
      <c r="D22" s="2074" t="s">
        <v>1604</v>
      </c>
      <c r="E22" s="2073"/>
      <c r="F22" s="2075" t="s">
        <v>56</v>
      </c>
      <c r="G22" s="2076" t="s">
        <v>56</v>
      </c>
      <c r="H22" s="2077" t="s">
        <v>56</v>
      </c>
      <c r="I22" s="2045"/>
      <c r="J22" s="2078"/>
      <c r="K22" s="464"/>
      <c r="L22" s="2045"/>
      <c r="M22" s="2079"/>
      <c r="N22" s="2045"/>
    </row>
    <row r="23">
      <c r="A23" s="2049" t="s">
        <v>1589</v>
      </c>
      <c r="B23" s="2050">
        <f t="shared" si="9"/>
        <v>43766</v>
      </c>
      <c r="C23" s="2051"/>
      <c r="D23" s="2052" t="s">
        <v>1590</v>
      </c>
      <c r="E23" s="2051"/>
      <c r="F23" s="2054" t="s">
        <v>971</v>
      </c>
      <c r="G23" s="2055" t="s">
        <v>1610</v>
      </c>
      <c r="H23" s="2065" t="s">
        <v>116</v>
      </c>
      <c r="I23" s="1760"/>
      <c r="J23" s="2057">
        <f t="shared" ref="J23:J26" si="10">B23</f>
        <v>43766</v>
      </c>
      <c r="K23" s="2058">
        <f t="shared" ref="K23:K26" si="11">J23+3</f>
        <v>43769</v>
      </c>
      <c r="L23" s="1760"/>
      <c r="M23" s="2059"/>
      <c r="N23" s="1760"/>
    </row>
    <row r="24">
      <c r="A24" s="2049" t="s">
        <v>1591</v>
      </c>
      <c r="B24" s="2060">
        <f t="shared" si="9"/>
        <v>43767</v>
      </c>
      <c r="C24" s="2051"/>
      <c r="D24" s="2052" t="s">
        <v>1590</v>
      </c>
      <c r="E24" s="2051"/>
      <c r="F24" s="2054" t="s">
        <v>722</v>
      </c>
      <c r="G24" s="2055" t="s">
        <v>1611</v>
      </c>
      <c r="H24" s="2081" t="s">
        <v>148</v>
      </c>
      <c r="I24" s="1760"/>
      <c r="J24" s="2057">
        <f t="shared" si="10"/>
        <v>43767</v>
      </c>
      <c r="K24" s="2058">
        <f t="shared" si="11"/>
        <v>43770</v>
      </c>
      <c r="L24" s="1760"/>
      <c r="M24" s="2059"/>
      <c r="N24" s="1760"/>
    </row>
    <row r="25">
      <c r="A25" s="2063" t="s">
        <v>1593</v>
      </c>
      <c r="B25" s="2060">
        <f t="shared" si="9"/>
        <v>43768</v>
      </c>
      <c r="C25" s="2051"/>
      <c r="D25" s="2052" t="s">
        <v>1590</v>
      </c>
      <c r="E25" s="2051"/>
      <c r="F25" s="2054" t="s">
        <v>724</v>
      </c>
      <c r="G25" s="2055" t="s">
        <v>1612</v>
      </c>
      <c r="H25" s="2083" t="s">
        <v>44</v>
      </c>
      <c r="I25" s="1760"/>
      <c r="J25" s="2057">
        <f t="shared" si="10"/>
        <v>43768</v>
      </c>
      <c r="K25" s="2058">
        <f t="shared" si="11"/>
        <v>43771</v>
      </c>
      <c r="L25" s="1760"/>
      <c r="M25" s="2059"/>
      <c r="N25" s="1760"/>
    </row>
    <row r="26">
      <c r="A26" s="2049" t="s">
        <v>1591</v>
      </c>
      <c r="B26" s="2060">
        <f t="shared" si="9"/>
        <v>43769</v>
      </c>
      <c r="C26" s="2051"/>
      <c r="D26" s="2052" t="s">
        <v>1597</v>
      </c>
      <c r="E26" s="2051"/>
      <c r="F26" s="2066" t="s">
        <v>56</v>
      </c>
      <c r="G26" s="2067" t="s">
        <v>56</v>
      </c>
      <c r="H26" s="2056" t="s">
        <v>56</v>
      </c>
      <c r="I26" s="1760"/>
      <c r="J26" s="2057">
        <f t="shared" si="10"/>
        <v>43769</v>
      </c>
      <c r="K26" s="2058">
        <f t="shared" si="11"/>
        <v>43772</v>
      </c>
      <c r="L26" s="1760"/>
      <c r="M26" s="2059"/>
      <c r="N26" s="1760"/>
    </row>
    <row r="27">
      <c r="C27" s="2051"/>
      <c r="D27" s="2064" t="s">
        <v>1590</v>
      </c>
      <c r="E27" s="2051"/>
      <c r="F27" s="2054" t="s">
        <v>725</v>
      </c>
      <c r="G27" s="2055" t="s">
        <v>1613</v>
      </c>
      <c r="H27" s="900" t="s">
        <v>118</v>
      </c>
      <c r="I27" s="1760"/>
      <c r="J27" s="2057">
        <f>B26</f>
        <v>43769</v>
      </c>
      <c r="K27" s="2058">
        <f>J27+7</f>
        <v>43776</v>
      </c>
      <c r="L27" s="1760"/>
      <c r="M27" s="2059"/>
      <c r="N27" s="1760"/>
    </row>
    <row r="28">
      <c r="A28" s="2049" t="s">
        <v>1600</v>
      </c>
      <c r="B28" s="2060">
        <f>B26+1</f>
        <v>43770</v>
      </c>
      <c r="C28" s="2051"/>
      <c r="D28" s="2052" t="s">
        <v>1601</v>
      </c>
      <c r="E28" s="2051"/>
      <c r="F28" s="2068"/>
      <c r="G28" s="2082"/>
      <c r="H28" s="2056"/>
      <c r="I28" s="1760"/>
      <c r="J28" s="2057">
        <f>B28</f>
        <v>43770</v>
      </c>
      <c r="K28" s="2058">
        <f>J28+3</f>
        <v>43773</v>
      </c>
      <c r="L28" s="1760"/>
      <c r="M28" s="2059"/>
      <c r="N28" s="1760"/>
    </row>
    <row r="29">
      <c r="A29" s="2049" t="s">
        <v>1603</v>
      </c>
      <c r="B29" s="2060">
        <f t="shared" ref="B29:B32" si="12">B28+1</f>
        <v>43771</v>
      </c>
      <c r="C29" s="2051"/>
      <c r="D29" s="2052" t="s">
        <v>1415</v>
      </c>
      <c r="E29" s="2051"/>
      <c r="F29" s="2068" t="s">
        <v>56</v>
      </c>
      <c r="G29" s="2069" t="s">
        <v>56</v>
      </c>
      <c r="H29" s="1595" t="s">
        <v>56</v>
      </c>
      <c r="I29" s="1760"/>
      <c r="J29" s="2070"/>
      <c r="K29" s="2058"/>
      <c r="L29" s="1760"/>
      <c r="M29" s="2059"/>
      <c r="N29" s="1760"/>
    </row>
    <row r="30">
      <c r="A30" s="2071" t="s">
        <v>1603</v>
      </c>
      <c r="B30" s="2072">
        <f t="shared" si="12"/>
        <v>43772</v>
      </c>
      <c r="C30" s="2073"/>
      <c r="D30" s="2074" t="s">
        <v>1604</v>
      </c>
      <c r="E30" s="2073"/>
      <c r="F30" s="2075" t="s">
        <v>56</v>
      </c>
      <c r="G30" s="2076" t="s">
        <v>56</v>
      </c>
      <c r="H30" s="2077" t="s">
        <v>56</v>
      </c>
      <c r="I30" s="2045"/>
      <c r="J30" s="2078"/>
      <c r="K30" s="464"/>
      <c r="L30" s="2045"/>
      <c r="M30" s="2079"/>
      <c r="N30" s="2045"/>
    </row>
    <row r="31">
      <c r="A31" s="2049" t="s">
        <v>1589</v>
      </c>
      <c r="B31" s="2050">
        <f t="shared" si="12"/>
        <v>43773</v>
      </c>
      <c r="C31" s="2051"/>
      <c r="D31" s="2052" t="s">
        <v>1590</v>
      </c>
      <c r="E31" s="2051"/>
      <c r="F31" s="2054" t="s">
        <v>727</v>
      </c>
      <c r="G31" s="2055" t="s">
        <v>1614</v>
      </c>
      <c r="H31" s="2080" t="s">
        <v>123</v>
      </c>
      <c r="I31" s="1760"/>
      <c r="J31" s="2057">
        <f t="shared" ref="J31:J32" si="13">B31</f>
        <v>43773</v>
      </c>
      <c r="K31" s="2058">
        <f t="shared" ref="K31:K35" si="14">J31+3</f>
        <v>43776</v>
      </c>
      <c r="L31" s="1760"/>
      <c r="M31" s="2059"/>
      <c r="N31" s="1760"/>
    </row>
    <row r="32">
      <c r="A32" s="2049" t="s">
        <v>1591</v>
      </c>
      <c r="B32" s="2060">
        <f t="shared" si="12"/>
        <v>43774</v>
      </c>
      <c r="C32" s="2051"/>
      <c r="D32" s="2052" t="s">
        <v>1590</v>
      </c>
      <c r="E32" s="2051"/>
      <c r="F32" s="2054" t="s">
        <v>842</v>
      </c>
      <c r="G32" s="2055" t="s">
        <v>1615</v>
      </c>
      <c r="H32" s="2065" t="s">
        <v>16</v>
      </c>
      <c r="I32" s="1760"/>
      <c r="J32" s="2057">
        <f t="shared" si="13"/>
        <v>43774</v>
      </c>
      <c r="K32" s="2058">
        <f t="shared" si="14"/>
        <v>43777</v>
      </c>
      <c r="L32" s="1760"/>
      <c r="M32" s="2059"/>
      <c r="N32" s="1760"/>
    </row>
    <row r="33">
      <c r="C33" s="2051"/>
      <c r="D33" s="2064" t="s">
        <v>1590</v>
      </c>
      <c r="E33" s="2051"/>
      <c r="F33" s="2054" t="s">
        <v>843</v>
      </c>
      <c r="G33" s="2055" t="s">
        <v>1616</v>
      </c>
      <c r="H33" s="2065" t="s">
        <v>16</v>
      </c>
      <c r="I33" s="1760"/>
      <c r="J33" s="2057">
        <f>B32</f>
        <v>43774</v>
      </c>
      <c r="K33" s="2058">
        <f t="shared" si="14"/>
        <v>43777</v>
      </c>
      <c r="L33" s="1760"/>
      <c r="M33" s="2059"/>
      <c r="N33" s="1760"/>
    </row>
    <row r="34">
      <c r="A34" s="2063" t="s">
        <v>1593</v>
      </c>
      <c r="B34" s="2060">
        <f>B32+1</f>
        <v>43775</v>
      </c>
      <c r="C34" s="2051"/>
      <c r="D34" s="2052" t="s">
        <v>1590</v>
      </c>
      <c r="E34" s="2051"/>
      <c r="F34" s="2054" t="s">
        <v>844</v>
      </c>
      <c r="G34" s="2055" t="s">
        <v>1617</v>
      </c>
      <c r="H34" s="900" t="s">
        <v>118</v>
      </c>
      <c r="I34" s="1760"/>
      <c r="J34" s="2057">
        <f t="shared" ref="J34:J35" si="15">B34</f>
        <v>43775</v>
      </c>
      <c r="K34" s="2058">
        <f t="shared" si="14"/>
        <v>43778</v>
      </c>
      <c r="L34" s="1760"/>
      <c r="M34" s="2059"/>
      <c r="N34" s="1760"/>
    </row>
    <row r="35">
      <c r="A35" s="2049" t="s">
        <v>1591</v>
      </c>
      <c r="B35" s="2060">
        <f>B34+1</f>
        <v>43776</v>
      </c>
      <c r="C35" s="2051"/>
      <c r="D35" s="2052" t="s">
        <v>1597</v>
      </c>
      <c r="E35" s="2051"/>
      <c r="F35" s="2066" t="s">
        <v>56</v>
      </c>
      <c r="G35" s="2067" t="s">
        <v>56</v>
      </c>
      <c r="H35" s="2056" t="s">
        <v>56</v>
      </c>
      <c r="I35" s="1760"/>
      <c r="J35" s="2057">
        <f t="shared" si="15"/>
        <v>43776</v>
      </c>
      <c r="K35" s="2058">
        <f t="shared" si="14"/>
        <v>43779</v>
      </c>
      <c r="L35" s="1760"/>
      <c r="M35" s="2059"/>
      <c r="N35" s="1760"/>
    </row>
    <row r="36">
      <c r="C36" s="2051"/>
      <c r="D36" s="2064" t="s">
        <v>1590</v>
      </c>
      <c r="E36" s="2051"/>
      <c r="F36" s="2054" t="s">
        <v>729</v>
      </c>
      <c r="G36" s="2055" t="s">
        <v>1618</v>
      </c>
      <c r="H36" s="900" t="s">
        <v>37</v>
      </c>
      <c r="I36" s="1760"/>
      <c r="J36" s="2057">
        <f>B35</f>
        <v>43776</v>
      </c>
      <c r="K36" s="2058">
        <f>J36+7</f>
        <v>43783</v>
      </c>
      <c r="L36" s="1760"/>
      <c r="M36" s="2059"/>
      <c r="N36" s="1760"/>
    </row>
    <row r="37">
      <c r="A37" s="2049" t="s">
        <v>1600</v>
      </c>
      <c r="B37" s="2060">
        <f>B35+1</f>
        <v>43777</v>
      </c>
      <c r="C37" s="2051"/>
      <c r="D37" s="2052" t="s">
        <v>1601</v>
      </c>
      <c r="E37" s="2051"/>
      <c r="F37" s="2068"/>
      <c r="G37" s="2082"/>
      <c r="H37" s="2056"/>
      <c r="I37" s="1760"/>
      <c r="J37" s="2057">
        <f>B37</f>
        <v>43777</v>
      </c>
      <c r="K37" s="2058">
        <f>J37+3</f>
        <v>43780</v>
      </c>
      <c r="L37" s="1760"/>
      <c r="M37" s="2059"/>
      <c r="N37" s="1760"/>
    </row>
    <row r="38">
      <c r="A38" s="2049" t="s">
        <v>1603</v>
      </c>
      <c r="B38" s="2060">
        <f t="shared" ref="B38:B40" si="16">B37+1</f>
        <v>43778</v>
      </c>
      <c r="C38" s="2051"/>
      <c r="D38" s="2052" t="s">
        <v>1415</v>
      </c>
      <c r="E38" s="2051"/>
      <c r="F38" s="2068" t="s">
        <v>56</v>
      </c>
      <c r="G38" s="2069" t="s">
        <v>56</v>
      </c>
      <c r="H38" s="1595" t="s">
        <v>56</v>
      </c>
      <c r="I38" s="1760"/>
      <c r="J38" s="2070"/>
      <c r="K38" s="407"/>
      <c r="L38" s="1760"/>
      <c r="M38" s="2059"/>
      <c r="N38" s="1760"/>
    </row>
    <row r="39">
      <c r="A39" s="2071" t="s">
        <v>1603</v>
      </c>
      <c r="B39" s="2072">
        <f t="shared" si="16"/>
        <v>43779</v>
      </c>
      <c r="C39" s="2073"/>
      <c r="D39" s="2074" t="s">
        <v>1604</v>
      </c>
      <c r="E39" s="2073"/>
      <c r="F39" s="2075" t="s">
        <v>56</v>
      </c>
      <c r="G39" s="2076" t="s">
        <v>56</v>
      </c>
      <c r="H39" s="2077" t="s">
        <v>56</v>
      </c>
      <c r="I39" s="2045"/>
      <c r="J39" s="2078"/>
      <c r="K39" s="464"/>
      <c r="L39" s="2045"/>
      <c r="M39" s="2079"/>
      <c r="N39" s="2045"/>
    </row>
    <row r="40">
      <c r="A40" s="2049" t="s">
        <v>1589</v>
      </c>
      <c r="B40" s="2050">
        <f t="shared" si="16"/>
        <v>43780</v>
      </c>
      <c r="C40" s="2051"/>
      <c r="D40" s="2052" t="s">
        <v>1590</v>
      </c>
      <c r="E40" s="2051"/>
      <c r="F40" s="2054" t="s">
        <v>730</v>
      </c>
      <c r="G40" s="2055" t="s">
        <v>1619</v>
      </c>
      <c r="H40" s="2080" t="s">
        <v>123</v>
      </c>
      <c r="I40" s="1760"/>
      <c r="J40" s="2057">
        <f>B40</f>
        <v>43780</v>
      </c>
      <c r="K40" s="2058">
        <f t="shared" ref="K40:K44" si="17">J40+3</f>
        <v>43783</v>
      </c>
      <c r="L40" s="1760"/>
      <c r="M40" s="2059"/>
      <c r="N40" s="1760"/>
    </row>
    <row r="41">
      <c r="C41" s="2051"/>
      <c r="D41" s="2064" t="s">
        <v>1590</v>
      </c>
      <c r="E41" s="2051"/>
      <c r="F41" s="2054" t="s">
        <v>972</v>
      </c>
      <c r="G41" s="2055" t="s">
        <v>1620</v>
      </c>
      <c r="H41" s="2065" t="s">
        <v>115</v>
      </c>
      <c r="I41" s="1760"/>
      <c r="J41" s="2057">
        <f>B40</f>
        <v>43780</v>
      </c>
      <c r="K41" s="2058">
        <f t="shared" si="17"/>
        <v>43783</v>
      </c>
      <c r="L41" s="1760"/>
      <c r="M41" s="2059"/>
      <c r="N41" s="1760"/>
    </row>
    <row r="42">
      <c r="A42" s="2049" t="s">
        <v>1591</v>
      </c>
      <c r="B42" s="2060">
        <f>B40+1</f>
        <v>43781</v>
      </c>
      <c r="C42" s="2051"/>
      <c r="D42" s="2052" t="s">
        <v>1590</v>
      </c>
      <c r="E42" s="2051"/>
      <c r="F42" s="2054" t="s">
        <v>845</v>
      </c>
      <c r="G42" s="2055" t="s">
        <v>1621</v>
      </c>
      <c r="H42" s="2080" t="s">
        <v>123</v>
      </c>
      <c r="I42" s="1760"/>
      <c r="J42" s="2057">
        <f t="shared" ref="J42:J44" si="18">B42</f>
        <v>43781</v>
      </c>
      <c r="K42" s="2058">
        <f t="shared" si="17"/>
        <v>43784</v>
      </c>
      <c r="L42" s="1760"/>
      <c r="M42" s="2059"/>
      <c r="N42" s="1760"/>
    </row>
    <row r="43">
      <c r="A43" s="2063" t="s">
        <v>1593</v>
      </c>
      <c r="B43" s="2060">
        <f t="shared" ref="B43:B44" si="19">B42+1</f>
        <v>43782</v>
      </c>
      <c r="C43" s="2051"/>
      <c r="D43" s="2052" t="s">
        <v>1590</v>
      </c>
      <c r="E43" s="2051"/>
      <c r="F43" s="2054" t="s">
        <v>846</v>
      </c>
      <c r="G43" s="2055" t="s">
        <v>1622</v>
      </c>
      <c r="H43" s="2084" t="s">
        <v>1623</v>
      </c>
      <c r="I43" s="1760"/>
      <c r="J43" s="2057">
        <f t="shared" si="18"/>
        <v>43782</v>
      </c>
      <c r="K43" s="2058">
        <f t="shared" si="17"/>
        <v>43785</v>
      </c>
      <c r="L43" s="1760"/>
      <c r="M43" s="2059"/>
      <c r="N43" s="1760"/>
    </row>
    <row r="44">
      <c r="A44" s="2049" t="s">
        <v>1591</v>
      </c>
      <c r="B44" s="2060">
        <f t="shared" si="19"/>
        <v>43783</v>
      </c>
      <c r="C44" s="2051"/>
      <c r="D44" s="2052" t="s">
        <v>1597</v>
      </c>
      <c r="E44" s="2051"/>
      <c r="F44" s="2066" t="s">
        <v>56</v>
      </c>
      <c r="G44" s="2067" t="s">
        <v>56</v>
      </c>
      <c r="H44" s="2056" t="s">
        <v>56</v>
      </c>
      <c r="I44" s="1760"/>
      <c r="J44" s="2057">
        <f t="shared" si="18"/>
        <v>43783</v>
      </c>
      <c r="K44" s="2058">
        <f t="shared" si="17"/>
        <v>43786</v>
      </c>
      <c r="L44" s="1760"/>
      <c r="M44" s="2059"/>
      <c r="N44" s="1760"/>
    </row>
    <row r="45">
      <c r="C45" s="2051"/>
      <c r="D45" s="2064" t="s">
        <v>1590</v>
      </c>
      <c r="E45" s="2051"/>
      <c r="F45" s="2054" t="s">
        <v>975</v>
      </c>
      <c r="G45" s="2055" t="s">
        <v>1624</v>
      </c>
      <c r="H45" s="2084" t="s">
        <v>16</v>
      </c>
      <c r="I45" s="1760"/>
      <c r="J45" s="2057">
        <f>B44</f>
        <v>43783</v>
      </c>
      <c r="K45" s="2058">
        <f t="shared" ref="K45:K46" si="20">J45+7</f>
        <v>43790</v>
      </c>
      <c r="L45" s="1760"/>
      <c r="M45" s="2059"/>
      <c r="N45" s="1760"/>
    </row>
    <row r="46">
      <c r="C46" s="2051"/>
      <c r="D46" s="2064" t="s">
        <v>1590</v>
      </c>
      <c r="E46" s="2051"/>
      <c r="F46" s="2054" t="s">
        <v>848</v>
      </c>
      <c r="G46" s="2055" t="s">
        <v>1625</v>
      </c>
      <c r="H46" s="873" t="s">
        <v>32</v>
      </c>
      <c r="I46" s="1760"/>
      <c r="J46" s="2057">
        <f>B44</f>
        <v>43783</v>
      </c>
      <c r="K46" s="2058">
        <f t="shared" si="20"/>
        <v>43790</v>
      </c>
      <c r="L46" s="1760"/>
      <c r="M46" s="2059"/>
      <c r="N46" s="1760"/>
    </row>
    <row r="47">
      <c r="A47" s="2049" t="s">
        <v>1600</v>
      </c>
      <c r="B47" s="2060">
        <f>B44+1</f>
        <v>43784</v>
      </c>
      <c r="C47" s="2051"/>
      <c r="D47" s="2052" t="s">
        <v>1601</v>
      </c>
      <c r="E47" s="2051"/>
      <c r="F47" s="2054" t="s">
        <v>976</v>
      </c>
      <c r="G47" s="2055" t="s">
        <v>1626</v>
      </c>
      <c r="H47" s="900" t="s">
        <v>118</v>
      </c>
      <c r="I47" s="1760"/>
      <c r="J47" s="2057">
        <f>B47</f>
        <v>43784</v>
      </c>
      <c r="K47" s="2058">
        <f>J47+3</f>
        <v>43787</v>
      </c>
      <c r="L47" s="1760"/>
      <c r="M47" s="2059"/>
      <c r="N47" s="1760"/>
    </row>
    <row r="48">
      <c r="A48" s="2049" t="s">
        <v>1603</v>
      </c>
      <c r="B48" s="2060">
        <f t="shared" ref="B48:B50" si="21">B47+1</f>
        <v>43785</v>
      </c>
      <c r="C48" s="2051"/>
      <c r="D48" s="2052" t="s">
        <v>1415</v>
      </c>
      <c r="E48" s="2051"/>
      <c r="F48" s="2068" t="s">
        <v>56</v>
      </c>
      <c r="G48" s="2069" t="s">
        <v>56</v>
      </c>
      <c r="H48" s="1595" t="s">
        <v>56</v>
      </c>
      <c r="I48" s="1760"/>
      <c r="J48" s="2070"/>
      <c r="K48" s="407"/>
      <c r="L48" s="1760"/>
      <c r="M48" s="2059"/>
      <c r="N48" s="1760"/>
    </row>
    <row r="49">
      <c r="A49" s="2071" t="s">
        <v>1603</v>
      </c>
      <c r="B49" s="2072">
        <f t="shared" si="21"/>
        <v>43786</v>
      </c>
      <c r="C49" s="2073"/>
      <c r="D49" s="2074" t="s">
        <v>1604</v>
      </c>
      <c r="E49" s="2073"/>
      <c r="F49" s="2075" t="s">
        <v>56</v>
      </c>
      <c r="G49" s="2076" t="s">
        <v>56</v>
      </c>
      <c r="H49" s="2077" t="s">
        <v>56</v>
      </c>
      <c r="I49" s="2045"/>
      <c r="J49" s="2078"/>
      <c r="K49" s="464"/>
      <c r="L49" s="2045"/>
      <c r="M49" s="2079"/>
      <c r="N49" s="2045"/>
    </row>
    <row r="50">
      <c r="A50" s="2049" t="s">
        <v>1589</v>
      </c>
      <c r="B50" s="2050">
        <f t="shared" si="21"/>
        <v>43787</v>
      </c>
      <c r="C50" s="2051"/>
      <c r="D50" s="2052" t="s">
        <v>1590</v>
      </c>
      <c r="E50" s="2051"/>
      <c r="F50" s="2054" t="s">
        <v>849</v>
      </c>
      <c r="G50" s="2055" t="s">
        <v>1627</v>
      </c>
      <c r="H50" s="2080" t="s">
        <v>123</v>
      </c>
      <c r="I50" s="1760"/>
      <c r="J50" s="2057">
        <f>B50</f>
        <v>43787</v>
      </c>
      <c r="K50" s="2058">
        <f t="shared" ref="K50:K54" si="22">J50+3</f>
        <v>43790</v>
      </c>
      <c r="L50" s="1760"/>
      <c r="M50" s="2059"/>
      <c r="N50" s="1760"/>
    </row>
    <row r="51">
      <c r="C51" s="2051"/>
      <c r="D51" s="2064" t="s">
        <v>1590</v>
      </c>
      <c r="E51" s="2051"/>
      <c r="F51" s="2054" t="s">
        <v>977</v>
      </c>
      <c r="G51" s="2055" t="s">
        <v>1628</v>
      </c>
      <c r="H51" s="2084" t="s">
        <v>662</v>
      </c>
      <c r="I51" s="1760"/>
      <c r="J51" s="2057">
        <f>B50</f>
        <v>43787</v>
      </c>
      <c r="K51" s="2058">
        <f t="shared" si="22"/>
        <v>43790</v>
      </c>
      <c r="L51" s="1760"/>
      <c r="M51" s="2059"/>
      <c r="N51" s="1760"/>
    </row>
    <row r="52">
      <c r="A52" s="2049" t="s">
        <v>1591</v>
      </c>
      <c r="B52" s="2060">
        <f>B50+1</f>
        <v>43788</v>
      </c>
      <c r="C52" s="2051"/>
      <c r="D52" s="2052" t="s">
        <v>1590</v>
      </c>
      <c r="E52" s="2051"/>
      <c r="F52" s="2054" t="s">
        <v>732</v>
      </c>
      <c r="G52" s="2055" t="s">
        <v>1629</v>
      </c>
      <c r="H52" s="893" t="s">
        <v>662</v>
      </c>
      <c r="I52" s="1760"/>
      <c r="J52" s="2057">
        <f>B52</f>
        <v>43788</v>
      </c>
      <c r="K52" s="2058">
        <f t="shared" si="22"/>
        <v>43791</v>
      </c>
      <c r="L52" s="1760"/>
      <c r="M52" s="2059"/>
      <c r="N52" s="1760"/>
    </row>
    <row r="53">
      <c r="C53" s="2051"/>
      <c r="D53" s="2064" t="s">
        <v>1590</v>
      </c>
      <c r="E53" s="2051"/>
      <c r="F53" s="2054" t="s">
        <v>978</v>
      </c>
      <c r="G53" s="2055" t="s">
        <v>1630</v>
      </c>
      <c r="H53" s="2084" t="s">
        <v>16</v>
      </c>
      <c r="I53" s="1760"/>
      <c r="J53" s="2057">
        <f>B52</f>
        <v>43788</v>
      </c>
      <c r="K53" s="2058">
        <f t="shared" si="22"/>
        <v>43791</v>
      </c>
      <c r="L53" s="1760"/>
      <c r="M53" s="2059"/>
      <c r="N53" s="1760"/>
    </row>
    <row r="54">
      <c r="A54" s="2063" t="s">
        <v>1593</v>
      </c>
      <c r="B54" s="2060">
        <f>B52+1</f>
        <v>43789</v>
      </c>
      <c r="C54" s="2051"/>
      <c r="D54" s="2052" t="s">
        <v>1590</v>
      </c>
      <c r="E54" s="2051"/>
      <c r="F54" s="2054" t="s">
        <v>733</v>
      </c>
      <c r="G54" s="2055" t="s">
        <v>1631</v>
      </c>
      <c r="H54" s="873" t="s">
        <v>32</v>
      </c>
      <c r="I54" s="1760"/>
      <c r="J54" s="2057">
        <f t="shared" ref="J54:J55" si="23">B54</f>
        <v>43789</v>
      </c>
      <c r="K54" s="2058">
        <f t="shared" si="22"/>
        <v>43792</v>
      </c>
      <c r="L54" s="1760"/>
      <c r="M54" s="2059"/>
      <c r="N54" s="1760"/>
    </row>
    <row r="55">
      <c r="A55" s="2049" t="s">
        <v>1591</v>
      </c>
      <c r="B55" s="2060">
        <f>B54+1</f>
        <v>43790</v>
      </c>
      <c r="C55" s="2051"/>
      <c r="D55" s="2052" t="s">
        <v>1597</v>
      </c>
      <c r="E55" s="2051"/>
      <c r="F55" s="2066" t="s">
        <v>56</v>
      </c>
      <c r="G55" s="2067" t="s">
        <v>56</v>
      </c>
      <c r="H55" s="2056" t="s">
        <v>56</v>
      </c>
      <c r="I55" s="1760"/>
      <c r="J55" s="2057">
        <f t="shared" si="23"/>
        <v>43790</v>
      </c>
      <c r="K55" s="2058">
        <f>J55+7</f>
        <v>43797</v>
      </c>
      <c r="L55" s="1760"/>
      <c r="M55" s="2059"/>
      <c r="N55" s="1760"/>
    </row>
    <row r="56">
      <c r="C56" s="2051"/>
      <c r="D56" s="2064" t="s">
        <v>1590</v>
      </c>
      <c r="E56" s="2051"/>
      <c r="F56" s="2085" t="s">
        <v>850</v>
      </c>
      <c r="G56" s="2086" t="s">
        <v>1632</v>
      </c>
      <c r="H56" s="900" t="s">
        <v>871</v>
      </c>
      <c r="I56" s="1760"/>
      <c r="J56" s="2057">
        <f>B55</f>
        <v>43790</v>
      </c>
      <c r="K56" s="2058">
        <f t="shared" ref="K56:K58" si="24">J56+3</f>
        <v>43793</v>
      </c>
      <c r="L56" s="1760"/>
      <c r="M56" s="2059"/>
      <c r="N56" s="1760"/>
    </row>
    <row r="57">
      <c r="C57" s="2051"/>
      <c r="D57" s="2064" t="s">
        <v>1590</v>
      </c>
      <c r="E57" s="2051"/>
      <c r="F57" s="2054" t="s">
        <v>743</v>
      </c>
      <c r="G57" s="2055" t="s">
        <v>1633</v>
      </c>
      <c r="H57" s="873" t="s">
        <v>32</v>
      </c>
      <c r="I57" s="1760"/>
      <c r="J57" s="2057">
        <f>B55</f>
        <v>43790</v>
      </c>
      <c r="K57" s="2058">
        <f t="shared" si="24"/>
        <v>43793</v>
      </c>
      <c r="L57" s="1760"/>
      <c r="M57" s="2059"/>
      <c r="N57" s="1760"/>
    </row>
    <row r="58">
      <c r="A58" s="2049" t="s">
        <v>1600</v>
      </c>
      <c r="B58" s="2060">
        <f>B55+1</f>
        <v>43791</v>
      </c>
      <c r="C58" s="2051"/>
      <c r="D58" s="2052" t="s">
        <v>1601</v>
      </c>
      <c r="E58" s="2051"/>
      <c r="F58" s="2054" t="s">
        <v>979</v>
      </c>
      <c r="G58" s="2055" t="s">
        <v>1634</v>
      </c>
      <c r="H58" s="899" t="s">
        <v>122</v>
      </c>
      <c r="I58" s="1760"/>
      <c r="J58" s="2057">
        <f>B58</f>
        <v>43791</v>
      </c>
      <c r="K58" s="2058">
        <f t="shared" si="24"/>
        <v>43794</v>
      </c>
      <c r="L58" s="1760"/>
      <c r="M58" s="2059"/>
      <c r="N58" s="1760"/>
    </row>
    <row r="59">
      <c r="A59" s="2049" t="s">
        <v>1603</v>
      </c>
      <c r="B59" s="2060">
        <f t="shared" ref="B59:B63" si="25">B58+1</f>
        <v>43792</v>
      </c>
      <c r="C59" s="2051"/>
      <c r="D59" s="2052" t="s">
        <v>1415</v>
      </c>
      <c r="E59" s="2051"/>
      <c r="F59" s="2068" t="s">
        <v>56</v>
      </c>
      <c r="G59" s="2069" t="s">
        <v>56</v>
      </c>
      <c r="H59" s="1595" t="s">
        <v>56</v>
      </c>
      <c r="I59" s="1760"/>
      <c r="J59" s="2070"/>
      <c r="K59" s="407"/>
      <c r="L59" s="1760"/>
      <c r="M59" s="2059"/>
      <c r="N59" s="1760"/>
    </row>
    <row r="60">
      <c r="A60" s="2071" t="s">
        <v>1603</v>
      </c>
      <c r="B60" s="2072">
        <f t="shared" si="25"/>
        <v>43793</v>
      </c>
      <c r="C60" s="2073"/>
      <c r="D60" s="2074" t="s">
        <v>1604</v>
      </c>
      <c r="E60" s="2073"/>
      <c r="F60" s="2075" t="s">
        <v>56</v>
      </c>
      <c r="G60" s="2076" t="s">
        <v>56</v>
      </c>
      <c r="H60" s="2077" t="s">
        <v>56</v>
      </c>
      <c r="I60" s="2045"/>
      <c r="J60" s="2078"/>
      <c r="K60" s="464"/>
      <c r="L60" s="2045"/>
      <c r="M60" s="2079"/>
      <c r="N60" s="2045"/>
    </row>
    <row r="61">
      <c r="A61" s="2049" t="s">
        <v>1589</v>
      </c>
      <c r="B61" s="2050">
        <f t="shared" si="25"/>
        <v>43794</v>
      </c>
      <c r="C61" s="2051"/>
      <c r="D61" s="2052" t="s">
        <v>1590</v>
      </c>
      <c r="E61" s="2051"/>
      <c r="F61" s="2054" t="s">
        <v>734</v>
      </c>
      <c r="G61" s="2055" t="s">
        <v>1635</v>
      </c>
      <c r="H61" s="2080" t="s">
        <v>123</v>
      </c>
      <c r="I61" s="1760"/>
      <c r="J61" s="2057">
        <f t="shared" ref="J61:J63" si="26">B61</f>
        <v>43794</v>
      </c>
      <c r="K61" s="2058">
        <f t="shared" ref="K61:K64" si="27">J61+3</f>
        <v>43797</v>
      </c>
      <c r="L61" s="1760"/>
      <c r="M61" s="2059"/>
      <c r="N61" s="1760"/>
    </row>
    <row r="62">
      <c r="A62" s="2049" t="s">
        <v>1591</v>
      </c>
      <c r="B62" s="2060">
        <f t="shared" si="25"/>
        <v>43795</v>
      </c>
      <c r="C62" s="2051"/>
      <c r="D62" s="2052" t="s">
        <v>1590</v>
      </c>
      <c r="E62" s="2051"/>
      <c r="F62" s="2054" t="s">
        <v>735</v>
      </c>
      <c r="G62" s="2087" t="s">
        <v>1636</v>
      </c>
      <c r="H62" s="900" t="s">
        <v>153</v>
      </c>
      <c r="I62" s="1760"/>
      <c r="J62" s="2057">
        <f t="shared" si="26"/>
        <v>43795</v>
      </c>
      <c r="K62" s="2058">
        <f t="shared" si="27"/>
        <v>43798</v>
      </c>
      <c r="L62" s="1760"/>
      <c r="M62" s="2088" t="s">
        <v>1637</v>
      </c>
      <c r="N62" s="1760"/>
    </row>
    <row r="63">
      <c r="A63" s="2063" t="s">
        <v>1593</v>
      </c>
      <c r="B63" s="2060">
        <f t="shared" si="25"/>
        <v>43796</v>
      </c>
      <c r="C63" s="2051"/>
      <c r="D63" s="2052" t="s">
        <v>1590</v>
      </c>
      <c r="E63" s="2051"/>
      <c r="F63" s="2054" t="s">
        <v>981</v>
      </c>
      <c r="G63" s="2055" t="s">
        <v>1637</v>
      </c>
      <c r="H63" s="2084" t="s">
        <v>982</v>
      </c>
      <c r="I63" s="1760"/>
      <c r="J63" s="2057">
        <f t="shared" si="26"/>
        <v>43796</v>
      </c>
      <c r="K63" s="2058">
        <f t="shared" si="27"/>
        <v>43799</v>
      </c>
      <c r="L63" s="1760"/>
      <c r="M63" s="2059"/>
      <c r="N63" s="1760"/>
    </row>
    <row r="64">
      <c r="C64" s="2051"/>
      <c r="D64" s="2064" t="s">
        <v>1590</v>
      </c>
      <c r="E64" s="2051"/>
      <c r="F64" s="2054" t="s">
        <v>983</v>
      </c>
      <c r="G64" s="2089" t="s">
        <v>1638</v>
      </c>
      <c r="H64" s="2084" t="s">
        <v>116</v>
      </c>
      <c r="I64" s="1760"/>
      <c r="J64" s="2057">
        <f>B63</f>
        <v>43796</v>
      </c>
      <c r="K64" s="2058">
        <f t="shared" si="27"/>
        <v>43799</v>
      </c>
      <c r="L64" s="1760"/>
      <c r="M64" s="2059"/>
      <c r="N64" s="1760"/>
    </row>
    <row r="65">
      <c r="A65" s="2049" t="s">
        <v>1591</v>
      </c>
      <c r="B65" s="2060">
        <f>B63+1</f>
        <v>43797</v>
      </c>
      <c r="C65" s="2051"/>
      <c r="D65" s="2052" t="s">
        <v>1597</v>
      </c>
      <c r="E65" s="2051"/>
      <c r="F65" s="2066" t="s">
        <v>56</v>
      </c>
      <c r="G65" s="2067" t="s">
        <v>56</v>
      </c>
      <c r="H65" s="2056" t="s">
        <v>56</v>
      </c>
      <c r="I65" s="1760"/>
      <c r="J65" s="2057">
        <f>B65</f>
        <v>43797</v>
      </c>
      <c r="K65" s="2058">
        <f>J65+7</f>
        <v>43804</v>
      </c>
      <c r="L65" s="1760"/>
      <c r="M65" s="2059"/>
      <c r="N65" s="1760"/>
    </row>
    <row r="66">
      <c r="C66" s="2051"/>
      <c r="D66" s="2064" t="s">
        <v>1590</v>
      </c>
      <c r="E66" s="2051"/>
      <c r="F66" s="2054" t="s">
        <v>737</v>
      </c>
      <c r="G66" s="2055" t="s">
        <v>1639</v>
      </c>
      <c r="H66" s="2080" t="s">
        <v>123</v>
      </c>
      <c r="I66" s="1760"/>
      <c r="J66" s="2057">
        <f>B65</f>
        <v>43797</v>
      </c>
      <c r="K66" s="2058">
        <f t="shared" ref="K66:K68" si="28">J66+3</f>
        <v>43800</v>
      </c>
      <c r="L66" s="1760"/>
      <c r="M66" s="2059"/>
      <c r="N66" s="1760"/>
    </row>
    <row r="67">
      <c r="A67" s="2049" t="s">
        <v>1600</v>
      </c>
      <c r="B67" s="2060">
        <f>B65+1</f>
        <v>43798</v>
      </c>
      <c r="C67" s="2051"/>
      <c r="D67" s="2052" t="s">
        <v>1601</v>
      </c>
      <c r="E67" s="2051"/>
      <c r="F67" s="2054" t="s">
        <v>985</v>
      </c>
      <c r="G67" s="2055" t="s">
        <v>1640</v>
      </c>
      <c r="H67" s="900" t="s">
        <v>155</v>
      </c>
      <c r="I67" s="1760"/>
      <c r="J67" s="2057">
        <f>B67</f>
        <v>43798</v>
      </c>
      <c r="K67" s="2058">
        <f t="shared" si="28"/>
        <v>43801</v>
      </c>
      <c r="L67" s="1760"/>
      <c r="M67" s="2059"/>
      <c r="N67" s="1760"/>
    </row>
    <row r="68">
      <c r="C68" s="2051"/>
      <c r="D68" s="2064" t="s">
        <v>1590</v>
      </c>
      <c r="E68" s="2051"/>
      <c r="F68" s="2054" t="s">
        <v>986</v>
      </c>
      <c r="G68" s="2055" t="s">
        <v>1641</v>
      </c>
      <c r="H68" s="2084" t="s">
        <v>116</v>
      </c>
      <c r="I68" s="1760"/>
      <c r="J68" s="2057">
        <f>B67</f>
        <v>43798</v>
      </c>
      <c r="K68" s="2058">
        <f t="shared" si="28"/>
        <v>43801</v>
      </c>
      <c r="L68" s="1760"/>
      <c r="M68" s="2059"/>
      <c r="N68" s="1760"/>
    </row>
    <row r="69">
      <c r="A69" s="2049" t="s">
        <v>1603</v>
      </c>
      <c r="B69" s="2060">
        <f>B67+1</f>
        <v>43799</v>
      </c>
      <c r="C69" s="2051"/>
      <c r="D69" s="2052" t="s">
        <v>1415</v>
      </c>
      <c r="E69" s="2051"/>
      <c r="F69" s="2068" t="s">
        <v>56</v>
      </c>
      <c r="G69" s="2069" t="s">
        <v>56</v>
      </c>
      <c r="H69" s="1595" t="s">
        <v>56</v>
      </c>
      <c r="I69" s="1760"/>
      <c r="J69" s="2070"/>
      <c r="K69" s="407"/>
      <c r="L69" s="1760"/>
      <c r="M69" s="2059"/>
      <c r="N69" s="1760"/>
    </row>
    <row r="70">
      <c r="A70" s="2071" t="s">
        <v>1603</v>
      </c>
      <c r="B70" s="2072">
        <f>B69+1</f>
        <v>43800</v>
      </c>
      <c r="C70" s="2073"/>
      <c r="D70" s="2074" t="s">
        <v>1604</v>
      </c>
      <c r="E70" s="2073"/>
      <c r="F70" s="2075" t="s">
        <v>56</v>
      </c>
      <c r="G70" s="2076" t="s">
        <v>56</v>
      </c>
      <c r="H70" s="2077" t="s">
        <v>56</v>
      </c>
      <c r="I70" s="2045"/>
      <c r="J70" s="2078"/>
      <c r="K70" s="464"/>
      <c r="L70" s="2045"/>
      <c r="M70" s="2079"/>
      <c r="N70" s="2045"/>
    </row>
    <row r="71">
      <c r="A71" s="2090"/>
      <c r="N71" s="115"/>
    </row>
    <row r="72">
      <c r="A72" s="2090"/>
      <c r="E72" s="351"/>
      <c r="F72" s="2091" t="s">
        <v>1642</v>
      </c>
      <c r="G72" s="549"/>
      <c r="H72" s="549"/>
      <c r="I72" s="2092"/>
      <c r="N72" s="115"/>
    </row>
    <row r="73">
      <c r="A73" s="2090"/>
      <c r="E73" s="351"/>
      <c r="F73" s="1771" t="s">
        <v>739</v>
      </c>
      <c r="G73" s="1905" t="s">
        <v>1643</v>
      </c>
      <c r="H73" s="899" t="s">
        <v>122</v>
      </c>
      <c r="I73" s="2092"/>
      <c r="N73" s="115"/>
    </row>
    <row r="74">
      <c r="A74" s="2090"/>
      <c r="E74" s="351"/>
      <c r="F74" s="1771"/>
      <c r="G74" s="1905"/>
      <c r="H74" s="2093"/>
      <c r="I74" s="2092"/>
      <c r="N74" s="115"/>
    </row>
    <row r="75">
      <c r="A75" s="2090"/>
      <c r="E75" s="351"/>
      <c r="F75" s="407"/>
      <c r="G75" s="2094"/>
      <c r="I75" s="2092"/>
      <c r="N75" s="115"/>
    </row>
    <row r="76">
      <c r="A76" s="2090"/>
      <c r="E76" s="351"/>
      <c r="I76" s="2092"/>
      <c r="N76" s="115"/>
    </row>
    <row r="77">
      <c r="A77" s="2090"/>
      <c r="E77" s="351"/>
      <c r="H77" s="2093"/>
      <c r="I77" s="2092"/>
      <c r="N77" s="115"/>
    </row>
    <row r="78">
      <c r="A78" s="2090"/>
      <c r="E78" s="351"/>
      <c r="F78" s="407"/>
      <c r="G78" s="2094"/>
      <c r="H78" s="2093"/>
      <c r="I78" s="2092"/>
      <c r="N78" s="115"/>
    </row>
    <row r="79">
      <c r="A79" s="2090"/>
      <c r="E79" s="351"/>
      <c r="F79" s="407"/>
      <c r="G79" s="2094"/>
      <c r="H79" s="2093"/>
      <c r="I79" s="2092"/>
      <c r="N79" s="115"/>
    </row>
    <row r="80">
      <c r="A80" s="2090"/>
      <c r="E80" s="351"/>
      <c r="F80" s="407"/>
      <c r="G80" s="2094"/>
      <c r="H80" s="2093"/>
      <c r="I80" s="2092"/>
      <c r="N80" s="115"/>
    </row>
    <row r="81">
      <c r="A81" s="2090"/>
      <c r="E81" s="351"/>
      <c r="F81" s="407"/>
      <c r="G81" s="2094"/>
      <c r="H81" s="2093"/>
      <c r="I81" s="2092"/>
      <c r="N81" s="115"/>
    </row>
    <row r="82">
      <c r="A82" s="2090"/>
      <c r="E82" s="351"/>
      <c r="F82" s="407"/>
      <c r="G82" s="2094"/>
      <c r="H82" s="2093"/>
      <c r="I82" s="2092"/>
      <c r="N82" s="115"/>
    </row>
    <row r="83">
      <c r="A83" s="2090"/>
      <c r="E83" s="351"/>
      <c r="F83" s="407"/>
      <c r="G83" s="2094"/>
      <c r="H83" s="2093"/>
      <c r="I83" s="2092"/>
      <c r="N83" s="115"/>
    </row>
    <row r="84">
      <c r="A84" s="2090"/>
      <c r="E84" s="351"/>
      <c r="F84" s="407"/>
      <c r="G84" s="2094"/>
      <c r="H84" s="2093"/>
      <c r="I84" s="2092"/>
      <c r="N84" s="115"/>
    </row>
    <row r="85">
      <c r="A85" s="2090"/>
      <c r="E85" s="351"/>
      <c r="F85" s="407"/>
      <c r="G85" s="2094"/>
      <c r="H85" s="2093"/>
      <c r="I85" s="2092"/>
      <c r="N85" s="115"/>
    </row>
    <row r="86">
      <c r="A86" s="2090"/>
      <c r="E86" s="351"/>
      <c r="F86" s="407"/>
      <c r="G86" s="2094"/>
      <c r="H86" s="2093"/>
      <c r="I86" s="2092"/>
      <c r="N86" s="115"/>
    </row>
    <row r="87">
      <c r="A87" s="2090"/>
      <c r="E87" s="351"/>
      <c r="F87" s="407"/>
      <c r="G87" s="2094"/>
      <c r="H87" s="2093"/>
      <c r="I87" s="2092"/>
      <c r="N87" s="115"/>
    </row>
    <row r="88">
      <c r="A88" s="2090"/>
      <c r="E88" s="351"/>
      <c r="F88" s="407"/>
      <c r="G88" s="2094"/>
      <c r="H88" s="2093"/>
      <c r="I88" s="2092"/>
      <c r="N88" s="115"/>
    </row>
    <row r="89">
      <c r="A89" s="2090"/>
      <c r="E89" s="351"/>
      <c r="F89" s="407"/>
      <c r="G89" s="2094"/>
      <c r="H89" s="2093"/>
      <c r="I89" s="2092"/>
      <c r="N89" s="115"/>
    </row>
    <row r="90">
      <c r="A90" s="2090"/>
      <c r="E90" s="351"/>
      <c r="F90" s="407"/>
      <c r="G90" s="2094"/>
      <c r="H90" s="2093"/>
      <c r="I90" s="2092"/>
      <c r="N90" s="115"/>
    </row>
    <row r="91">
      <c r="A91" s="2090"/>
      <c r="E91" s="351"/>
      <c r="F91" s="407"/>
      <c r="G91" s="2094"/>
      <c r="I91" s="2092"/>
      <c r="N91" s="115"/>
    </row>
    <row r="92">
      <c r="A92" s="2090"/>
      <c r="E92" s="351"/>
      <c r="I92" s="2092"/>
      <c r="N92" s="115"/>
    </row>
    <row r="93">
      <c r="A93" s="2090"/>
      <c r="E93" s="351"/>
      <c r="I93" s="2092"/>
      <c r="N93" s="115"/>
    </row>
    <row r="94">
      <c r="A94" s="2090"/>
      <c r="E94" s="351"/>
      <c r="I94" s="2092"/>
      <c r="N94" s="115"/>
    </row>
  </sheetData>
  <mergeCells count="83">
    <mergeCell ref="A74:E74"/>
    <mergeCell ref="A75:E75"/>
    <mergeCell ref="A76:E76"/>
    <mergeCell ref="A77:E77"/>
    <mergeCell ref="A78:E78"/>
    <mergeCell ref="A79:E79"/>
    <mergeCell ref="A80:E80"/>
    <mergeCell ref="A88:E88"/>
    <mergeCell ref="A89:E89"/>
    <mergeCell ref="A90:E90"/>
    <mergeCell ref="A91:E91"/>
    <mergeCell ref="A92:E92"/>
    <mergeCell ref="A93:E93"/>
    <mergeCell ref="A94:E94"/>
    <mergeCell ref="A81:E81"/>
    <mergeCell ref="A82:E82"/>
    <mergeCell ref="A83:E83"/>
    <mergeCell ref="A84:E84"/>
    <mergeCell ref="A85:E85"/>
    <mergeCell ref="A86:E86"/>
    <mergeCell ref="A87:E87"/>
    <mergeCell ref="I89:N89"/>
    <mergeCell ref="I90:N90"/>
    <mergeCell ref="I91:N91"/>
    <mergeCell ref="I92:N92"/>
    <mergeCell ref="I93:N93"/>
    <mergeCell ref="I94:N94"/>
    <mergeCell ref="I82:N82"/>
    <mergeCell ref="I83:N83"/>
    <mergeCell ref="I84:N84"/>
    <mergeCell ref="I85:N85"/>
    <mergeCell ref="I86:N86"/>
    <mergeCell ref="I87:N87"/>
    <mergeCell ref="I88:N88"/>
    <mergeCell ref="A1:E2"/>
    <mergeCell ref="F1:H2"/>
    <mergeCell ref="J1:K2"/>
    <mergeCell ref="M1:M3"/>
    <mergeCell ref="A3:B3"/>
    <mergeCell ref="A7:A8"/>
    <mergeCell ref="B7:B8"/>
    <mergeCell ref="A9:A10"/>
    <mergeCell ref="B9:B10"/>
    <mergeCell ref="A14:A15"/>
    <mergeCell ref="B14:B15"/>
    <mergeCell ref="A18:A19"/>
    <mergeCell ref="B18:B19"/>
    <mergeCell ref="B26:B27"/>
    <mergeCell ref="A26:A27"/>
    <mergeCell ref="A32:A33"/>
    <mergeCell ref="B32:B33"/>
    <mergeCell ref="A35:A36"/>
    <mergeCell ref="B35:B36"/>
    <mergeCell ref="A40:A41"/>
    <mergeCell ref="B40:B41"/>
    <mergeCell ref="A44:A46"/>
    <mergeCell ref="B44:B46"/>
    <mergeCell ref="A50:A51"/>
    <mergeCell ref="B50:B51"/>
    <mergeCell ref="A52:A53"/>
    <mergeCell ref="B52:B53"/>
    <mergeCell ref="B55:B57"/>
    <mergeCell ref="A55:A57"/>
    <mergeCell ref="A63:A64"/>
    <mergeCell ref="B63:B64"/>
    <mergeCell ref="A65:A66"/>
    <mergeCell ref="B65:B66"/>
    <mergeCell ref="A67:A68"/>
    <mergeCell ref="B67:B68"/>
    <mergeCell ref="A71:N71"/>
    <mergeCell ref="A72:E72"/>
    <mergeCell ref="F72:H72"/>
    <mergeCell ref="I72:N72"/>
    <mergeCell ref="A73:E73"/>
    <mergeCell ref="I73:N73"/>
    <mergeCell ref="I74:N74"/>
    <mergeCell ref="I75:N75"/>
    <mergeCell ref="I76:N76"/>
    <mergeCell ref="I77:N77"/>
    <mergeCell ref="I78:N78"/>
    <mergeCell ref="I79:N79"/>
    <mergeCell ref="I80:N80"/>
    <mergeCell ref="I81:N81"/>
  </mergeCells>
  <conditionalFormatting sqref="H25 H27 H34 H36 H47 H56 H62 H67">
    <cfRule type="containsText" dxfId="2" priority="1" operator="containsText" text="SO">
      <formula>NOT(ISERROR(SEARCH(("SO"),(H25))))</formula>
    </cfRule>
  </conditionalFormatting>
  <conditionalFormatting sqref="H25 H27 H34 H36 H47 H56 H62 H67">
    <cfRule type="containsText" dxfId="3" priority="2" operator="containsText" text="tegen">
      <formula>NOT(ISERROR(SEARCH(("tegen"),(H25))))</formula>
    </cfRule>
  </conditionalFormatting>
  <conditionalFormatting sqref="H25 H27 H34 H36 H47 H56 H62 H67">
    <cfRule type="containsText" dxfId="4" priority="3" operator="containsText" text="voor">
      <formula>NOT(ISERROR(SEARCH(("voor"),(H25))))</formula>
    </cfRule>
  </conditionalFormatting>
  <conditionalFormatting sqref="H25 H27 H34 H36 H47 H56 H62 H67">
    <cfRule type="cellIs" dxfId="5" priority="4" operator="equal">
      <formula>"NG"</formula>
    </cfRule>
  </conditionalFormatting>
  <conditionalFormatting sqref="H25 H27 H34 H36 H47 H56 H62 H67">
    <cfRule type="containsText" dxfId="6" priority="5" operator="containsText" text="NVT">
      <formula>NOT(ISERROR(SEARCH(("NVT"),(H25))))</formula>
    </cfRule>
  </conditionalFormatting>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4125"/>
    <outlinePr summaryBelow="0" summaryRight="0"/>
  </sheetPr>
  <sheetViews>
    <sheetView workbookViewId="0">
      <pane xSplit="3.0" ySplit="6.0" topLeftCell="D7" activePane="bottomRight" state="frozen"/>
      <selection activeCell="D1" sqref="D1" pane="topRight"/>
      <selection activeCell="A7" sqref="A7" pane="bottomLeft"/>
      <selection activeCell="D7" sqref="D7" pane="bottomRight"/>
    </sheetView>
  </sheetViews>
  <sheetFormatPr customHeight="1" defaultColWidth="14.43" defaultRowHeight="15.75"/>
  <cols>
    <col customWidth="1" min="1" max="1" width="10.86"/>
    <col customWidth="1" min="2" max="2" width="11.0"/>
    <col customWidth="1" min="3" max="3" width="26.29"/>
  </cols>
  <sheetData>
    <row r="1" ht="18.75" customHeight="1">
      <c r="A1" s="104" t="s">
        <v>164</v>
      </c>
      <c r="B1" s="105"/>
      <c r="C1" s="105"/>
      <c r="D1" s="105"/>
      <c r="E1" s="105"/>
      <c r="F1" s="105"/>
      <c r="G1" s="105"/>
      <c r="H1" s="105"/>
      <c r="I1" s="105"/>
      <c r="J1" s="105"/>
      <c r="K1" s="105"/>
      <c r="L1" s="105"/>
      <c r="M1" s="105"/>
      <c r="N1" s="105"/>
      <c r="O1" s="105"/>
      <c r="P1" s="105"/>
      <c r="Q1" s="105"/>
      <c r="R1" s="105"/>
      <c r="S1" s="106"/>
      <c r="T1" s="106"/>
      <c r="U1" s="106"/>
      <c r="V1" s="106"/>
      <c r="W1" s="106"/>
      <c r="X1" s="106"/>
      <c r="Y1" s="106"/>
      <c r="Z1" s="106"/>
      <c r="AA1" s="106"/>
      <c r="AB1" s="106"/>
      <c r="AC1" s="106"/>
      <c r="AD1" s="106"/>
      <c r="AE1" s="106"/>
      <c r="AF1" s="106"/>
      <c r="AG1" s="106"/>
      <c r="AH1" s="106"/>
      <c r="AI1" s="106"/>
    </row>
    <row r="2" ht="18.75" customHeight="1">
      <c r="A2" s="108" t="s">
        <v>1014</v>
      </c>
      <c r="B2" s="109"/>
      <c r="C2" s="110"/>
      <c r="D2" s="111" t="s">
        <v>1571</v>
      </c>
      <c r="E2" s="112"/>
      <c r="F2" s="112"/>
      <c r="G2" s="112"/>
      <c r="H2" s="112"/>
      <c r="I2" s="112"/>
      <c r="J2" s="112"/>
      <c r="K2" s="112"/>
      <c r="L2" s="112"/>
      <c r="M2" s="112"/>
      <c r="N2" s="112"/>
      <c r="O2" s="112"/>
      <c r="P2" s="112"/>
      <c r="Q2" s="112"/>
      <c r="R2" s="112"/>
      <c r="S2" s="112"/>
      <c r="T2" s="112"/>
      <c r="U2" s="112"/>
      <c r="V2" s="112"/>
      <c r="W2" s="112"/>
      <c r="X2" s="112"/>
      <c r="Y2" s="112"/>
      <c r="Z2" s="112"/>
      <c r="AA2" s="112"/>
      <c r="AB2" s="112"/>
      <c r="AC2" s="112"/>
      <c r="AD2" s="112"/>
      <c r="AE2" s="112"/>
      <c r="AF2" s="112"/>
      <c r="AG2" s="112"/>
      <c r="AH2" s="112"/>
      <c r="AI2" s="20"/>
    </row>
    <row r="3" ht="18.75" customHeight="1">
      <c r="A3" s="2095" t="s">
        <v>1644</v>
      </c>
      <c r="C3" s="115"/>
      <c r="D3" s="43"/>
      <c r="AI3" s="44"/>
    </row>
    <row r="4" ht="18.75" customHeight="1">
      <c r="C4" s="115"/>
      <c r="D4" s="26"/>
      <c r="E4" s="504"/>
      <c r="F4" s="504"/>
      <c r="G4" s="504"/>
      <c r="H4" s="504"/>
      <c r="I4" s="504"/>
      <c r="J4" s="504"/>
      <c r="K4" s="504"/>
      <c r="L4" s="504"/>
      <c r="M4" s="504"/>
      <c r="N4" s="504"/>
      <c r="O4" s="504"/>
      <c r="P4" s="504"/>
      <c r="Q4" s="504"/>
      <c r="R4" s="504"/>
      <c r="S4" s="504"/>
      <c r="T4" s="504"/>
      <c r="U4" s="504"/>
      <c r="V4" s="504"/>
      <c r="W4" s="504"/>
      <c r="X4" s="504"/>
      <c r="Y4" s="504"/>
      <c r="Z4" s="504"/>
      <c r="AA4" s="504"/>
      <c r="AB4" s="504"/>
      <c r="AC4" s="504"/>
      <c r="AD4" s="504"/>
      <c r="AE4" s="504"/>
      <c r="AF4" s="504"/>
      <c r="AG4" s="504"/>
      <c r="AH4" s="504"/>
      <c r="AI4" s="27"/>
    </row>
    <row r="5" ht="18.75" customHeight="1">
      <c r="A5" s="121" t="s">
        <v>82</v>
      </c>
      <c r="B5" s="122" t="s">
        <v>83</v>
      </c>
      <c r="C5" s="123" t="s">
        <v>84</v>
      </c>
      <c r="D5" s="124" t="str">
        <f>HYPERLINK("https://www.reddit.com/r/RMTK/comments/d88vec/m0111_motie_tot_horecadienstplicht/","M0111")</f>
        <v>M0111</v>
      </c>
      <c r="E5" s="124" t="str">
        <f>HYPERLINK("https://www.reddit.com/r/RMTK/comments/d8u34t/m0112_motie_tot_het_stimuleren_van_de_bouw_van/","M0112")</f>
        <v>M0112</v>
      </c>
      <c r="F5" s="124" t="str">
        <f>HYPERLINK("https://www.reddit.com/r/RMTK/comments/dit9bu/w0041i_amendement_belastingwet_meervoudig/","W0041-I")</f>
        <v>W0041-I</v>
      </c>
      <c r="G5" s="124" t="str">
        <f>HYPERLINK("https://www.reddit.com/r/RMTK/comments/djbute/w0042i_amendement_wet_tot_goedkeuring_aankoop/","W0042-I")</f>
        <v>W0042-I</v>
      </c>
      <c r="H5" s="124" t="str">
        <f>HYPERLINK("https://www.reddit.com/r/RMTK/comments/d2a3yu/w0039_wetsvoorstel_versoepeling_opiumwet/","W0039")</f>
        <v>W0039</v>
      </c>
      <c r="I5" s="124" t="str">
        <f>HYPERLINK("https://www.reddit.com/r/RMTK/comments/d9pe1o/w0043_wijziging_wetboek_van_strafrecht_artikel_23/","W0043")</f>
        <v>W0043</v>
      </c>
      <c r="J5" s="124" t="str">
        <f>HYPERLINK("https://www.reddit.com/r/RMTK/comments/djsqad/m0114_motie_omtrent_het_mogelijke_finse/","M0114")</f>
        <v>M0114</v>
      </c>
      <c r="K5" s="124" t="str">
        <f>HYPERLINK("https://www.reddit.com/r/RMTK/comments/dkz8sk/m0115_motie_van_treurnis_omtrent_de_voornemens/","M0115")</f>
        <v>M0115</v>
      </c>
      <c r="L5" s="124" t="str">
        <f>HYPERLINK("https://www.reddit.com/r/RMTK/comments/dml67f/m0116_motie_tot_verlaging_van_de_aowleeftijd_naar/","M0116")</f>
        <v>M0116</v>
      </c>
      <c r="M5" s="124" t="str">
        <f>HYPERLINK("https://www.reddit.com/r/RMTK/comments/d88tka/w0041_belastingwet_meervoudig_woningbezit/","W0041")</f>
        <v>W0041</v>
      </c>
      <c r="N5" s="124" t="str">
        <f>HYPERLINK("https://www.reddit.com/r/RMTK/comments/d93cgv/w0042_wet_tot_goedkeuring_aankoop_vijf_f35a_2019/","W0042")</f>
        <v>W0042</v>
      </c>
      <c r="O5" s="124" t="str">
        <f>HYPERLINK("https://www.reddit.com/r/RMTK/comments/dkz3ba/w0043_intrekkingswet_accijnswet/","W0044")</f>
        <v>W0044</v>
      </c>
      <c r="P5" s="124" t="str">
        <f>HYPERLINK("https://www.reddit.com/r/RMTK/comments/dm1lyl/w0044_noodwet_stikfstofverbindingsproblematiek/","W0045")</f>
        <v>W0045</v>
      </c>
      <c r="Q5" s="124" t="str">
        <f>HYPERLINK("https://www.reddit.com/r/RMTK/comments/dotujc/m0117_motie_omtrent_een_bindend_correctief/","M0117")</f>
        <v>M0117</v>
      </c>
      <c r="R5" s="124" t="str">
        <f>HYPERLINK("https://www.reddit.com/r/RMTK/comments/dp857b/m0118_motie_tot_het_maken_van_een_vrije_dag_van/","M0118")</f>
        <v>M0118</v>
      </c>
      <c r="S5" s="124" t="str">
        <f>HYPERLINK("https://www.reddit.com/r/RMTK/comments/dpnpjp/m0119_motie_tot_toevoeging/","M0119")</f>
        <v>M0119</v>
      </c>
      <c r="T5" s="124" t="str">
        <f>HYPERLINK("https://www.reddit.com/r/RMTK/comments/drl0sa/m0120_motie_tot_de_aanpak_van_intensieve/","M0120")</f>
        <v>M0120</v>
      </c>
      <c r="U5" s="124" t="str">
        <f>HYPERLINK("https://www.reddit.com/r/RMTK/comments/dt2s9z/m0121_motie_aangaande_het_opschorten_van_het/","M0121")</f>
        <v>M0121</v>
      </c>
      <c r="V5" s="124" t="str">
        <f>HYPERLINK("https://www.reddit.com/r/RMTK/comments/ds2nrf/w0046_rijksbegroting_2020_buitenlandse_zaken/","W0046")</f>
        <v>W0046</v>
      </c>
      <c r="W5" s="124" t="str">
        <f>HYPERLINK("https://www.reddit.com/r/RMTK/comments/ds2nu7/w0047_rijksbegroting_2020_defensie_en/","W0047")</f>
        <v>W0047</v>
      </c>
      <c r="X5" s="124" t="str">
        <f>HYPERLINK("https://www.reddit.com/r/RMTK/comments/dtj67r/w0048i_amendement_sanctiewet_republiek_turkije/","W0048-I")</f>
        <v>W0048-I</v>
      </c>
      <c r="Y5" s="124" t="str">
        <f>HYPERLINK("https://www.reddit.com/r/RMTK/comments/dtjaf2/amendement_sanctiewet_republiek_turkije_turkse/","W0048-II")</f>
        <v>W0048-II</v>
      </c>
      <c r="Z5" s="124" t="str">
        <f>HYPERLINK("https://www.reddit.com/r/RMTK/comments/duvmyy/m0122_motie_tot_een_totaalverbod_op/","M0122")</f>
        <v>M0122</v>
      </c>
      <c r="AA5" s="124" t="str">
        <f>HYPERLINK("https://www.reddit.com/r/RMTK/comments/dvhfjp/w0049_wetswijziging_tot_toestaan_polyamorisch/","W0049")</f>
        <v>W0049</v>
      </c>
      <c r="AB5" s="124" t="str">
        <f>HYPERLINK("https://www.reddit.com/r/RMTK/comments/dvxgay/w0050_intrekkingswetsvoorstel_wetswijzing/","W0050")</f>
        <v>W0050</v>
      </c>
      <c r="AC5" s="124" t="str">
        <f>HYPERLINK("https://www.reddit.com/r/RMTK/comments/dwce3f/w0051_wijziging_van_de_grondwet_vanwege_het/","W0051")</f>
        <v>W0051</v>
      </c>
      <c r="AD5" s="124" t="str">
        <f>hyperlink("https://www.reddit.com/r/RMTK/comments/e0q3ef/w0048_sanctiewet_republiek_turkije_2019/?","W0048")</f>
        <v>W0048</v>
      </c>
      <c r="AE5" s="124" t="str">
        <f>hyperlink("https://www.reddit.com/r/RMTK/comments/dy8slq/w0052_wetswijziging_ter_afschaffing_van_de/","W0052")</f>
        <v>W0052</v>
      </c>
      <c r="AF5" s="124" t="str">
        <f>hyperlink("https://www.reddit.com/r/RMTK/comments/dynhk0/m0124_motie_tot_onderzoek_naar_gedecentraliseerde/","M0124")</f>
        <v>M0124</v>
      </c>
      <c r="AG5" s="124" t="str">
        <f>hyperlink("https://www.reddit.com/r/RMTK/comments/dz8jqi/m0125_motie_tot_terughalen_irak_en_syri%C3%ABgangers/","M0125")</f>
        <v>M0125</v>
      </c>
      <c r="AH5" s="124" t="str">
        <f>hyperlink("https://www.reddit.com/r/RMTK/comments/dzl2ov/w0053_wet_bestrijding_friese_terreur/","W0053")</f>
        <v>W0053</v>
      </c>
      <c r="AI5" s="124" t="str">
        <f>hyperlink("https://www.reddit.com/r/RMTK/comments/dzpvs1/m0130_motie_van_wantrouwen_jegens_kabinet_house/","M0130")</f>
        <v>M0130</v>
      </c>
    </row>
    <row r="6" ht="6.0" customHeight="1">
      <c r="A6" s="128"/>
      <c r="B6" s="129"/>
      <c r="C6" s="129"/>
      <c r="D6" s="130"/>
      <c r="E6" s="131"/>
      <c r="F6" s="131"/>
      <c r="G6" s="131"/>
      <c r="H6" s="131"/>
      <c r="I6" s="131"/>
      <c r="J6" s="131"/>
      <c r="K6" s="131"/>
      <c r="L6" s="131"/>
      <c r="M6" s="131"/>
      <c r="N6" s="131"/>
      <c r="O6" s="131"/>
      <c r="P6" s="131"/>
      <c r="Q6" s="131"/>
      <c r="R6" s="131"/>
      <c r="S6" s="131"/>
      <c r="T6" s="131"/>
      <c r="U6" s="131"/>
      <c r="V6" s="131"/>
      <c r="W6" s="131"/>
      <c r="X6" s="131"/>
      <c r="Y6" s="131"/>
      <c r="Z6" s="131"/>
      <c r="AA6" s="131"/>
      <c r="AB6" s="131"/>
      <c r="AC6" s="131"/>
      <c r="AD6" s="131"/>
      <c r="AE6" s="131"/>
      <c r="AF6" s="131"/>
      <c r="AG6" s="131"/>
      <c r="AH6" s="131"/>
      <c r="AI6" s="131"/>
    </row>
    <row r="7" ht="18.75" customHeight="1">
      <c r="A7" s="138" t="s">
        <v>1645</v>
      </c>
      <c r="B7" s="1980" t="s">
        <v>740</v>
      </c>
      <c r="C7" s="2096" t="s">
        <v>578</v>
      </c>
      <c r="D7" s="141" t="s">
        <v>109</v>
      </c>
      <c r="E7" s="141" t="s">
        <v>110</v>
      </c>
      <c r="F7" s="141" t="s">
        <v>110</v>
      </c>
      <c r="G7" s="141" t="s">
        <v>109</v>
      </c>
      <c r="H7" s="141" t="s">
        <v>110</v>
      </c>
      <c r="I7" s="144" t="s">
        <v>110</v>
      </c>
      <c r="J7" s="141" t="s">
        <v>109</v>
      </c>
      <c r="K7" s="141" t="s">
        <v>109</v>
      </c>
      <c r="L7" s="141" t="s">
        <v>109</v>
      </c>
      <c r="M7" s="141" t="s">
        <v>110</v>
      </c>
      <c r="N7" s="141" t="s">
        <v>110</v>
      </c>
      <c r="O7" s="141" t="s">
        <v>109</v>
      </c>
      <c r="P7" s="144" t="s">
        <v>110</v>
      </c>
      <c r="Q7" s="141" t="s">
        <v>109</v>
      </c>
      <c r="R7" s="141" t="s">
        <v>110</v>
      </c>
      <c r="S7" s="144" t="s">
        <v>110</v>
      </c>
      <c r="T7" s="141" t="s">
        <v>108</v>
      </c>
      <c r="U7" s="141" t="s">
        <v>108</v>
      </c>
      <c r="V7" s="141" t="s">
        <v>108</v>
      </c>
      <c r="W7" s="144" t="s">
        <v>108</v>
      </c>
      <c r="X7" s="141" t="s">
        <v>108</v>
      </c>
      <c r="Y7" s="141" t="s">
        <v>108</v>
      </c>
      <c r="Z7" s="141" t="s">
        <v>108</v>
      </c>
      <c r="AA7" s="141" t="s">
        <v>108</v>
      </c>
      <c r="AB7" s="141" t="s">
        <v>108</v>
      </c>
      <c r="AC7" s="144" t="s">
        <v>108</v>
      </c>
      <c r="AD7" s="150" t="s">
        <v>108</v>
      </c>
      <c r="AE7" s="149" t="s">
        <v>108</v>
      </c>
      <c r="AF7" s="149" t="s">
        <v>108</v>
      </c>
      <c r="AG7" s="149" t="s">
        <v>108</v>
      </c>
      <c r="AH7" s="149" t="s">
        <v>108</v>
      </c>
      <c r="AI7" s="1970" t="s">
        <v>108</v>
      </c>
    </row>
    <row r="8" ht="18.75" customHeight="1">
      <c r="A8" s="147"/>
      <c r="B8" s="115"/>
      <c r="C8" s="1981" t="s">
        <v>122</v>
      </c>
      <c r="D8" s="141" t="s">
        <v>109</v>
      </c>
      <c r="E8" s="141" t="s">
        <v>110</v>
      </c>
      <c r="F8" s="141" t="s">
        <v>110</v>
      </c>
      <c r="G8" s="141" t="s">
        <v>109</v>
      </c>
      <c r="H8" s="141" t="s">
        <v>110</v>
      </c>
      <c r="I8" s="144" t="s">
        <v>110</v>
      </c>
      <c r="J8" s="141" t="s">
        <v>117</v>
      </c>
      <c r="K8" s="141" t="s">
        <v>109</v>
      </c>
      <c r="L8" s="141" t="s">
        <v>109</v>
      </c>
      <c r="M8" s="141" t="s">
        <v>110</v>
      </c>
      <c r="N8" s="141" t="s">
        <v>110</v>
      </c>
      <c r="O8" s="141" t="s">
        <v>109</v>
      </c>
      <c r="P8" s="144" t="s">
        <v>110</v>
      </c>
      <c r="Q8" s="141" t="s">
        <v>109</v>
      </c>
      <c r="R8" s="141" t="s">
        <v>110</v>
      </c>
      <c r="S8" s="144" t="s">
        <v>110</v>
      </c>
      <c r="T8" s="141" t="s">
        <v>110</v>
      </c>
      <c r="U8" s="141" t="s">
        <v>110</v>
      </c>
      <c r="V8" s="141" t="s">
        <v>110</v>
      </c>
      <c r="W8" s="144" t="s">
        <v>110</v>
      </c>
      <c r="X8" s="141" t="s">
        <v>110</v>
      </c>
      <c r="Y8" s="141" t="s">
        <v>110</v>
      </c>
      <c r="Z8" s="141" t="s">
        <v>109</v>
      </c>
      <c r="AA8" s="141" t="s">
        <v>110</v>
      </c>
      <c r="AB8" s="141" t="s">
        <v>110</v>
      </c>
      <c r="AC8" s="144" t="s">
        <v>109</v>
      </c>
      <c r="AD8" s="141" t="s">
        <v>110</v>
      </c>
      <c r="AE8" s="141" t="s">
        <v>110</v>
      </c>
      <c r="AF8" s="141" t="s">
        <v>110</v>
      </c>
      <c r="AG8" s="141" t="s">
        <v>109</v>
      </c>
      <c r="AH8" s="141" t="s">
        <v>109</v>
      </c>
      <c r="AI8" s="141" t="s">
        <v>109</v>
      </c>
    </row>
    <row r="9" ht="18.75" customHeight="1">
      <c r="A9" s="147"/>
      <c r="B9" s="115"/>
      <c r="C9" s="2096" t="s">
        <v>617</v>
      </c>
      <c r="D9" s="141" t="s">
        <v>109</v>
      </c>
      <c r="E9" s="141" t="s">
        <v>110</v>
      </c>
      <c r="F9" s="141" t="s">
        <v>110</v>
      </c>
      <c r="G9" s="141" t="s">
        <v>109</v>
      </c>
      <c r="H9" s="141" t="s">
        <v>110</v>
      </c>
      <c r="I9" s="144" t="s">
        <v>110</v>
      </c>
      <c r="J9" s="141" t="s">
        <v>108</v>
      </c>
      <c r="K9" s="141" t="s">
        <v>108</v>
      </c>
      <c r="L9" s="141" t="s">
        <v>108</v>
      </c>
      <c r="M9" s="141" t="s">
        <v>108</v>
      </c>
      <c r="N9" s="141" t="s">
        <v>108</v>
      </c>
      <c r="O9" s="141" t="s">
        <v>108</v>
      </c>
      <c r="P9" s="144" t="s">
        <v>108</v>
      </c>
      <c r="Q9" s="141" t="s">
        <v>119</v>
      </c>
      <c r="R9" s="141" t="s">
        <v>119</v>
      </c>
      <c r="S9" s="144" t="s">
        <v>119</v>
      </c>
      <c r="T9" s="141" t="s">
        <v>119</v>
      </c>
      <c r="U9" s="141" t="s">
        <v>119</v>
      </c>
      <c r="V9" s="141" t="s">
        <v>119</v>
      </c>
      <c r="W9" s="144" t="s">
        <v>119</v>
      </c>
      <c r="X9" s="141" t="s">
        <v>119</v>
      </c>
      <c r="Y9" s="141" t="s">
        <v>119</v>
      </c>
      <c r="Z9" s="141" t="s">
        <v>119</v>
      </c>
      <c r="AA9" s="141" t="s">
        <v>119</v>
      </c>
      <c r="AB9" s="141" t="s">
        <v>119</v>
      </c>
      <c r="AC9" s="144" t="s">
        <v>119</v>
      </c>
      <c r="AD9" s="141" t="s">
        <v>119</v>
      </c>
      <c r="AE9" s="141" t="s">
        <v>119</v>
      </c>
      <c r="AF9" s="141" t="s">
        <v>119</v>
      </c>
      <c r="AG9" s="141" t="s">
        <v>119</v>
      </c>
      <c r="AH9" s="141" t="s">
        <v>119</v>
      </c>
      <c r="AI9" s="141" t="s">
        <v>119</v>
      </c>
    </row>
    <row r="10" ht="18.75" customHeight="1">
      <c r="A10" s="147"/>
      <c r="B10" s="115"/>
      <c r="C10" s="1983" t="s">
        <v>121</v>
      </c>
      <c r="D10" s="141" t="s">
        <v>119</v>
      </c>
      <c r="E10" s="141" t="s">
        <v>119</v>
      </c>
      <c r="F10" s="141" t="s">
        <v>119</v>
      </c>
      <c r="G10" s="141" t="s">
        <v>119</v>
      </c>
      <c r="H10" s="141" t="s">
        <v>119</v>
      </c>
      <c r="I10" s="144" t="s">
        <v>119</v>
      </c>
      <c r="J10" s="141" t="s">
        <v>119</v>
      </c>
      <c r="K10" s="141" t="s">
        <v>119</v>
      </c>
      <c r="L10" s="141" t="s">
        <v>119</v>
      </c>
      <c r="M10" s="141" t="s">
        <v>119</v>
      </c>
      <c r="N10" s="141" t="s">
        <v>119</v>
      </c>
      <c r="O10" s="141" t="s">
        <v>119</v>
      </c>
      <c r="P10" s="144" t="s">
        <v>119</v>
      </c>
      <c r="Q10" s="141" t="s">
        <v>109</v>
      </c>
      <c r="R10" s="141" t="s">
        <v>110</v>
      </c>
      <c r="S10" s="144" t="s">
        <v>110</v>
      </c>
      <c r="T10" s="141" t="s">
        <v>110</v>
      </c>
      <c r="U10" s="141" t="s">
        <v>109</v>
      </c>
      <c r="V10" s="141" t="s">
        <v>110</v>
      </c>
      <c r="W10" s="144" t="s">
        <v>110</v>
      </c>
      <c r="X10" s="141" t="s">
        <v>109</v>
      </c>
      <c r="Y10" s="141" t="s">
        <v>109</v>
      </c>
      <c r="Z10" s="141" t="s">
        <v>110</v>
      </c>
      <c r="AA10" s="141" t="s">
        <v>109</v>
      </c>
      <c r="AB10" s="141" t="s">
        <v>110</v>
      </c>
      <c r="AC10" s="144" t="s">
        <v>109</v>
      </c>
      <c r="AD10" s="141" t="s">
        <v>109</v>
      </c>
      <c r="AE10" s="141" t="s">
        <v>109</v>
      </c>
      <c r="AF10" s="141" t="s">
        <v>110</v>
      </c>
      <c r="AG10" s="141" t="s">
        <v>110</v>
      </c>
      <c r="AH10" s="141" t="s">
        <v>109</v>
      </c>
      <c r="AI10" s="141" t="s">
        <v>109</v>
      </c>
    </row>
    <row r="11" ht="18.75" customHeight="1">
      <c r="A11" s="147"/>
      <c r="B11" s="115"/>
      <c r="C11" s="1984" t="s">
        <v>1280</v>
      </c>
      <c r="D11" s="141" t="s">
        <v>109</v>
      </c>
      <c r="E11" s="141" t="s">
        <v>110</v>
      </c>
      <c r="F11" s="141" t="s">
        <v>110</v>
      </c>
      <c r="G11" s="141" t="s">
        <v>109</v>
      </c>
      <c r="H11" s="141" t="s">
        <v>110</v>
      </c>
      <c r="I11" s="144" t="s">
        <v>110</v>
      </c>
      <c r="J11" s="141" t="s">
        <v>109</v>
      </c>
      <c r="K11" s="141" t="s">
        <v>109</v>
      </c>
      <c r="L11" s="141" t="s">
        <v>109</v>
      </c>
      <c r="M11" s="141" t="s">
        <v>110</v>
      </c>
      <c r="N11" s="141" t="s">
        <v>110</v>
      </c>
      <c r="O11" s="141" t="s">
        <v>109</v>
      </c>
      <c r="P11" s="144" t="s">
        <v>110</v>
      </c>
      <c r="Q11" s="141" t="s">
        <v>109</v>
      </c>
      <c r="R11" s="141" t="s">
        <v>110</v>
      </c>
      <c r="S11" s="144" t="s">
        <v>110</v>
      </c>
      <c r="T11" s="141" t="s">
        <v>110</v>
      </c>
      <c r="U11" s="141" t="s">
        <v>110</v>
      </c>
      <c r="V11" s="141" t="s">
        <v>110</v>
      </c>
      <c r="W11" s="144" t="s">
        <v>110</v>
      </c>
      <c r="X11" s="141" t="s">
        <v>110</v>
      </c>
      <c r="Y11" s="141" t="s">
        <v>110</v>
      </c>
      <c r="Z11" s="141" t="s">
        <v>109</v>
      </c>
      <c r="AA11" s="141" t="s">
        <v>109</v>
      </c>
      <c r="AB11" s="141" t="s">
        <v>110</v>
      </c>
      <c r="AC11" s="144" t="s">
        <v>109</v>
      </c>
      <c r="AD11" s="141" t="s">
        <v>108</v>
      </c>
      <c r="AE11" s="141" t="s">
        <v>108</v>
      </c>
      <c r="AF11" s="141" t="s">
        <v>108</v>
      </c>
      <c r="AG11" s="141" t="s">
        <v>108</v>
      </c>
      <c r="AH11" s="141" t="s">
        <v>108</v>
      </c>
      <c r="AI11" s="141" t="s">
        <v>108</v>
      </c>
    </row>
    <row r="12" ht="18.75" customHeight="1">
      <c r="A12" s="147"/>
      <c r="B12" s="2097" t="s">
        <v>461</v>
      </c>
      <c r="C12" s="2098" t="s">
        <v>673</v>
      </c>
      <c r="D12" s="141" t="s">
        <v>109</v>
      </c>
      <c r="E12" s="141" t="s">
        <v>110</v>
      </c>
      <c r="F12" s="141" t="s">
        <v>110</v>
      </c>
      <c r="G12" s="141" t="s">
        <v>109</v>
      </c>
      <c r="H12" s="141" t="s">
        <v>110</v>
      </c>
      <c r="I12" s="144" t="s">
        <v>110</v>
      </c>
      <c r="J12" s="141" t="s">
        <v>110</v>
      </c>
      <c r="K12" s="141" t="s">
        <v>109</v>
      </c>
      <c r="L12" s="141" t="s">
        <v>109</v>
      </c>
      <c r="M12" s="141" t="s">
        <v>110</v>
      </c>
      <c r="N12" s="141" t="s">
        <v>110</v>
      </c>
      <c r="O12" s="141" t="s">
        <v>109</v>
      </c>
      <c r="P12" s="144" t="s">
        <v>110</v>
      </c>
      <c r="Q12" s="141" t="s">
        <v>109</v>
      </c>
      <c r="R12" s="141" t="s">
        <v>110</v>
      </c>
      <c r="S12" s="144" t="s">
        <v>110</v>
      </c>
      <c r="T12" s="141" t="s">
        <v>110</v>
      </c>
      <c r="U12" s="141" t="s">
        <v>110</v>
      </c>
      <c r="V12" s="141" t="s">
        <v>110</v>
      </c>
      <c r="W12" s="144" t="s">
        <v>110</v>
      </c>
      <c r="X12" s="141" t="s">
        <v>119</v>
      </c>
      <c r="Y12" s="141" t="s">
        <v>119</v>
      </c>
      <c r="Z12" s="141" t="s">
        <v>119</v>
      </c>
      <c r="AA12" s="141" t="s">
        <v>119</v>
      </c>
      <c r="AB12" s="141" t="s">
        <v>119</v>
      </c>
      <c r="AC12" s="144" t="s">
        <v>119</v>
      </c>
      <c r="AD12" s="141" t="s">
        <v>119</v>
      </c>
      <c r="AE12" s="141" t="s">
        <v>119</v>
      </c>
      <c r="AF12" s="141" t="s">
        <v>119</v>
      </c>
      <c r="AG12" s="141" t="s">
        <v>119</v>
      </c>
      <c r="AH12" s="141" t="s">
        <v>119</v>
      </c>
      <c r="AI12" s="141" t="s">
        <v>119</v>
      </c>
    </row>
    <row r="13" ht="18.75" customHeight="1">
      <c r="A13" s="147"/>
      <c r="B13" s="115"/>
      <c r="C13" s="2099" t="s">
        <v>1646</v>
      </c>
      <c r="D13" s="141" t="s">
        <v>119</v>
      </c>
      <c r="E13" s="141" t="s">
        <v>119</v>
      </c>
      <c r="F13" s="141" t="s">
        <v>119</v>
      </c>
      <c r="G13" s="141" t="s">
        <v>119</v>
      </c>
      <c r="H13" s="141" t="s">
        <v>119</v>
      </c>
      <c r="I13" s="144" t="s">
        <v>119</v>
      </c>
      <c r="J13" s="141" t="s">
        <v>119</v>
      </c>
      <c r="K13" s="141" t="s">
        <v>119</v>
      </c>
      <c r="L13" s="141" t="s">
        <v>119</v>
      </c>
      <c r="M13" s="141" t="s">
        <v>119</v>
      </c>
      <c r="N13" s="141" t="s">
        <v>119</v>
      </c>
      <c r="O13" s="141" t="s">
        <v>119</v>
      </c>
      <c r="P13" s="144" t="s">
        <v>119</v>
      </c>
      <c r="Q13" s="141" t="s">
        <v>119</v>
      </c>
      <c r="R13" s="141" t="s">
        <v>119</v>
      </c>
      <c r="S13" s="144" t="s">
        <v>119</v>
      </c>
      <c r="T13" s="141" t="s">
        <v>119</v>
      </c>
      <c r="U13" s="141" t="s">
        <v>119</v>
      </c>
      <c r="V13" s="141" t="s">
        <v>119</v>
      </c>
      <c r="W13" s="144" t="s">
        <v>119</v>
      </c>
      <c r="X13" s="141" t="s">
        <v>108</v>
      </c>
      <c r="Y13" s="141" t="s">
        <v>108</v>
      </c>
      <c r="Z13" s="141" t="s">
        <v>108</v>
      </c>
      <c r="AA13" s="141" t="s">
        <v>108</v>
      </c>
      <c r="AB13" s="141" t="s">
        <v>108</v>
      </c>
      <c r="AC13" s="144" t="s">
        <v>108</v>
      </c>
      <c r="AD13" s="141" t="s">
        <v>108</v>
      </c>
      <c r="AE13" s="141" t="s">
        <v>108</v>
      </c>
      <c r="AF13" s="141" t="s">
        <v>108</v>
      </c>
      <c r="AG13" s="141" t="s">
        <v>108</v>
      </c>
      <c r="AH13" s="141" t="s">
        <v>108</v>
      </c>
      <c r="AI13" s="141" t="s">
        <v>108</v>
      </c>
    </row>
    <row r="14" ht="18.75" customHeight="1">
      <c r="A14" s="147"/>
      <c r="B14" s="115"/>
      <c r="C14" s="2100" t="s">
        <v>662</v>
      </c>
      <c r="D14" s="141" t="s">
        <v>109</v>
      </c>
      <c r="E14" s="141" t="s">
        <v>110</v>
      </c>
      <c r="F14" s="141" t="s">
        <v>110</v>
      </c>
      <c r="G14" s="141" t="s">
        <v>109</v>
      </c>
      <c r="H14" s="141" t="s">
        <v>110</v>
      </c>
      <c r="I14" s="144" t="s">
        <v>117</v>
      </c>
      <c r="J14" s="141" t="s">
        <v>110</v>
      </c>
      <c r="K14" s="141" t="s">
        <v>109</v>
      </c>
      <c r="L14" s="141" t="s">
        <v>109</v>
      </c>
      <c r="M14" s="141" t="s">
        <v>110</v>
      </c>
      <c r="N14" s="141" t="s">
        <v>110</v>
      </c>
      <c r="O14" s="141" t="s">
        <v>109</v>
      </c>
      <c r="P14" s="144" t="s">
        <v>110</v>
      </c>
      <c r="Q14" s="141" t="s">
        <v>109</v>
      </c>
      <c r="R14" s="141" t="s">
        <v>110</v>
      </c>
      <c r="S14" s="144" t="s">
        <v>110</v>
      </c>
      <c r="T14" s="141" t="s">
        <v>110</v>
      </c>
      <c r="U14" s="141" t="s">
        <v>110</v>
      </c>
      <c r="V14" s="141" t="s">
        <v>110</v>
      </c>
      <c r="W14" s="144" t="s">
        <v>110</v>
      </c>
      <c r="X14" s="141" t="s">
        <v>117</v>
      </c>
      <c r="Y14" s="141" t="s">
        <v>110</v>
      </c>
      <c r="Z14" s="141" t="s">
        <v>110</v>
      </c>
      <c r="AA14" s="141" t="s">
        <v>110</v>
      </c>
      <c r="AB14" s="141" t="s">
        <v>110</v>
      </c>
      <c r="AC14" s="144" t="s">
        <v>109</v>
      </c>
      <c r="AD14" s="141" t="s">
        <v>110</v>
      </c>
      <c r="AE14" s="141" t="s">
        <v>110</v>
      </c>
      <c r="AF14" s="141" t="s">
        <v>110</v>
      </c>
      <c r="AG14" s="141" t="s">
        <v>110</v>
      </c>
      <c r="AH14" s="141" t="s">
        <v>109</v>
      </c>
      <c r="AI14" s="141" t="s">
        <v>109</v>
      </c>
    </row>
    <row r="15" ht="18.75" customHeight="1">
      <c r="A15" s="147"/>
      <c r="B15" s="115"/>
      <c r="C15" s="2098" t="s">
        <v>1287</v>
      </c>
      <c r="D15" s="141" t="s">
        <v>108</v>
      </c>
      <c r="E15" s="141" t="s">
        <v>108</v>
      </c>
      <c r="F15" s="141" t="s">
        <v>108</v>
      </c>
      <c r="G15" s="141" t="s">
        <v>108</v>
      </c>
      <c r="H15" s="141" t="s">
        <v>108</v>
      </c>
      <c r="I15" s="144" t="s">
        <v>108</v>
      </c>
      <c r="J15" s="141" t="s">
        <v>108</v>
      </c>
      <c r="K15" s="141" t="s">
        <v>108</v>
      </c>
      <c r="L15" s="141" t="s">
        <v>108</v>
      </c>
      <c r="M15" s="141" t="s">
        <v>108</v>
      </c>
      <c r="N15" s="141" t="s">
        <v>108</v>
      </c>
      <c r="O15" s="141" t="s">
        <v>108</v>
      </c>
      <c r="P15" s="144" t="s">
        <v>108</v>
      </c>
      <c r="Q15" s="141" t="s">
        <v>108</v>
      </c>
      <c r="R15" s="141" t="s">
        <v>108</v>
      </c>
      <c r="S15" s="144" t="s">
        <v>108</v>
      </c>
      <c r="T15" s="141" t="s">
        <v>108</v>
      </c>
      <c r="U15" s="141" t="s">
        <v>108</v>
      </c>
      <c r="V15" s="141" t="s">
        <v>108</v>
      </c>
      <c r="W15" s="144" t="s">
        <v>108</v>
      </c>
      <c r="X15" s="141" t="s">
        <v>108</v>
      </c>
      <c r="Y15" s="141" t="s">
        <v>108</v>
      </c>
      <c r="Z15" s="141" t="s">
        <v>108</v>
      </c>
      <c r="AA15" s="141" t="s">
        <v>108</v>
      </c>
      <c r="AB15" s="141" t="s">
        <v>108</v>
      </c>
      <c r="AC15" s="144" t="s">
        <v>108</v>
      </c>
      <c r="AD15" s="141" t="s">
        <v>119</v>
      </c>
      <c r="AE15" s="141" t="s">
        <v>119</v>
      </c>
      <c r="AF15" s="141" t="s">
        <v>119</v>
      </c>
      <c r="AG15" s="141" t="s">
        <v>119</v>
      </c>
      <c r="AH15" s="141" t="s">
        <v>119</v>
      </c>
      <c r="AI15" s="141" t="s">
        <v>119</v>
      </c>
    </row>
    <row r="16" ht="18.75" customHeight="1">
      <c r="A16" s="147"/>
      <c r="B16" s="115"/>
      <c r="C16" s="2099" t="s">
        <v>1116</v>
      </c>
      <c r="D16" s="141" t="s">
        <v>119</v>
      </c>
      <c r="E16" s="141" t="s">
        <v>119</v>
      </c>
      <c r="F16" s="141" t="s">
        <v>119</v>
      </c>
      <c r="G16" s="141" t="s">
        <v>119</v>
      </c>
      <c r="H16" s="141" t="s">
        <v>119</v>
      </c>
      <c r="I16" s="144" t="s">
        <v>119</v>
      </c>
      <c r="J16" s="141" t="s">
        <v>119</v>
      </c>
      <c r="K16" s="141" t="s">
        <v>119</v>
      </c>
      <c r="L16" s="141" t="s">
        <v>119</v>
      </c>
      <c r="M16" s="141" t="s">
        <v>119</v>
      </c>
      <c r="N16" s="141" t="s">
        <v>119</v>
      </c>
      <c r="O16" s="141" t="s">
        <v>119</v>
      </c>
      <c r="P16" s="144" t="s">
        <v>119</v>
      </c>
      <c r="Q16" s="141" t="s">
        <v>119</v>
      </c>
      <c r="R16" s="141" t="s">
        <v>119</v>
      </c>
      <c r="S16" s="144" t="s">
        <v>119</v>
      </c>
      <c r="T16" s="141" t="s">
        <v>119</v>
      </c>
      <c r="U16" s="141" t="s">
        <v>119</v>
      </c>
      <c r="V16" s="141" t="s">
        <v>119</v>
      </c>
      <c r="W16" s="144" t="s">
        <v>119</v>
      </c>
      <c r="X16" s="141" t="s">
        <v>119</v>
      </c>
      <c r="Y16" s="141" t="s">
        <v>119</v>
      </c>
      <c r="Z16" s="141" t="s">
        <v>119</v>
      </c>
      <c r="AA16" s="141" t="s">
        <v>119</v>
      </c>
      <c r="AB16" s="141" t="s">
        <v>119</v>
      </c>
      <c r="AC16" s="144" t="s">
        <v>119</v>
      </c>
      <c r="AD16" s="141" t="s">
        <v>108</v>
      </c>
      <c r="AE16" s="141" t="s">
        <v>108</v>
      </c>
      <c r="AF16" s="141" t="s">
        <v>108</v>
      </c>
      <c r="AG16" s="141" t="s">
        <v>108</v>
      </c>
      <c r="AH16" s="141" t="s">
        <v>108</v>
      </c>
      <c r="AI16" s="141" t="s">
        <v>108</v>
      </c>
    </row>
    <row r="17" ht="18.75" customHeight="1">
      <c r="A17" s="147"/>
      <c r="B17" s="115"/>
      <c r="C17" s="2098" t="s">
        <v>1289</v>
      </c>
      <c r="D17" s="141" t="s">
        <v>108</v>
      </c>
      <c r="E17" s="141" t="s">
        <v>108</v>
      </c>
      <c r="F17" s="141" t="s">
        <v>108</v>
      </c>
      <c r="G17" s="141" t="s">
        <v>108</v>
      </c>
      <c r="H17" s="141" t="s">
        <v>108</v>
      </c>
      <c r="I17" s="144" t="s">
        <v>108</v>
      </c>
      <c r="J17" s="141" t="s">
        <v>119</v>
      </c>
      <c r="K17" s="141" t="s">
        <v>119</v>
      </c>
      <c r="L17" s="141" t="s">
        <v>119</v>
      </c>
      <c r="M17" s="141" t="s">
        <v>119</v>
      </c>
      <c r="N17" s="141" t="s">
        <v>119</v>
      </c>
      <c r="O17" s="141" t="s">
        <v>119</v>
      </c>
      <c r="P17" s="144" t="s">
        <v>119</v>
      </c>
      <c r="Q17" s="141" t="s">
        <v>119</v>
      </c>
      <c r="R17" s="141" t="s">
        <v>119</v>
      </c>
      <c r="S17" s="144" t="s">
        <v>119</v>
      </c>
      <c r="T17" s="141" t="s">
        <v>119</v>
      </c>
      <c r="U17" s="141" t="s">
        <v>119</v>
      </c>
      <c r="V17" s="141" t="s">
        <v>119</v>
      </c>
      <c r="W17" s="144" t="s">
        <v>119</v>
      </c>
      <c r="X17" s="141" t="s">
        <v>119</v>
      </c>
      <c r="Y17" s="141" t="s">
        <v>119</v>
      </c>
      <c r="Z17" s="141" t="s">
        <v>119</v>
      </c>
      <c r="AA17" s="141" t="s">
        <v>119</v>
      </c>
      <c r="AB17" s="141" t="s">
        <v>119</v>
      </c>
      <c r="AC17" s="144" t="s">
        <v>119</v>
      </c>
      <c r="AD17" s="141" t="s">
        <v>119</v>
      </c>
      <c r="AE17" s="141" t="s">
        <v>119</v>
      </c>
      <c r="AF17" s="141" t="s">
        <v>119</v>
      </c>
      <c r="AG17" s="141" t="s">
        <v>119</v>
      </c>
      <c r="AH17" s="141" t="s">
        <v>119</v>
      </c>
      <c r="AI17" s="141" t="s">
        <v>119</v>
      </c>
    </row>
    <row r="18" ht="18.75" customHeight="1">
      <c r="A18" s="147"/>
      <c r="B18" s="115"/>
      <c r="C18" s="2101" t="s">
        <v>982</v>
      </c>
      <c r="D18" s="141" t="s">
        <v>119</v>
      </c>
      <c r="E18" s="141" t="s">
        <v>119</v>
      </c>
      <c r="F18" s="141" t="s">
        <v>119</v>
      </c>
      <c r="G18" s="141" t="s">
        <v>119</v>
      </c>
      <c r="H18" s="141" t="s">
        <v>119</v>
      </c>
      <c r="I18" s="144" t="s">
        <v>119</v>
      </c>
      <c r="J18" s="141" t="s">
        <v>110</v>
      </c>
      <c r="K18" s="141" t="s">
        <v>109</v>
      </c>
      <c r="L18" s="141" t="s">
        <v>109</v>
      </c>
      <c r="M18" s="141" t="s">
        <v>108</v>
      </c>
      <c r="N18" s="141" t="s">
        <v>108</v>
      </c>
      <c r="O18" s="141" t="s">
        <v>109</v>
      </c>
      <c r="P18" s="144" t="s">
        <v>110</v>
      </c>
      <c r="Q18" s="141" t="s">
        <v>109</v>
      </c>
      <c r="R18" s="141" t="s">
        <v>110</v>
      </c>
      <c r="S18" s="144" t="s">
        <v>110</v>
      </c>
      <c r="T18" s="141" t="s">
        <v>110</v>
      </c>
      <c r="U18" s="141" t="s">
        <v>110</v>
      </c>
      <c r="V18" s="141" t="s">
        <v>110</v>
      </c>
      <c r="W18" s="144" t="s">
        <v>110</v>
      </c>
      <c r="X18" s="141" t="s">
        <v>108</v>
      </c>
      <c r="Y18" s="141" t="s">
        <v>108</v>
      </c>
      <c r="Z18" s="141" t="s">
        <v>108</v>
      </c>
      <c r="AA18" s="141" t="s">
        <v>108</v>
      </c>
      <c r="AB18" s="141" t="s">
        <v>108</v>
      </c>
      <c r="AC18" s="144" t="s">
        <v>108</v>
      </c>
      <c r="AD18" s="141" t="s">
        <v>110</v>
      </c>
      <c r="AE18" s="141" t="s">
        <v>110</v>
      </c>
      <c r="AF18" s="141" t="s">
        <v>110</v>
      </c>
      <c r="AG18" s="141" t="s">
        <v>110</v>
      </c>
      <c r="AH18" s="141" t="s">
        <v>109</v>
      </c>
      <c r="AI18" s="141" t="s">
        <v>109</v>
      </c>
    </row>
    <row r="19" ht="18.75" customHeight="1">
      <c r="A19" s="147"/>
      <c r="B19" s="1997" t="s">
        <v>440</v>
      </c>
      <c r="C19" s="2102" t="s">
        <v>1272</v>
      </c>
      <c r="D19" s="141" t="s">
        <v>109</v>
      </c>
      <c r="E19" s="141" t="s">
        <v>110</v>
      </c>
      <c r="F19" s="141" t="s">
        <v>110</v>
      </c>
      <c r="G19" s="141" t="s">
        <v>109</v>
      </c>
      <c r="H19" s="141" t="s">
        <v>109</v>
      </c>
      <c r="I19" s="144" t="s">
        <v>109</v>
      </c>
      <c r="J19" s="141" t="s">
        <v>110</v>
      </c>
      <c r="K19" s="141" t="s">
        <v>109</v>
      </c>
      <c r="L19" s="141" t="s">
        <v>109</v>
      </c>
      <c r="M19" s="141" t="s">
        <v>110</v>
      </c>
      <c r="N19" s="141" t="s">
        <v>110</v>
      </c>
      <c r="O19" s="141" t="s">
        <v>109</v>
      </c>
      <c r="P19" s="144" t="s">
        <v>110</v>
      </c>
      <c r="Q19" s="141" t="s">
        <v>109</v>
      </c>
      <c r="R19" s="141" t="s">
        <v>110</v>
      </c>
      <c r="S19" s="144" t="s">
        <v>110</v>
      </c>
      <c r="T19" s="141" t="s">
        <v>108</v>
      </c>
      <c r="U19" s="141" t="s">
        <v>108</v>
      </c>
      <c r="V19" s="141" t="s">
        <v>108</v>
      </c>
      <c r="W19" s="144" t="s">
        <v>108</v>
      </c>
      <c r="X19" s="141" t="s">
        <v>108</v>
      </c>
      <c r="Y19" s="141" t="s">
        <v>108</v>
      </c>
      <c r="Z19" s="141" t="s">
        <v>108</v>
      </c>
      <c r="AA19" s="141" t="s">
        <v>108</v>
      </c>
      <c r="AB19" s="141" t="s">
        <v>108</v>
      </c>
      <c r="AC19" s="144" t="s">
        <v>108</v>
      </c>
      <c r="AD19" s="141" t="s">
        <v>119</v>
      </c>
      <c r="AE19" s="141" t="s">
        <v>119</v>
      </c>
      <c r="AF19" s="141" t="s">
        <v>119</v>
      </c>
      <c r="AG19" s="141" t="s">
        <v>119</v>
      </c>
      <c r="AH19" s="141" t="s">
        <v>119</v>
      </c>
      <c r="AI19" s="141" t="s">
        <v>119</v>
      </c>
    </row>
    <row r="20" ht="18.75" customHeight="1">
      <c r="A20" s="147"/>
      <c r="B20" s="644"/>
      <c r="C20" s="2002" t="s">
        <v>1271</v>
      </c>
      <c r="D20" s="141" t="s">
        <v>119</v>
      </c>
      <c r="E20" s="141" t="s">
        <v>119</v>
      </c>
      <c r="F20" s="141" t="s">
        <v>119</v>
      </c>
      <c r="G20" s="141" t="s">
        <v>119</v>
      </c>
      <c r="H20" s="141" t="s">
        <v>119</v>
      </c>
      <c r="I20" s="144" t="s">
        <v>119</v>
      </c>
      <c r="J20" s="141" t="s">
        <v>119</v>
      </c>
      <c r="K20" s="141" t="s">
        <v>119</v>
      </c>
      <c r="L20" s="141" t="s">
        <v>119</v>
      </c>
      <c r="M20" s="141" t="s">
        <v>119</v>
      </c>
      <c r="N20" s="141" t="s">
        <v>119</v>
      </c>
      <c r="O20" s="141" t="s">
        <v>119</v>
      </c>
      <c r="P20" s="144" t="s">
        <v>119</v>
      </c>
      <c r="Q20" s="141" t="s">
        <v>119</v>
      </c>
      <c r="R20" s="141" t="s">
        <v>119</v>
      </c>
      <c r="S20" s="144" t="s">
        <v>119</v>
      </c>
      <c r="T20" s="141" t="s">
        <v>119</v>
      </c>
      <c r="U20" s="141" t="s">
        <v>119</v>
      </c>
      <c r="V20" s="141" t="s">
        <v>119</v>
      </c>
      <c r="W20" s="144" t="s">
        <v>119</v>
      </c>
      <c r="X20" s="141" t="s">
        <v>119</v>
      </c>
      <c r="Y20" s="141" t="s">
        <v>119</v>
      </c>
      <c r="Z20" s="141" t="s">
        <v>119</v>
      </c>
      <c r="AA20" s="141" t="s">
        <v>119</v>
      </c>
      <c r="AB20" s="141" t="s">
        <v>119</v>
      </c>
      <c r="AC20" s="144" t="s">
        <v>119</v>
      </c>
      <c r="AD20" s="141" t="s">
        <v>110</v>
      </c>
      <c r="AE20" s="141" t="s">
        <v>110</v>
      </c>
      <c r="AF20" s="141" t="s">
        <v>110</v>
      </c>
      <c r="AG20" s="141" t="s">
        <v>110</v>
      </c>
      <c r="AH20" s="141" t="s">
        <v>109</v>
      </c>
      <c r="AI20" s="141" t="s">
        <v>109</v>
      </c>
    </row>
    <row r="21" ht="18.75" customHeight="1">
      <c r="A21" s="159"/>
      <c r="B21" s="658"/>
      <c r="C21" s="2003" t="s">
        <v>107</v>
      </c>
      <c r="D21" s="141" t="s">
        <v>109</v>
      </c>
      <c r="E21" s="141" t="s">
        <v>109</v>
      </c>
      <c r="F21" s="141" t="s">
        <v>110</v>
      </c>
      <c r="G21" s="141" t="s">
        <v>109</v>
      </c>
      <c r="H21" s="141" t="s">
        <v>109</v>
      </c>
      <c r="I21" s="144" t="s">
        <v>109</v>
      </c>
      <c r="J21" s="141" t="s">
        <v>108</v>
      </c>
      <c r="K21" s="141" t="s">
        <v>108</v>
      </c>
      <c r="L21" s="141" t="s">
        <v>108</v>
      </c>
      <c r="M21" s="141" t="s">
        <v>108</v>
      </c>
      <c r="N21" s="141" t="s">
        <v>108</v>
      </c>
      <c r="O21" s="141" t="s">
        <v>108</v>
      </c>
      <c r="P21" s="144" t="s">
        <v>108</v>
      </c>
      <c r="Q21" s="141" t="s">
        <v>109</v>
      </c>
      <c r="R21" s="141" t="s">
        <v>110</v>
      </c>
      <c r="S21" s="144" t="s">
        <v>110</v>
      </c>
      <c r="T21" s="141" t="s">
        <v>109</v>
      </c>
      <c r="U21" s="141" t="s">
        <v>110</v>
      </c>
      <c r="V21" s="141" t="s">
        <v>110</v>
      </c>
      <c r="W21" s="144" t="s">
        <v>110</v>
      </c>
      <c r="X21" s="141" t="s">
        <v>110</v>
      </c>
      <c r="Y21" s="141" t="s">
        <v>110</v>
      </c>
      <c r="Z21" s="141" t="s">
        <v>110</v>
      </c>
      <c r="AA21" s="141" t="s">
        <v>117</v>
      </c>
      <c r="AB21" s="141" t="s">
        <v>110</v>
      </c>
      <c r="AC21" s="144" t="s">
        <v>109</v>
      </c>
      <c r="AD21" s="141" t="s">
        <v>110</v>
      </c>
      <c r="AE21" s="141" t="s">
        <v>110</v>
      </c>
      <c r="AF21" s="141" t="s">
        <v>109</v>
      </c>
      <c r="AG21" s="141" t="s">
        <v>110</v>
      </c>
      <c r="AH21" s="141" t="s">
        <v>109</v>
      </c>
      <c r="AI21" s="141" t="s">
        <v>109</v>
      </c>
    </row>
    <row r="22" ht="9.75" customHeight="1">
      <c r="A22" s="160"/>
      <c r="B22" s="161"/>
      <c r="C22" s="161"/>
      <c r="D22" s="1988" t="str">
        <f t="shared" ref="D22:S22" si="1">LINKURL(D5)</f>
        <v>https://www.reddit.com/r/RMTK/comments/d88vec/m0111_motie_tot_horecadienstplicht/</v>
      </c>
      <c r="E22" s="1988" t="str">
        <f t="shared" si="1"/>
        <v>https://www.reddit.com/r/RMTK/comments/d8u34t/m0112_motie_tot_het_stimuleren_van_de_bouw_van/</v>
      </c>
      <c r="F22" s="1988" t="str">
        <f t="shared" si="1"/>
        <v>https://www.reddit.com/r/RMTK/comments/dit9bu/w0041i_amendement_belastingwet_meervoudig/</v>
      </c>
      <c r="G22" s="1988" t="str">
        <f t="shared" si="1"/>
        <v>https://www.reddit.com/r/RMTK/comments/djbute/w0042i_amendement_wet_tot_goedkeuring_aankoop/</v>
      </c>
      <c r="H22" s="1989" t="str">
        <f t="shared" si="1"/>
        <v>https://www.reddit.com/r/RMTK/comments/d2a3yu/w0039_wetsvoorstel_versoepeling_opiumwet/</v>
      </c>
      <c r="I22" s="1988" t="str">
        <f t="shared" si="1"/>
        <v>https://www.reddit.com/r/RMTK/comments/d9pe1o/w0043_wijziging_wetboek_van_strafrecht_artikel_23/</v>
      </c>
      <c r="J22" s="1988" t="str">
        <f t="shared" si="1"/>
        <v>https://www.reddit.com/r/RMTK/comments/djsqad/m0114_motie_omtrent_het_mogelijke_finse/</v>
      </c>
      <c r="K22" s="1989" t="str">
        <f t="shared" si="1"/>
        <v>https://www.reddit.com/r/RMTK/comments/dkz8sk/m0115_motie_van_treurnis_omtrent_de_voornemens/</v>
      </c>
      <c r="L22" s="1988" t="str">
        <f t="shared" si="1"/>
        <v>https://www.reddit.com/r/RMTK/comments/dml67f/m0116_motie_tot_verlaging_van_de_aowleeftijd_naar/</v>
      </c>
      <c r="M22" s="1988" t="str">
        <f t="shared" si="1"/>
        <v>https://www.reddit.com/r/RMTK/comments/d88tka/w0041_belastingwet_meervoudig_woningbezit/</v>
      </c>
      <c r="N22" s="1988" t="str">
        <f t="shared" si="1"/>
        <v>https://www.reddit.com/r/RMTK/comments/d93cgv/w0042_wet_tot_goedkeuring_aankoop_vijf_f35a_2019/</v>
      </c>
      <c r="O22" s="1988" t="str">
        <f t="shared" si="1"/>
        <v>https://www.reddit.com/r/RMTK/comments/dkz3ba/w0043_intrekkingswet_accijnswet/</v>
      </c>
      <c r="P22" s="2103" t="str">
        <f t="shared" si="1"/>
        <v>https://www.reddit.com/r/RMTK/comments/dm1lyl/w0044_noodwet_stikfstofverbindingsproblematiek/</v>
      </c>
      <c r="Q22" s="1988" t="str">
        <f t="shared" si="1"/>
        <v>https://www.reddit.com/r/RMTK/comments/dotujc/m0117_motie_omtrent_een_bindend_correctief/</v>
      </c>
      <c r="R22" s="1988" t="str">
        <f t="shared" si="1"/>
        <v>https://www.reddit.com/r/RMTK/comments/dp857b/m0118_motie_tot_het_maken_van_een_vrije_dag_van/</v>
      </c>
      <c r="S22" s="2103" t="str">
        <f t="shared" si="1"/>
        <v>https://www.reddit.com/r/RMTK/comments/dpnpjp/m0119_motie_tot_toevoeging/</v>
      </c>
      <c r="T22" s="1988" t="s">
        <v>1647</v>
      </c>
      <c r="U22" s="1988" t="s">
        <v>1648</v>
      </c>
      <c r="V22" s="1988" t="s">
        <v>1649</v>
      </c>
      <c r="W22" s="2103" t="s">
        <v>1650</v>
      </c>
      <c r="X22" s="1988" t="s">
        <v>1651</v>
      </c>
      <c r="Y22" s="1988" t="s">
        <v>1652</v>
      </c>
      <c r="Z22" s="1988" t="s">
        <v>1653</v>
      </c>
      <c r="AA22" s="1988" t="s">
        <v>1654</v>
      </c>
      <c r="AB22" s="1989" t="s">
        <v>1655</v>
      </c>
      <c r="AC22" s="2103" t="s">
        <v>1656</v>
      </c>
      <c r="AD22" s="1988" t="str">
        <f t="shared" ref="AD22:AI22" si="2">linkurl(AD5)</f>
        <v>https://www.reddit.com/r/RMTK/comments/e0q3ef/w0048_sanctiewet_republiek_turkije_2019/?</v>
      </c>
      <c r="AE22" s="1988" t="str">
        <f t="shared" si="2"/>
        <v>https://www.reddit.com/r/RMTK/comments/dy8slq/w0052_wetswijziging_ter_afschaffing_van_de/</v>
      </c>
      <c r="AF22" s="1988" t="str">
        <f t="shared" si="2"/>
        <v>https://www.reddit.com/r/RMTK/comments/dynhk0/m0124_motie_tot_onderzoek_naar_gedecentraliseerde/</v>
      </c>
      <c r="AG22" s="1988" t="str">
        <f t="shared" si="2"/>
        <v>https://www.reddit.com/r/RMTK/comments/dz8jqi/m0125_motie_tot_terughalen_irak_en_syri%C3%ABgangers/</v>
      </c>
      <c r="AH22" s="1988" t="str">
        <f t="shared" si="2"/>
        <v>https://www.reddit.com/r/RMTK/comments/dzl2ov/w0053_wet_bestrijding_friese_terreur/</v>
      </c>
      <c r="AI22" s="1988" t="str">
        <f t="shared" si="2"/>
        <v>https://www.reddit.com/r/RMTK/comments/dzpvs1/m0130_motie_van_wantrouwen_jegens_kabinet_house/</v>
      </c>
    </row>
    <row r="23" ht="18.75" customHeight="1">
      <c r="A23" s="171" t="s">
        <v>1657</v>
      </c>
      <c r="B23" s="1972" t="s">
        <v>36</v>
      </c>
      <c r="C23" s="2014" t="s">
        <v>157</v>
      </c>
      <c r="D23" s="141" t="s">
        <v>109</v>
      </c>
      <c r="E23" s="141" t="s">
        <v>110</v>
      </c>
      <c r="F23" s="141" t="s">
        <v>109</v>
      </c>
      <c r="G23" s="141" t="s">
        <v>110</v>
      </c>
      <c r="H23" s="141" t="s">
        <v>109</v>
      </c>
      <c r="I23" s="144" t="s">
        <v>117</v>
      </c>
      <c r="J23" s="141" t="s">
        <v>110</v>
      </c>
      <c r="K23" s="141" t="s">
        <v>117</v>
      </c>
      <c r="L23" s="141" t="s">
        <v>110</v>
      </c>
      <c r="M23" s="141" t="s">
        <v>110</v>
      </c>
      <c r="N23" s="141" t="s">
        <v>110</v>
      </c>
      <c r="O23" s="141" t="s">
        <v>110</v>
      </c>
      <c r="P23" s="144" t="s">
        <v>109</v>
      </c>
      <c r="Q23" s="141" t="s">
        <v>108</v>
      </c>
      <c r="R23" s="141" t="s">
        <v>108</v>
      </c>
      <c r="S23" s="144" t="s">
        <v>108</v>
      </c>
      <c r="T23" s="141" t="s">
        <v>109</v>
      </c>
      <c r="U23" s="141" t="s">
        <v>110</v>
      </c>
      <c r="V23" s="141" t="s">
        <v>109</v>
      </c>
      <c r="W23" s="144" t="s">
        <v>109</v>
      </c>
      <c r="X23" s="141" t="s">
        <v>110</v>
      </c>
      <c r="Y23" s="141" t="s">
        <v>117</v>
      </c>
      <c r="Z23" s="141" t="s">
        <v>110</v>
      </c>
      <c r="AA23" s="141" t="s">
        <v>109</v>
      </c>
      <c r="AB23" s="141" t="s">
        <v>110</v>
      </c>
      <c r="AC23" s="144" t="s">
        <v>109</v>
      </c>
      <c r="AD23" s="141" t="s">
        <v>110</v>
      </c>
      <c r="AE23" s="141" t="s">
        <v>109</v>
      </c>
      <c r="AF23" s="141" t="s">
        <v>110</v>
      </c>
      <c r="AG23" s="141" t="s">
        <v>109</v>
      </c>
      <c r="AH23" s="141" t="s">
        <v>110</v>
      </c>
      <c r="AI23" s="141" t="s">
        <v>110</v>
      </c>
    </row>
    <row r="24" ht="18.75" customHeight="1">
      <c r="A24" s="147"/>
      <c r="B24" s="115"/>
      <c r="C24" s="1978" t="s">
        <v>118</v>
      </c>
      <c r="D24" s="141" t="s">
        <v>109</v>
      </c>
      <c r="E24" s="141" t="s">
        <v>110</v>
      </c>
      <c r="F24" s="141" t="s">
        <v>109</v>
      </c>
      <c r="G24" s="141" t="s">
        <v>110</v>
      </c>
      <c r="H24" s="141" t="s">
        <v>109</v>
      </c>
      <c r="I24" s="144" t="s">
        <v>117</v>
      </c>
      <c r="J24" s="141" t="s">
        <v>110</v>
      </c>
      <c r="K24" s="141" t="s">
        <v>117</v>
      </c>
      <c r="L24" s="141" t="s">
        <v>110</v>
      </c>
      <c r="M24" s="141" t="s">
        <v>109</v>
      </c>
      <c r="N24" s="141" t="s">
        <v>110</v>
      </c>
      <c r="O24" s="141" t="s">
        <v>110</v>
      </c>
      <c r="P24" s="144" t="s">
        <v>109</v>
      </c>
      <c r="Q24" s="141" t="s">
        <v>110</v>
      </c>
      <c r="R24" s="141" t="s">
        <v>110</v>
      </c>
      <c r="S24" s="144" t="s">
        <v>110</v>
      </c>
      <c r="T24" s="141" t="s">
        <v>109</v>
      </c>
      <c r="U24" s="141" t="s">
        <v>110</v>
      </c>
      <c r="V24" s="141" t="s">
        <v>109</v>
      </c>
      <c r="W24" s="144" t="s">
        <v>109</v>
      </c>
      <c r="X24" s="141" t="s">
        <v>110</v>
      </c>
      <c r="Y24" s="141" t="s">
        <v>117</v>
      </c>
      <c r="Z24" s="141" t="s">
        <v>117</v>
      </c>
      <c r="AA24" s="141" t="s">
        <v>109</v>
      </c>
      <c r="AB24" s="141" t="s">
        <v>110</v>
      </c>
      <c r="AC24" s="144" t="s">
        <v>109</v>
      </c>
      <c r="AD24" s="141" t="s">
        <v>110</v>
      </c>
      <c r="AE24" s="141" t="s">
        <v>117</v>
      </c>
      <c r="AF24" s="141" t="s">
        <v>110</v>
      </c>
      <c r="AG24" s="141" t="s">
        <v>109</v>
      </c>
      <c r="AH24" s="141" t="s">
        <v>110</v>
      </c>
      <c r="AI24" s="141" t="s">
        <v>110</v>
      </c>
    </row>
    <row r="25" ht="18.75" customHeight="1">
      <c r="A25" s="147"/>
      <c r="B25" s="115"/>
      <c r="C25" s="177" t="s">
        <v>153</v>
      </c>
      <c r="D25" s="141" t="s">
        <v>109</v>
      </c>
      <c r="E25" s="141" t="s">
        <v>110</v>
      </c>
      <c r="F25" s="141" t="s">
        <v>109</v>
      </c>
      <c r="G25" s="141" t="s">
        <v>110</v>
      </c>
      <c r="H25" s="141" t="s">
        <v>109</v>
      </c>
      <c r="I25" s="144" t="s">
        <v>117</v>
      </c>
      <c r="J25" s="141" t="s">
        <v>109</v>
      </c>
      <c r="K25" s="141" t="s">
        <v>110</v>
      </c>
      <c r="L25" s="141" t="s">
        <v>109</v>
      </c>
      <c r="M25" s="141" t="s">
        <v>109</v>
      </c>
      <c r="N25" s="141" t="s">
        <v>117</v>
      </c>
      <c r="O25" s="141" t="s">
        <v>110</v>
      </c>
      <c r="P25" s="144" t="s">
        <v>109</v>
      </c>
      <c r="Q25" s="141" t="s">
        <v>110</v>
      </c>
      <c r="R25" s="141" t="s">
        <v>110</v>
      </c>
      <c r="S25" s="144" t="s">
        <v>110</v>
      </c>
      <c r="T25" s="141" t="s">
        <v>109</v>
      </c>
      <c r="U25" s="141" t="s">
        <v>110</v>
      </c>
      <c r="V25" s="141" t="s">
        <v>109</v>
      </c>
      <c r="W25" s="144" t="s">
        <v>109</v>
      </c>
      <c r="X25" s="141" t="s">
        <v>108</v>
      </c>
      <c r="Y25" s="141" t="s">
        <v>108</v>
      </c>
      <c r="Z25" s="141" t="s">
        <v>108</v>
      </c>
      <c r="AA25" s="141" t="s">
        <v>108</v>
      </c>
      <c r="AB25" s="141" t="s">
        <v>108</v>
      </c>
      <c r="AC25" s="144" t="s">
        <v>108</v>
      </c>
      <c r="AD25" s="141" t="s">
        <v>110</v>
      </c>
      <c r="AE25" s="141" t="s">
        <v>110</v>
      </c>
      <c r="AF25" s="141" t="s">
        <v>110</v>
      </c>
      <c r="AG25" s="141" t="s">
        <v>109</v>
      </c>
      <c r="AH25" s="141" t="s">
        <v>110</v>
      </c>
      <c r="AI25" s="141" t="s">
        <v>110</v>
      </c>
    </row>
    <row r="26" ht="18.75" customHeight="1">
      <c r="A26" s="147"/>
      <c r="B26" s="115"/>
      <c r="C26" s="177" t="s">
        <v>1270</v>
      </c>
      <c r="D26" s="141" t="s">
        <v>110</v>
      </c>
      <c r="E26" s="141" t="s">
        <v>110</v>
      </c>
      <c r="F26" s="141" t="s">
        <v>110</v>
      </c>
      <c r="G26" s="141" t="s">
        <v>110</v>
      </c>
      <c r="H26" s="141" t="s">
        <v>109</v>
      </c>
      <c r="I26" s="144" t="s">
        <v>117</v>
      </c>
      <c r="J26" s="141" t="s">
        <v>109</v>
      </c>
      <c r="K26" s="141" t="s">
        <v>109</v>
      </c>
      <c r="L26" s="141" t="s">
        <v>110</v>
      </c>
      <c r="M26" s="141" t="s">
        <v>109</v>
      </c>
      <c r="N26" s="141" t="s">
        <v>110</v>
      </c>
      <c r="O26" s="141" t="s">
        <v>110</v>
      </c>
      <c r="P26" s="144" t="s">
        <v>109</v>
      </c>
      <c r="Q26" s="141" t="s">
        <v>110</v>
      </c>
      <c r="R26" s="141" t="s">
        <v>110</v>
      </c>
      <c r="S26" s="144" t="s">
        <v>110</v>
      </c>
      <c r="T26" s="141" t="s">
        <v>109</v>
      </c>
      <c r="U26" s="141" t="s">
        <v>110</v>
      </c>
      <c r="V26" s="141" t="s">
        <v>109</v>
      </c>
      <c r="W26" s="144" t="s">
        <v>109</v>
      </c>
      <c r="X26" s="141" t="s">
        <v>109</v>
      </c>
      <c r="Y26" s="141" t="s">
        <v>109</v>
      </c>
      <c r="Z26" s="141" t="s">
        <v>109</v>
      </c>
      <c r="AA26" s="141" t="s">
        <v>109</v>
      </c>
      <c r="AB26" s="141" t="s">
        <v>110</v>
      </c>
      <c r="AC26" s="144" t="s">
        <v>109</v>
      </c>
      <c r="AD26" s="141" t="s">
        <v>110</v>
      </c>
      <c r="AE26" s="141" t="s">
        <v>109</v>
      </c>
      <c r="AF26" s="141" t="s">
        <v>110</v>
      </c>
      <c r="AG26" s="141" t="s">
        <v>109</v>
      </c>
      <c r="AH26" s="141" t="s">
        <v>110</v>
      </c>
      <c r="AI26" s="141" t="s">
        <v>110</v>
      </c>
    </row>
    <row r="27" ht="18.75" customHeight="1">
      <c r="A27" s="147"/>
      <c r="B27" s="115"/>
      <c r="C27" s="177" t="s">
        <v>37</v>
      </c>
      <c r="D27" s="141" t="s">
        <v>109</v>
      </c>
      <c r="E27" s="141" t="s">
        <v>110</v>
      </c>
      <c r="F27" s="141" t="s">
        <v>110</v>
      </c>
      <c r="G27" s="141" t="s">
        <v>110</v>
      </c>
      <c r="H27" s="141" t="s">
        <v>109</v>
      </c>
      <c r="I27" s="144" t="s">
        <v>109</v>
      </c>
      <c r="J27" s="141" t="s">
        <v>109</v>
      </c>
      <c r="K27" s="141" t="s">
        <v>110</v>
      </c>
      <c r="L27" s="141" t="s">
        <v>110</v>
      </c>
      <c r="M27" s="141" t="s">
        <v>109</v>
      </c>
      <c r="N27" s="141" t="s">
        <v>110</v>
      </c>
      <c r="O27" s="141" t="s">
        <v>110</v>
      </c>
      <c r="P27" s="144" t="s">
        <v>109</v>
      </c>
      <c r="Q27" s="141" t="s">
        <v>110</v>
      </c>
      <c r="R27" s="141" t="s">
        <v>110</v>
      </c>
      <c r="S27" s="144" t="s">
        <v>110</v>
      </c>
      <c r="T27" s="141" t="s">
        <v>109</v>
      </c>
      <c r="U27" s="141" t="s">
        <v>110</v>
      </c>
      <c r="V27" s="141" t="s">
        <v>109</v>
      </c>
      <c r="W27" s="144" t="s">
        <v>109</v>
      </c>
      <c r="X27" s="141" t="s">
        <v>110</v>
      </c>
      <c r="Y27" s="141" t="s">
        <v>110</v>
      </c>
      <c r="Z27" s="141" t="s">
        <v>109</v>
      </c>
      <c r="AA27" s="141" t="s">
        <v>109</v>
      </c>
      <c r="AB27" s="141" t="s">
        <v>110</v>
      </c>
      <c r="AC27" s="144" t="s">
        <v>110</v>
      </c>
      <c r="AD27" s="141" t="s">
        <v>110</v>
      </c>
      <c r="AE27" s="141" t="s">
        <v>109</v>
      </c>
      <c r="AF27" s="141" t="s">
        <v>110</v>
      </c>
      <c r="AG27" s="141" t="s">
        <v>109</v>
      </c>
      <c r="AH27" s="141" t="s">
        <v>110</v>
      </c>
      <c r="AI27" s="141" t="s">
        <v>110</v>
      </c>
    </row>
    <row r="28" ht="18.75" customHeight="1">
      <c r="A28" s="147"/>
      <c r="B28" s="115"/>
      <c r="C28" s="177" t="s">
        <v>691</v>
      </c>
      <c r="D28" s="141" t="s">
        <v>109</v>
      </c>
      <c r="E28" s="141" t="s">
        <v>110</v>
      </c>
      <c r="F28" s="141" t="s">
        <v>109</v>
      </c>
      <c r="G28" s="141" t="s">
        <v>110</v>
      </c>
      <c r="H28" s="141" t="s">
        <v>109</v>
      </c>
      <c r="I28" s="144" t="s">
        <v>117</v>
      </c>
      <c r="J28" s="141" t="s">
        <v>108</v>
      </c>
      <c r="K28" s="141" t="s">
        <v>108</v>
      </c>
      <c r="L28" s="141" t="s">
        <v>108</v>
      </c>
      <c r="M28" s="141" t="s">
        <v>108</v>
      </c>
      <c r="N28" s="141" t="s">
        <v>108</v>
      </c>
      <c r="O28" s="141" t="s">
        <v>108</v>
      </c>
      <c r="P28" s="144" t="s">
        <v>108</v>
      </c>
      <c r="Q28" s="141" t="s">
        <v>108</v>
      </c>
      <c r="R28" s="141" t="s">
        <v>108</v>
      </c>
      <c r="S28" s="144" t="s">
        <v>108</v>
      </c>
      <c r="T28" s="141" t="s">
        <v>108</v>
      </c>
      <c r="U28" s="141" t="s">
        <v>108</v>
      </c>
      <c r="V28" s="141" t="s">
        <v>108</v>
      </c>
      <c r="W28" s="144" t="s">
        <v>108</v>
      </c>
      <c r="X28" s="141" t="s">
        <v>108</v>
      </c>
      <c r="Y28" s="141" t="s">
        <v>108</v>
      </c>
      <c r="Z28" s="141" t="s">
        <v>108</v>
      </c>
      <c r="AA28" s="141" t="s">
        <v>108</v>
      </c>
      <c r="AB28" s="141" t="s">
        <v>108</v>
      </c>
      <c r="AC28" s="144" t="s">
        <v>108</v>
      </c>
      <c r="AD28" s="141" t="s">
        <v>110</v>
      </c>
      <c r="AE28" s="141" t="s">
        <v>109</v>
      </c>
      <c r="AF28" s="141" t="s">
        <v>110</v>
      </c>
      <c r="AG28" s="141" t="s">
        <v>109</v>
      </c>
      <c r="AH28" s="141" t="s">
        <v>110</v>
      </c>
      <c r="AI28" s="141" t="s">
        <v>110</v>
      </c>
    </row>
    <row r="29" ht="18.75" customHeight="1">
      <c r="A29" s="147"/>
      <c r="B29" s="172" t="s">
        <v>31</v>
      </c>
      <c r="C29" s="173" t="s">
        <v>32</v>
      </c>
      <c r="D29" s="141" t="s">
        <v>109</v>
      </c>
      <c r="E29" s="141" t="s">
        <v>110</v>
      </c>
      <c r="F29" s="141" t="s">
        <v>110</v>
      </c>
      <c r="G29" s="141" t="s">
        <v>109</v>
      </c>
      <c r="H29" s="141" t="s">
        <v>110</v>
      </c>
      <c r="I29" s="144" t="s">
        <v>110</v>
      </c>
      <c r="J29" s="141" t="s">
        <v>110</v>
      </c>
      <c r="K29" s="141" t="s">
        <v>110</v>
      </c>
      <c r="L29" s="141" t="s">
        <v>110</v>
      </c>
      <c r="M29" s="141" t="s">
        <v>110</v>
      </c>
      <c r="N29" s="141" t="s">
        <v>110</v>
      </c>
      <c r="O29" s="141" t="s">
        <v>117</v>
      </c>
      <c r="P29" s="144" t="s">
        <v>109</v>
      </c>
      <c r="Q29" s="141" t="s">
        <v>110</v>
      </c>
      <c r="R29" s="141" t="s">
        <v>110</v>
      </c>
      <c r="S29" s="144" t="s">
        <v>110</v>
      </c>
      <c r="T29" s="141" t="s">
        <v>110</v>
      </c>
      <c r="U29" s="141" t="s">
        <v>110</v>
      </c>
      <c r="V29" s="141" t="s">
        <v>110</v>
      </c>
      <c r="W29" s="144" t="s">
        <v>110</v>
      </c>
      <c r="X29" s="141" t="s">
        <v>117</v>
      </c>
      <c r="Y29" s="141" t="s">
        <v>110</v>
      </c>
      <c r="Z29" s="141" t="s">
        <v>110</v>
      </c>
      <c r="AA29" s="141" t="s">
        <v>110</v>
      </c>
      <c r="AB29" s="141" t="s">
        <v>109</v>
      </c>
      <c r="AC29" s="144" t="s">
        <v>110</v>
      </c>
      <c r="AD29" s="141" t="s">
        <v>110</v>
      </c>
      <c r="AE29" s="141" t="s">
        <v>110</v>
      </c>
      <c r="AF29" s="141" t="s">
        <v>110</v>
      </c>
      <c r="AG29" s="141" t="s">
        <v>110</v>
      </c>
      <c r="AH29" s="141" t="s">
        <v>109</v>
      </c>
      <c r="AI29" s="141" t="s">
        <v>110</v>
      </c>
    </row>
    <row r="30" ht="18.75" customHeight="1">
      <c r="A30" s="147"/>
      <c r="B30" s="115"/>
      <c r="C30" s="174" t="s">
        <v>148</v>
      </c>
      <c r="D30" s="141" t="s">
        <v>108</v>
      </c>
      <c r="E30" s="141" t="s">
        <v>110</v>
      </c>
      <c r="F30" s="141" t="s">
        <v>110</v>
      </c>
      <c r="G30" s="141" t="s">
        <v>109</v>
      </c>
      <c r="H30" s="141" t="s">
        <v>110</v>
      </c>
      <c r="I30" s="144" t="s">
        <v>110</v>
      </c>
      <c r="J30" s="141" t="s">
        <v>110</v>
      </c>
      <c r="K30" s="141" t="s">
        <v>110</v>
      </c>
      <c r="L30" s="141" t="s">
        <v>110</v>
      </c>
      <c r="M30" s="141" t="s">
        <v>110</v>
      </c>
      <c r="N30" s="141" t="s">
        <v>110</v>
      </c>
      <c r="O30" s="141" t="s">
        <v>117</v>
      </c>
      <c r="P30" s="144" t="s">
        <v>109</v>
      </c>
      <c r="Q30" s="141" t="s">
        <v>110</v>
      </c>
      <c r="R30" s="141" t="s">
        <v>110</v>
      </c>
      <c r="S30" s="144" t="s">
        <v>110</v>
      </c>
      <c r="T30" s="141" t="s">
        <v>110</v>
      </c>
      <c r="U30" s="141" t="s">
        <v>110</v>
      </c>
      <c r="V30" s="141" t="s">
        <v>110</v>
      </c>
      <c r="W30" s="144" t="s">
        <v>110</v>
      </c>
      <c r="X30" s="141" t="s">
        <v>117</v>
      </c>
      <c r="Y30" s="141" t="s">
        <v>110</v>
      </c>
      <c r="Z30" s="141" t="s">
        <v>110</v>
      </c>
      <c r="AA30" s="141" t="s">
        <v>110</v>
      </c>
      <c r="AB30" s="141" t="s">
        <v>109</v>
      </c>
      <c r="AC30" s="144" t="s">
        <v>110</v>
      </c>
      <c r="AD30" s="141" t="s">
        <v>110</v>
      </c>
      <c r="AE30" s="141" t="s">
        <v>110</v>
      </c>
      <c r="AF30" s="141" t="s">
        <v>110</v>
      </c>
      <c r="AG30" s="141" t="s">
        <v>110</v>
      </c>
      <c r="AH30" s="141" t="s">
        <v>109</v>
      </c>
      <c r="AI30" s="141" t="s">
        <v>110</v>
      </c>
    </row>
    <row r="31" ht="18.75" customHeight="1">
      <c r="A31" s="147"/>
      <c r="B31" s="115"/>
      <c r="C31" s="174" t="s">
        <v>1281</v>
      </c>
      <c r="D31" s="141" t="s">
        <v>109</v>
      </c>
      <c r="E31" s="141" t="s">
        <v>110</v>
      </c>
      <c r="F31" s="141" t="s">
        <v>110</v>
      </c>
      <c r="G31" s="141" t="s">
        <v>109</v>
      </c>
      <c r="H31" s="141" t="s">
        <v>110</v>
      </c>
      <c r="I31" s="144" t="s">
        <v>110</v>
      </c>
      <c r="J31" s="141" t="s">
        <v>109</v>
      </c>
      <c r="K31" s="141" t="s">
        <v>110</v>
      </c>
      <c r="L31" s="141" t="s">
        <v>110</v>
      </c>
      <c r="M31" s="141" t="s">
        <v>110</v>
      </c>
      <c r="N31" s="141" t="s">
        <v>110</v>
      </c>
      <c r="O31" s="141" t="s">
        <v>117</v>
      </c>
      <c r="P31" s="144" t="s">
        <v>110</v>
      </c>
      <c r="Q31" s="141" t="s">
        <v>110</v>
      </c>
      <c r="R31" s="141" t="s">
        <v>110</v>
      </c>
      <c r="S31" s="144" t="s">
        <v>110</v>
      </c>
      <c r="T31" s="141" t="s">
        <v>110</v>
      </c>
      <c r="U31" s="141" t="s">
        <v>110</v>
      </c>
      <c r="V31" s="141" t="s">
        <v>110</v>
      </c>
      <c r="W31" s="144" t="s">
        <v>110</v>
      </c>
      <c r="X31" s="141" t="s">
        <v>117</v>
      </c>
      <c r="Y31" s="141" t="s">
        <v>110</v>
      </c>
      <c r="Z31" s="141" t="s">
        <v>110</v>
      </c>
      <c r="AA31" s="141" t="s">
        <v>110</v>
      </c>
      <c r="AB31" s="141" t="s">
        <v>109</v>
      </c>
      <c r="AC31" s="144" t="s">
        <v>110</v>
      </c>
      <c r="AD31" s="141" t="s">
        <v>108</v>
      </c>
      <c r="AE31" s="141" t="s">
        <v>108</v>
      </c>
      <c r="AF31" s="141" t="s">
        <v>108</v>
      </c>
      <c r="AG31" s="141" t="s">
        <v>108</v>
      </c>
      <c r="AH31" s="141" t="s">
        <v>108</v>
      </c>
      <c r="AI31" s="141" t="s">
        <v>108</v>
      </c>
    </row>
    <row r="32" ht="18.75" customHeight="1">
      <c r="A32" s="147"/>
      <c r="B32" s="115"/>
      <c r="C32" s="174" t="s">
        <v>149</v>
      </c>
      <c r="D32" s="141" t="s">
        <v>109</v>
      </c>
      <c r="E32" s="141" t="s">
        <v>110</v>
      </c>
      <c r="F32" s="141" t="s">
        <v>110</v>
      </c>
      <c r="G32" s="141" t="s">
        <v>109</v>
      </c>
      <c r="H32" s="141" t="s">
        <v>110</v>
      </c>
      <c r="I32" s="144" t="s">
        <v>110</v>
      </c>
      <c r="J32" s="141" t="s">
        <v>110</v>
      </c>
      <c r="K32" s="141" t="s">
        <v>110</v>
      </c>
      <c r="L32" s="141" t="s">
        <v>110</v>
      </c>
      <c r="M32" s="141" t="s">
        <v>110</v>
      </c>
      <c r="N32" s="141" t="s">
        <v>110</v>
      </c>
      <c r="O32" s="141" t="s">
        <v>117</v>
      </c>
      <c r="P32" s="144" t="s">
        <v>109</v>
      </c>
      <c r="Q32" s="141" t="s">
        <v>110</v>
      </c>
      <c r="R32" s="141" t="s">
        <v>110</v>
      </c>
      <c r="S32" s="144" t="s">
        <v>110</v>
      </c>
      <c r="T32" s="141" t="s">
        <v>110</v>
      </c>
      <c r="U32" s="141" t="s">
        <v>110</v>
      </c>
      <c r="V32" s="141" t="s">
        <v>110</v>
      </c>
      <c r="W32" s="144" t="s">
        <v>110</v>
      </c>
      <c r="X32" s="141" t="s">
        <v>117</v>
      </c>
      <c r="Y32" s="141" t="s">
        <v>110</v>
      </c>
      <c r="Z32" s="141" t="s">
        <v>110</v>
      </c>
      <c r="AA32" s="141" t="s">
        <v>110</v>
      </c>
      <c r="AB32" s="141" t="s">
        <v>109</v>
      </c>
      <c r="AC32" s="144" t="s">
        <v>110</v>
      </c>
      <c r="AD32" s="1969" t="s">
        <v>110</v>
      </c>
      <c r="AE32" s="180" t="s">
        <v>110</v>
      </c>
      <c r="AF32" s="180" t="s">
        <v>110</v>
      </c>
      <c r="AG32" s="180" t="s">
        <v>110</v>
      </c>
      <c r="AH32" s="179" t="s">
        <v>109</v>
      </c>
      <c r="AI32" s="180" t="s">
        <v>110</v>
      </c>
    </row>
    <row r="33" ht="18.75" customHeight="1">
      <c r="A33" s="147"/>
      <c r="B33" s="1994" t="s">
        <v>449</v>
      </c>
      <c r="C33" s="1995" t="s">
        <v>154</v>
      </c>
      <c r="D33" s="141" t="s">
        <v>109</v>
      </c>
      <c r="E33" s="141" t="s">
        <v>110</v>
      </c>
      <c r="F33" s="141" t="s">
        <v>109</v>
      </c>
      <c r="G33" s="141" t="s">
        <v>110</v>
      </c>
      <c r="H33" s="141" t="s">
        <v>109</v>
      </c>
      <c r="I33" s="144" t="s">
        <v>109</v>
      </c>
      <c r="J33" s="141" t="s">
        <v>108</v>
      </c>
      <c r="K33" s="141" t="s">
        <v>108</v>
      </c>
      <c r="L33" s="141" t="s">
        <v>108</v>
      </c>
      <c r="M33" s="141" t="s">
        <v>108</v>
      </c>
      <c r="N33" s="141" t="s">
        <v>108</v>
      </c>
      <c r="O33" s="141" t="s">
        <v>108</v>
      </c>
      <c r="P33" s="144" t="s">
        <v>108</v>
      </c>
      <c r="Q33" s="141" t="s">
        <v>108</v>
      </c>
      <c r="R33" s="141" t="s">
        <v>108</v>
      </c>
      <c r="S33" s="144" t="s">
        <v>108</v>
      </c>
      <c r="T33" s="141" t="s">
        <v>108</v>
      </c>
      <c r="U33" s="141" t="s">
        <v>108</v>
      </c>
      <c r="V33" s="141" t="s">
        <v>108</v>
      </c>
      <c r="W33" s="144" t="s">
        <v>108</v>
      </c>
      <c r="X33" s="141" t="s">
        <v>108</v>
      </c>
      <c r="Y33" s="141" t="s">
        <v>108</v>
      </c>
      <c r="Z33" s="141" t="s">
        <v>108</v>
      </c>
      <c r="AA33" s="141" t="s">
        <v>108</v>
      </c>
      <c r="AB33" s="141" t="s">
        <v>108</v>
      </c>
      <c r="AC33" s="144" t="s">
        <v>108</v>
      </c>
      <c r="AD33" s="141" t="s">
        <v>110</v>
      </c>
      <c r="AE33" s="141" t="s">
        <v>109</v>
      </c>
      <c r="AF33" s="141" t="s">
        <v>109</v>
      </c>
      <c r="AG33" s="141" t="s">
        <v>109</v>
      </c>
      <c r="AH33" s="141" t="s">
        <v>110</v>
      </c>
      <c r="AI33" s="141" t="s">
        <v>110</v>
      </c>
    </row>
    <row r="34" ht="18.75" customHeight="1">
      <c r="A34" s="147"/>
      <c r="B34" s="115"/>
      <c r="C34" s="2104" t="s">
        <v>610</v>
      </c>
      <c r="D34" s="141" t="s">
        <v>108</v>
      </c>
      <c r="E34" s="141" t="s">
        <v>108</v>
      </c>
      <c r="F34" s="141" t="s">
        <v>108</v>
      </c>
      <c r="G34" s="141" t="s">
        <v>108</v>
      </c>
      <c r="H34" s="141" t="s">
        <v>108</v>
      </c>
      <c r="I34" s="144" t="s">
        <v>108</v>
      </c>
      <c r="J34" s="141" t="s">
        <v>119</v>
      </c>
      <c r="K34" s="141" t="s">
        <v>119</v>
      </c>
      <c r="L34" s="141" t="s">
        <v>119</v>
      </c>
      <c r="M34" s="141" t="s">
        <v>119</v>
      </c>
      <c r="N34" s="141" t="s">
        <v>119</v>
      </c>
      <c r="O34" s="141" t="s">
        <v>119</v>
      </c>
      <c r="P34" s="144" t="s">
        <v>119</v>
      </c>
      <c r="Q34" s="141" t="s">
        <v>119</v>
      </c>
      <c r="R34" s="141" t="s">
        <v>119</v>
      </c>
      <c r="S34" s="144" t="s">
        <v>119</v>
      </c>
      <c r="T34" s="141" t="s">
        <v>119</v>
      </c>
      <c r="U34" s="141" t="s">
        <v>119</v>
      </c>
      <c r="V34" s="141" t="s">
        <v>119</v>
      </c>
      <c r="W34" s="144" t="s">
        <v>119</v>
      </c>
      <c r="X34" s="141" t="s">
        <v>119</v>
      </c>
      <c r="Y34" s="141" t="s">
        <v>119</v>
      </c>
      <c r="Z34" s="141" t="s">
        <v>119</v>
      </c>
      <c r="AA34" s="141" t="s">
        <v>119</v>
      </c>
      <c r="AB34" s="141" t="s">
        <v>119</v>
      </c>
      <c r="AC34" s="144" t="s">
        <v>119</v>
      </c>
      <c r="AD34" s="141" t="s">
        <v>119</v>
      </c>
      <c r="AE34" s="141" t="s">
        <v>119</v>
      </c>
      <c r="AF34" s="141" t="s">
        <v>119</v>
      </c>
      <c r="AG34" s="141" t="s">
        <v>119</v>
      </c>
      <c r="AH34" s="141" t="s">
        <v>119</v>
      </c>
      <c r="AI34" s="141" t="s">
        <v>119</v>
      </c>
    </row>
    <row r="35" ht="18.75" customHeight="1">
      <c r="A35" s="147"/>
      <c r="B35" s="115"/>
      <c r="C35" s="1996" t="s">
        <v>44</v>
      </c>
      <c r="D35" s="141" t="s">
        <v>119</v>
      </c>
      <c r="E35" s="141" t="s">
        <v>119</v>
      </c>
      <c r="F35" s="141" t="s">
        <v>119</v>
      </c>
      <c r="G35" s="141" t="s">
        <v>119</v>
      </c>
      <c r="H35" s="141" t="s">
        <v>119</v>
      </c>
      <c r="I35" s="144" t="s">
        <v>119</v>
      </c>
      <c r="J35" s="141" t="s">
        <v>109</v>
      </c>
      <c r="K35" s="141" t="s">
        <v>110</v>
      </c>
      <c r="L35" s="141" t="s">
        <v>110</v>
      </c>
      <c r="M35" s="141" t="s">
        <v>109</v>
      </c>
      <c r="N35" s="141" t="s">
        <v>110</v>
      </c>
      <c r="O35" s="141" t="s">
        <v>110</v>
      </c>
      <c r="P35" s="144" t="s">
        <v>109</v>
      </c>
      <c r="Q35" s="141" t="s">
        <v>110</v>
      </c>
      <c r="R35" s="141" t="s">
        <v>110</v>
      </c>
      <c r="S35" s="144" t="s">
        <v>110</v>
      </c>
      <c r="T35" s="141" t="s">
        <v>109</v>
      </c>
      <c r="U35" s="141" t="s">
        <v>110</v>
      </c>
      <c r="V35" s="141" t="s">
        <v>109</v>
      </c>
      <c r="W35" s="144" t="s">
        <v>109</v>
      </c>
      <c r="X35" s="141" t="s">
        <v>110</v>
      </c>
      <c r="Y35" s="141" t="s">
        <v>109</v>
      </c>
      <c r="Z35" s="141" t="s">
        <v>109</v>
      </c>
      <c r="AA35" s="141" t="s">
        <v>109</v>
      </c>
      <c r="AB35" s="141" t="s">
        <v>110</v>
      </c>
      <c r="AC35" s="144" t="s">
        <v>110</v>
      </c>
      <c r="AD35" s="141" t="s">
        <v>110</v>
      </c>
      <c r="AE35" s="141" t="s">
        <v>109</v>
      </c>
      <c r="AF35" s="141" t="s">
        <v>109</v>
      </c>
      <c r="AG35" s="141" t="s">
        <v>109</v>
      </c>
      <c r="AH35" s="141" t="s">
        <v>110</v>
      </c>
      <c r="AI35" s="141" t="s">
        <v>110</v>
      </c>
    </row>
    <row r="36" ht="18.75" customHeight="1">
      <c r="A36" s="147"/>
      <c r="B36" s="153" t="s">
        <v>698</v>
      </c>
      <c r="C36" s="154" t="s">
        <v>25</v>
      </c>
      <c r="D36" s="141" t="s">
        <v>109</v>
      </c>
      <c r="E36" s="141" t="s">
        <v>110</v>
      </c>
      <c r="F36" s="141" t="s">
        <v>110</v>
      </c>
      <c r="G36" s="141" t="s">
        <v>109</v>
      </c>
      <c r="H36" s="141" t="s">
        <v>110</v>
      </c>
      <c r="I36" s="144" t="s">
        <v>110</v>
      </c>
      <c r="J36" s="141" t="s">
        <v>110</v>
      </c>
      <c r="K36" s="141" t="s">
        <v>110</v>
      </c>
      <c r="L36" s="141" t="s">
        <v>110</v>
      </c>
      <c r="M36" s="141" t="s">
        <v>110</v>
      </c>
      <c r="N36" s="141" t="s">
        <v>110</v>
      </c>
      <c r="O36" s="141" t="s">
        <v>110</v>
      </c>
      <c r="P36" s="144" t="s">
        <v>110</v>
      </c>
      <c r="Q36" s="141" t="s">
        <v>110</v>
      </c>
      <c r="R36" s="141" t="s">
        <v>110</v>
      </c>
      <c r="S36" s="144" t="s">
        <v>110</v>
      </c>
      <c r="T36" s="141" t="s">
        <v>110</v>
      </c>
      <c r="U36" s="141" t="s">
        <v>110</v>
      </c>
      <c r="V36" s="141" t="s">
        <v>110</v>
      </c>
      <c r="W36" s="144" t="s">
        <v>110</v>
      </c>
      <c r="X36" s="141" t="s">
        <v>110</v>
      </c>
      <c r="Y36" s="141" t="s">
        <v>110</v>
      </c>
      <c r="Z36" s="141" t="s">
        <v>110</v>
      </c>
      <c r="AA36" s="141" t="s">
        <v>110</v>
      </c>
      <c r="AB36" s="141" t="s">
        <v>109</v>
      </c>
      <c r="AC36" s="144" t="s">
        <v>109</v>
      </c>
      <c r="AD36" s="141" t="s">
        <v>110</v>
      </c>
      <c r="AE36" s="141" t="s">
        <v>110</v>
      </c>
      <c r="AF36" s="141" t="s">
        <v>110</v>
      </c>
      <c r="AG36" s="141" t="s">
        <v>110</v>
      </c>
      <c r="AH36" s="141" t="s">
        <v>109</v>
      </c>
      <c r="AI36" s="141" t="s">
        <v>110</v>
      </c>
    </row>
    <row r="37" ht="18.75" customHeight="1">
      <c r="A37" s="147"/>
      <c r="B37" s="115"/>
      <c r="C37" s="155" t="s">
        <v>866</v>
      </c>
      <c r="D37" s="141" t="s">
        <v>109</v>
      </c>
      <c r="E37" s="141" t="s">
        <v>110</v>
      </c>
      <c r="F37" s="141" t="s">
        <v>110</v>
      </c>
      <c r="G37" s="141" t="s">
        <v>109</v>
      </c>
      <c r="H37" s="141" t="s">
        <v>110</v>
      </c>
      <c r="I37" s="144" t="s">
        <v>110</v>
      </c>
      <c r="J37" s="141" t="s">
        <v>110</v>
      </c>
      <c r="K37" s="141" t="s">
        <v>110</v>
      </c>
      <c r="L37" s="141" t="s">
        <v>110</v>
      </c>
      <c r="M37" s="141" t="s">
        <v>110</v>
      </c>
      <c r="N37" s="141" t="s">
        <v>109</v>
      </c>
      <c r="O37" s="141" t="s">
        <v>110</v>
      </c>
      <c r="P37" s="144" t="s">
        <v>110</v>
      </c>
      <c r="Q37" s="141" t="s">
        <v>110</v>
      </c>
      <c r="R37" s="141" t="s">
        <v>110</v>
      </c>
      <c r="S37" s="144" t="s">
        <v>110</v>
      </c>
      <c r="T37" s="141" t="s">
        <v>110</v>
      </c>
      <c r="U37" s="141" t="s">
        <v>110</v>
      </c>
      <c r="V37" s="141" t="s">
        <v>110</v>
      </c>
      <c r="W37" s="144" t="s">
        <v>110</v>
      </c>
      <c r="X37" s="141" t="s">
        <v>110</v>
      </c>
      <c r="Y37" s="141" t="s">
        <v>110</v>
      </c>
      <c r="Z37" s="141" t="s">
        <v>110</v>
      </c>
      <c r="AA37" s="141" t="s">
        <v>110</v>
      </c>
      <c r="AB37" s="141" t="s">
        <v>109</v>
      </c>
      <c r="AC37" s="144" t="s">
        <v>109</v>
      </c>
      <c r="AD37" s="141" t="s">
        <v>110</v>
      </c>
      <c r="AE37" s="141" t="s">
        <v>110</v>
      </c>
      <c r="AF37" s="141" t="s">
        <v>110</v>
      </c>
      <c r="AG37" s="141" t="s">
        <v>110</v>
      </c>
      <c r="AH37" s="141" t="s">
        <v>109</v>
      </c>
      <c r="AI37" s="144" t="s">
        <v>117</v>
      </c>
    </row>
    <row r="38" ht="18.75" customHeight="1">
      <c r="A38" s="184"/>
      <c r="B38" s="185" t="s">
        <v>49</v>
      </c>
      <c r="C38" s="186" t="s">
        <v>50</v>
      </c>
      <c r="D38" s="141" t="s">
        <v>117</v>
      </c>
      <c r="E38" s="141" t="s">
        <v>117</v>
      </c>
      <c r="F38" s="141" t="s">
        <v>117</v>
      </c>
      <c r="G38" s="141" t="s">
        <v>117</v>
      </c>
      <c r="H38" s="141" t="s">
        <v>117</v>
      </c>
      <c r="I38" s="144" t="s">
        <v>117</v>
      </c>
      <c r="J38" s="141" t="s">
        <v>117</v>
      </c>
      <c r="K38" s="141" t="s">
        <v>117</v>
      </c>
      <c r="L38" s="141" t="s">
        <v>117</v>
      </c>
      <c r="M38" s="141" t="s">
        <v>117</v>
      </c>
      <c r="N38" s="141" t="s">
        <v>117</v>
      </c>
      <c r="O38" s="141" t="s">
        <v>117</v>
      </c>
      <c r="P38" s="144" t="s">
        <v>117</v>
      </c>
      <c r="Q38" s="141" t="s">
        <v>117</v>
      </c>
      <c r="R38" s="141" t="s">
        <v>117</v>
      </c>
      <c r="S38" s="144" t="s">
        <v>117</v>
      </c>
      <c r="T38" s="141" t="s">
        <v>117</v>
      </c>
      <c r="U38" s="141" t="s">
        <v>117</v>
      </c>
      <c r="V38" s="141" t="s">
        <v>117</v>
      </c>
      <c r="W38" s="144" t="s">
        <v>117</v>
      </c>
      <c r="X38" s="141" t="s">
        <v>117</v>
      </c>
      <c r="Y38" s="141" t="s">
        <v>117</v>
      </c>
      <c r="Z38" s="141" t="s">
        <v>117</v>
      </c>
      <c r="AA38" s="141" t="s">
        <v>117</v>
      </c>
      <c r="AB38" s="141" t="s">
        <v>117</v>
      </c>
      <c r="AC38" s="144" t="s">
        <v>117</v>
      </c>
      <c r="AD38" s="146" t="s">
        <v>117</v>
      </c>
      <c r="AE38" s="145" t="s">
        <v>117</v>
      </c>
      <c r="AF38" s="145" t="s">
        <v>117</v>
      </c>
      <c r="AG38" s="145" t="s">
        <v>117</v>
      </c>
      <c r="AH38" s="145" t="s">
        <v>109</v>
      </c>
      <c r="AI38" s="1999" t="s">
        <v>110</v>
      </c>
    </row>
    <row r="39" ht="11.25" customHeight="1">
      <c r="A39" s="191"/>
      <c r="B39" s="191"/>
      <c r="C39" s="191"/>
      <c r="D39" s="2006" t="str">
        <f t="shared" ref="D39:AI39" si="3">CONCATENATE("{""status"": ", IF(GT(D40, D41), """aangenomen""", """verworpen"""), ", ""title"": """, D5, """, ""url"": """,D22  , """, ""voor"":", D40,", ""tegen"": ", D41, ", ""onthouden"":", D42, "}")</f>
        <v>{"status": "verworpen", "title": "M0111", "url": "https://www.reddit.com/r/RMTK/comments/d88vec/m0111_motie_tot_horecadienstplicht/", "voor":1, "tegen": 19, "onthouden":1}</v>
      </c>
      <c r="E39" s="2007" t="str">
        <f t="shared" si="3"/>
        <v>{"status": "aangenomen", "title": "M0112", "url": "https://www.reddit.com/r/RMTK/comments/d8u34t/m0112_motie_tot_het_stimuleren_van_de_bouw_van/", "voor":20, "tegen": 1, "onthouden":1}</v>
      </c>
      <c r="F39" s="2007" t="str">
        <f t="shared" si="3"/>
        <v>{"status": "aangenomen", "title": "W0041-I", "url": "https://www.reddit.com/r/RMTK/comments/dit9bu/w0041i_amendement_belastingwet_meervoudig/", "voor":16, "tegen": 5, "onthouden":1}</v>
      </c>
      <c r="G39" s="2007" t="str">
        <f t="shared" si="3"/>
        <v>{"status": "verworpen", "title": "W0042-I", "url": "https://www.reddit.com/r/RMTK/comments/djbute/w0042i_amendement_wet_tot_goedkeuring_aankoop/", "voor":7, "tegen": 14, "onthouden":1}</v>
      </c>
      <c r="H39" s="2007" t="str">
        <f t="shared" si="3"/>
        <v>{"status": "aangenomen", "title": "W0039", "url": "https://www.reddit.com/r/RMTK/comments/d2a3yu/w0039_wetsvoorstel_versoepeling_opiumwet/", "voor":12, "tegen": 9, "onthouden":1}</v>
      </c>
      <c r="I39" s="2007" t="str">
        <f t="shared" si="3"/>
        <v>{"status": "aangenomen", "title": "W0043", "url": "https://www.reddit.com/r/RMTK/comments/d9pe1o/w0043_wijziging_wetboek_van_strafrecht_artikel_23/", "voor":11, "tegen": 4, "onthouden":7}</v>
      </c>
      <c r="J39" s="2007" t="str">
        <f t="shared" si="3"/>
        <v>{"status": "aangenomen", "title": "M0114", "url": "https://www.reddit.com/r/RMTK/comments/djsqad/m0114_motie_omtrent_het_mogelijke_finse/", "voor":11, "tegen": 7, "onthouden":2}</v>
      </c>
      <c r="K39" s="2007" t="str">
        <f t="shared" si="3"/>
        <v>{"status": "aangenomen", "title": "M0115", "url": "https://www.reddit.com/r/RMTK/comments/dkz8sk/m0115_motie_van_treurnis_omtrent_de_voornemens/", "voor":9, "tegen": 8, "onthouden":3}</v>
      </c>
      <c r="L39" s="2007" t="str">
        <f t="shared" si="3"/>
        <v>{"status": "aangenomen", "title": "M0116", "url": "https://www.reddit.com/r/RMTK/comments/dml67f/m0116_motie_tot_verlaging_van_de_aowleeftijd_naar/", "voor":11, "tegen": 8, "onthouden":1}</v>
      </c>
      <c r="M39" s="2007" t="str">
        <f t="shared" si="3"/>
        <v>{"status": "aangenomen", "title": "W0041", "url": "https://www.reddit.com/r/RMTK/comments/d88tka/w0041_belastingwet_meervoudig_woningbezit/", "voor":13, "tegen": 5, "onthouden":1}</v>
      </c>
      <c r="N39" s="2007" t="str">
        <f t="shared" si="3"/>
        <v>{"status": "aangenomen", "title": "W0042", "url": "https://www.reddit.com/r/RMTK/comments/d93cgv/w0042_wet_tot_goedkeuring_aankoop_vijf_f35a_2019/", "voor":16, "tegen": 1, "onthouden":2}</v>
      </c>
      <c r="O39" s="2007" t="str">
        <f t="shared" si="3"/>
        <v>{"status": "aangenomen", "title": "W0044", "url": "https://www.reddit.com/r/RMTK/comments/dkz3ba/w0043_intrekkingswet_accijnswet/", "voor":8, "tegen": 7, "onthouden":5}</v>
      </c>
      <c r="P39" s="2009" t="str">
        <f t="shared" si="3"/>
        <v>{"status": "aangenomen", "title": "W0045", "url": "https://www.reddit.com/r/RMTK/comments/dm1lyl/w0044_noodwet_stikfstofverbindingsproblematiek/", "voor":10, "tegen": 9, "onthouden":1}</v>
      </c>
      <c r="Q39" s="2007" t="str">
        <f t="shared" si="3"/>
        <v>{"status": "aangenomen", "title": "M0117", "url": "https://www.reddit.com/r/RMTK/comments/dotujc/m0117_motie_omtrent_een_bindend_correctief/", "voor":11, "tegen": 9, "onthouden":1}</v>
      </c>
      <c r="R39" s="2007" t="str">
        <f t="shared" si="3"/>
        <v>{"status": "aangenomen", "title": "M0118", "url": "https://www.reddit.com/r/RMTK/comments/dp857b/m0118_motie_tot_het_maken_van_een_vrije_dag_van/", "voor":20, "tegen": 0, "onthouden":1}</v>
      </c>
      <c r="S39" s="2009" t="str">
        <f t="shared" si="3"/>
        <v>{"status": "aangenomen", "title": "M0119", "url": "https://www.reddit.com/r/RMTK/comments/dpnpjp/m0119_motie_tot_toevoeging/", "voor":20, "tegen": 0, "onthouden":1}</v>
      </c>
      <c r="T39" s="2007" t="str">
        <f t="shared" si="3"/>
        <v>{"status": "aangenomen", "title": "M0120", "url": "https://www.reddit.com/r/RMTK/comments/drl0sa/m0120_motie_tot_de_aanpak_van_intensieve/", "voor":12, "tegen": 7, "onthouden":1}</v>
      </c>
      <c r="U39" s="2007" t="str">
        <f t="shared" si="3"/>
        <v>{"status": "aangenomen", "title": "M0121", "url": "https://www.reddit.com/r/RMTK/comments/dt2s9z/m0121_motie_aangaande_het_opschorten_van_het/", "voor":18, "tegen": 1, "onthouden":1}</v>
      </c>
      <c r="V39" s="2007" t="str">
        <f t="shared" si="3"/>
        <v>{"status": "aangenomen", "title": "W0046", "url": "https://www.reddit.com/r/RMTK/comments/ds2nrf/w0046_rijksbegroting_2020_buitenlandse_zaken/", "voor":13, "tegen": 6, "onthouden":1}</v>
      </c>
      <c r="W39" s="2007" t="str">
        <f t="shared" si="3"/>
        <v>{"status": "aangenomen", "title": "W0047", "url": "https://www.reddit.com/r/RMTK/comments/ds2nu7/w0047_rijksbegroting_2020_defensie_en/", "voor":13, "tegen": 6, "onthouden":1}</v>
      </c>
      <c r="X39" s="2007" t="str">
        <f t="shared" si="3"/>
        <v>{"status": "aangenomen", "title": "W0048-I", "url": "https://www.reddit.com/r/RMTK/comments/dtj67r/w0048i_amendement_sanctiewet_republiek_turkije/", "voor":9, "tegen": 2, "onthouden":6}</v>
      </c>
      <c r="Y39" s="2007" t="str">
        <f t="shared" si="3"/>
        <v>{"status": "aangenomen", "title": "W0048-II", "url": "https://www.reddit.com/r/RMTK/comments/dtjaf2/amendement_sanctiewet_republiek_turkije_turkse/", "voor":11, "tegen": 3, "onthouden":3}</v>
      </c>
      <c r="Z39" s="2007" t="str">
        <f t="shared" si="3"/>
        <v>{"status": "aangenomen", "title": "M0122", "url": "https://www.reddit.com/r/RMTK/comments/duvmyy/m0122_motie_tot_een_totaalverbod_op/", "voor":10, "tegen": 5, "onthouden":2}</v>
      </c>
      <c r="AA39" s="2007" t="str">
        <f t="shared" si="3"/>
        <v>{"status": "aangenomen", "title": "W0049", "url": "https://www.reddit.com/r/RMTK/comments/dvhfjp/w0049_wetswijziging_tot_toestaan_polyamorisch/", "voor":8, "tegen": 7, "onthouden":2}</v>
      </c>
      <c r="AB39" s="2007" t="str">
        <f t="shared" si="3"/>
        <v>{"status": "aangenomen", "title": "W0050", "url": "https://www.reddit.com/r/RMTK/comments/dvxgay/w0050_intrekkingswetsvoorstel_wetswijzing/", "voor":10, "tegen": 6, "onthouden":1}</v>
      </c>
      <c r="AC39" s="2009" t="str">
        <f t="shared" si="3"/>
        <v>{"status": "verworpen", "title": "W0051", "url": "https://www.reddit.com/r/RMTK/comments/dwce3f/w0051_wijziging_van_de_grondwet_vanwege_het/", "voor":6, "tegen": 10, "onthouden":1}</v>
      </c>
      <c r="AD39" s="2007" t="str">
        <f t="shared" si="3"/>
        <v>{"status": "aangenomen", "title": "W0048", "url": "https://www.reddit.com/r/RMTK/comments/e0q3ef/w0048_sanctiewet_republiek_turkije_2019/?", "voor":18, "tegen": 1, "onthouden":1}</v>
      </c>
      <c r="AE39" s="2007" t="str">
        <f t="shared" si="3"/>
        <v>{"status": "aangenomen", "title": "W0052", "url": "https://www.reddit.com/r/RMTK/comments/dy8slq/w0052_wetswijziging_ter_afschaffing_van_de/", "voor":11, "tegen": 7, "onthouden":2}</v>
      </c>
      <c r="AF39" s="2007" t="str">
        <f t="shared" si="3"/>
        <v>{"status": "aangenomen", "title": "M0124", "url": "https://www.reddit.com/r/RMTK/comments/dynhk0/m0124_motie_tot_onderzoek_naar_gedecentraliseerde/", "voor":16, "tegen": 3, "onthouden":1}</v>
      </c>
      <c r="AG39" s="2007" t="str">
        <f t="shared" si="3"/>
        <v>{"status": "aangenomen", "title": "M0125", "url": "https://www.reddit.com/r/RMTK/comments/dz8jqi/m0125_motie_tot_terughalen_irak_en_syri%C3%ABgangers/", "voor":10, "tegen": 9, "onthouden":1}</v>
      </c>
      <c r="AH39" s="2007" t="str">
        <f t="shared" si="3"/>
        <v>{"status": "verworpen", "title": "W0053", "url": "https://www.reddit.com/r/RMTK/comments/dzl2ov/w0053_wet_bestrijding_friese_terreur/", "voor":8, "tegen": 12, "onthouden":0}</v>
      </c>
      <c r="AI39" s="2007" t="str">
        <f t="shared" si="3"/>
        <v>{"status": "aangenomen", "title": "M0130", "url": "https://www.reddit.com/r/RMTK/comments/dzpvs1/m0130_motie_van_wantrouwen_jegens_kabinet_house/", "voor":13, "tegen": 6, "onthouden":1}</v>
      </c>
    </row>
    <row r="40" ht="18.0" customHeight="1">
      <c r="A40" s="199" t="s">
        <v>158</v>
      </c>
      <c r="B40" s="200" t="s">
        <v>110</v>
      </c>
      <c r="C40" s="44"/>
      <c r="D40" s="201">
        <f t="shared" ref="D40:AI40" si="4">COUNTIF(D5:D38,"Voor")</f>
        <v>1</v>
      </c>
      <c r="E40" s="201">
        <f t="shared" si="4"/>
        <v>20</v>
      </c>
      <c r="F40" s="201">
        <f t="shared" si="4"/>
        <v>16</v>
      </c>
      <c r="G40" s="201">
        <f t="shared" si="4"/>
        <v>7</v>
      </c>
      <c r="H40" s="201">
        <f t="shared" si="4"/>
        <v>12</v>
      </c>
      <c r="I40" s="201">
        <f t="shared" si="4"/>
        <v>11</v>
      </c>
      <c r="J40" s="201">
        <f t="shared" si="4"/>
        <v>11</v>
      </c>
      <c r="K40" s="201">
        <f t="shared" si="4"/>
        <v>9</v>
      </c>
      <c r="L40" s="201">
        <f t="shared" si="4"/>
        <v>11</v>
      </c>
      <c r="M40" s="201">
        <f t="shared" si="4"/>
        <v>13</v>
      </c>
      <c r="N40" s="201">
        <f t="shared" si="4"/>
        <v>16</v>
      </c>
      <c r="O40" s="201">
        <f t="shared" si="4"/>
        <v>8</v>
      </c>
      <c r="P40" s="201">
        <f t="shared" si="4"/>
        <v>10</v>
      </c>
      <c r="Q40" s="201">
        <f t="shared" si="4"/>
        <v>11</v>
      </c>
      <c r="R40" s="201">
        <f t="shared" si="4"/>
        <v>20</v>
      </c>
      <c r="S40" s="201">
        <f t="shared" si="4"/>
        <v>20</v>
      </c>
      <c r="T40" s="201">
        <f t="shared" si="4"/>
        <v>12</v>
      </c>
      <c r="U40" s="201">
        <f t="shared" si="4"/>
        <v>18</v>
      </c>
      <c r="V40" s="201">
        <f t="shared" si="4"/>
        <v>13</v>
      </c>
      <c r="W40" s="201">
        <f t="shared" si="4"/>
        <v>13</v>
      </c>
      <c r="X40" s="201">
        <f t="shared" si="4"/>
        <v>9</v>
      </c>
      <c r="Y40" s="201">
        <f t="shared" si="4"/>
        <v>11</v>
      </c>
      <c r="Z40" s="201">
        <f t="shared" si="4"/>
        <v>10</v>
      </c>
      <c r="AA40" s="201">
        <f t="shared" si="4"/>
        <v>8</v>
      </c>
      <c r="AB40" s="201">
        <f t="shared" si="4"/>
        <v>10</v>
      </c>
      <c r="AC40" s="201">
        <f t="shared" si="4"/>
        <v>6</v>
      </c>
      <c r="AD40" s="201">
        <f t="shared" si="4"/>
        <v>18</v>
      </c>
      <c r="AE40" s="201">
        <f t="shared" si="4"/>
        <v>11</v>
      </c>
      <c r="AF40" s="201">
        <f t="shared" si="4"/>
        <v>16</v>
      </c>
      <c r="AG40" s="201">
        <f t="shared" si="4"/>
        <v>10</v>
      </c>
      <c r="AH40" s="201">
        <f t="shared" si="4"/>
        <v>8</v>
      </c>
      <c r="AI40" s="201">
        <f t="shared" si="4"/>
        <v>13</v>
      </c>
    </row>
    <row r="41" ht="18.75" customHeight="1">
      <c r="A41" s="44"/>
      <c r="B41" s="205" t="s">
        <v>109</v>
      </c>
      <c r="C41" s="44"/>
      <c r="D41" s="206">
        <f t="shared" ref="D41:AI41" si="5">COUNTIF(D5:D38,"Tegen")</f>
        <v>19</v>
      </c>
      <c r="E41" s="206">
        <f t="shared" si="5"/>
        <v>1</v>
      </c>
      <c r="F41" s="206">
        <f t="shared" si="5"/>
        <v>5</v>
      </c>
      <c r="G41" s="206">
        <f t="shared" si="5"/>
        <v>14</v>
      </c>
      <c r="H41" s="206">
        <f t="shared" si="5"/>
        <v>9</v>
      </c>
      <c r="I41" s="206">
        <f t="shared" si="5"/>
        <v>4</v>
      </c>
      <c r="J41" s="206">
        <f t="shared" si="5"/>
        <v>7</v>
      </c>
      <c r="K41" s="206">
        <f t="shared" si="5"/>
        <v>8</v>
      </c>
      <c r="L41" s="206">
        <f t="shared" si="5"/>
        <v>8</v>
      </c>
      <c r="M41" s="206">
        <f t="shared" si="5"/>
        <v>5</v>
      </c>
      <c r="N41" s="206">
        <f t="shared" si="5"/>
        <v>1</v>
      </c>
      <c r="O41" s="206">
        <f t="shared" si="5"/>
        <v>7</v>
      </c>
      <c r="P41" s="206">
        <f t="shared" si="5"/>
        <v>9</v>
      </c>
      <c r="Q41" s="206">
        <f t="shared" si="5"/>
        <v>9</v>
      </c>
      <c r="R41" s="206">
        <f t="shared" si="5"/>
        <v>0</v>
      </c>
      <c r="S41" s="206">
        <f t="shared" si="5"/>
        <v>0</v>
      </c>
      <c r="T41" s="206">
        <f t="shared" si="5"/>
        <v>7</v>
      </c>
      <c r="U41" s="206">
        <f t="shared" si="5"/>
        <v>1</v>
      </c>
      <c r="V41" s="206">
        <f t="shared" si="5"/>
        <v>6</v>
      </c>
      <c r="W41" s="206">
        <f t="shared" si="5"/>
        <v>6</v>
      </c>
      <c r="X41" s="206">
        <f t="shared" si="5"/>
        <v>2</v>
      </c>
      <c r="Y41" s="206">
        <f t="shared" si="5"/>
        <v>3</v>
      </c>
      <c r="Z41" s="206">
        <f t="shared" si="5"/>
        <v>5</v>
      </c>
      <c r="AA41" s="206">
        <f t="shared" si="5"/>
        <v>7</v>
      </c>
      <c r="AB41" s="206">
        <f t="shared" si="5"/>
        <v>6</v>
      </c>
      <c r="AC41" s="206">
        <f t="shared" si="5"/>
        <v>10</v>
      </c>
      <c r="AD41" s="206">
        <f t="shared" si="5"/>
        <v>1</v>
      </c>
      <c r="AE41" s="206">
        <f t="shared" si="5"/>
        <v>7</v>
      </c>
      <c r="AF41" s="206">
        <f t="shared" si="5"/>
        <v>3</v>
      </c>
      <c r="AG41" s="206">
        <f t="shared" si="5"/>
        <v>9</v>
      </c>
      <c r="AH41" s="206">
        <f t="shared" si="5"/>
        <v>12</v>
      </c>
      <c r="AI41" s="206">
        <f t="shared" si="5"/>
        <v>6</v>
      </c>
    </row>
    <row r="42" ht="18.75" customHeight="1">
      <c r="A42" s="44"/>
      <c r="B42" s="210" t="s">
        <v>159</v>
      </c>
      <c r="C42" s="44"/>
      <c r="D42" s="211">
        <f t="shared" ref="D42:AI42" si="6">COUNTIF(D5:D38,"SO")</f>
        <v>1</v>
      </c>
      <c r="E42" s="211">
        <f t="shared" si="6"/>
        <v>1</v>
      </c>
      <c r="F42" s="211">
        <f t="shared" si="6"/>
        <v>1</v>
      </c>
      <c r="G42" s="211">
        <f t="shared" si="6"/>
        <v>1</v>
      </c>
      <c r="H42" s="211">
        <f t="shared" si="6"/>
        <v>1</v>
      </c>
      <c r="I42" s="211">
        <f t="shared" si="6"/>
        <v>7</v>
      </c>
      <c r="J42" s="211">
        <f t="shared" si="6"/>
        <v>2</v>
      </c>
      <c r="K42" s="211">
        <f t="shared" si="6"/>
        <v>3</v>
      </c>
      <c r="L42" s="211">
        <f t="shared" si="6"/>
        <v>1</v>
      </c>
      <c r="M42" s="211">
        <f t="shared" si="6"/>
        <v>1</v>
      </c>
      <c r="N42" s="211">
        <f t="shared" si="6"/>
        <v>2</v>
      </c>
      <c r="O42" s="211">
        <f t="shared" si="6"/>
        <v>5</v>
      </c>
      <c r="P42" s="211">
        <f t="shared" si="6"/>
        <v>1</v>
      </c>
      <c r="Q42" s="211">
        <f t="shared" si="6"/>
        <v>1</v>
      </c>
      <c r="R42" s="211">
        <f t="shared" si="6"/>
        <v>1</v>
      </c>
      <c r="S42" s="211">
        <f t="shared" si="6"/>
        <v>1</v>
      </c>
      <c r="T42" s="211">
        <f t="shared" si="6"/>
        <v>1</v>
      </c>
      <c r="U42" s="211">
        <f t="shared" si="6"/>
        <v>1</v>
      </c>
      <c r="V42" s="211">
        <f t="shared" si="6"/>
        <v>1</v>
      </c>
      <c r="W42" s="211">
        <f t="shared" si="6"/>
        <v>1</v>
      </c>
      <c r="X42" s="211">
        <f t="shared" si="6"/>
        <v>6</v>
      </c>
      <c r="Y42" s="211">
        <f t="shared" si="6"/>
        <v>3</v>
      </c>
      <c r="Z42" s="211">
        <f t="shared" si="6"/>
        <v>2</v>
      </c>
      <c r="AA42" s="211">
        <f t="shared" si="6"/>
        <v>2</v>
      </c>
      <c r="AB42" s="211">
        <f t="shared" si="6"/>
        <v>1</v>
      </c>
      <c r="AC42" s="211">
        <f t="shared" si="6"/>
        <v>1</v>
      </c>
      <c r="AD42" s="211">
        <f t="shared" si="6"/>
        <v>1</v>
      </c>
      <c r="AE42" s="211">
        <f t="shared" si="6"/>
        <v>2</v>
      </c>
      <c r="AF42" s="211">
        <f t="shared" si="6"/>
        <v>1</v>
      </c>
      <c r="AG42" s="211">
        <f t="shared" si="6"/>
        <v>1</v>
      </c>
      <c r="AH42" s="211">
        <f t="shared" si="6"/>
        <v>0</v>
      </c>
      <c r="AI42" s="211">
        <f t="shared" si="6"/>
        <v>1</v>
      </c>
    </row>
    <row r="43" ht="18.75" customHeight="1">
      <c r="A43" s="44"/>
      <c r="B43" s="215" t="s">
        <v>160</v>
      </c>
      <c r="C43" s="44"/>
      <c r="D43" s="216">
        <f t="shared" ref="D43:AI43" si="7">COUNTIF(D5:D38,"NG")</f>
        <v>4</v>
      </c>
      <c r="E43" s="216">
        <f t="shared" si="7"/>
        <v>3</v>
      </c>
      <c r="F43" s="216">
        <f t="shared" si="7"/>
        <v>3</v>
      </c>
      <c r="G43" s="216">
        <f t="shared" si="7"/>
        <v>3</v>
      </c>
      <c r="H43" s="216">
        <f t="shared" si="7"/>
        <v>3</v>
      </c>
      <c r="I43" s="216">
        <f t="shared" si="7"/>
        <v>3</v>
      </c>
      <c r="J43" s="216">
        <f t="shared" si="7"/>
        <v>5</v>
      </c>
      <c r="K43" s="216">
        <f t="shared" si="7"/>
        <v>5</v>
      </c>
      <c r="L43" s="216">
        <f t="shared" si="7"/>
        <v>5</v>
      </c>
      <c r="M43" s="216">
        <f t="shared" si="7"/>
        <v>6</v>
      </c>
      <c r="N43" s="216">
        <f t="shared" si="7"/>
        <v>6</v>
      </c>
      <c r="O43" s="216">
        <f t="shared" si="7"/>
        <v>5</v>
      </c>
      <c r="P43" s="216">
        <f t="shared" si="7"/>
        <v>5</v>
      </c>
      <c r="Q43" s="216">
        <f t="shared" si="7"/>
        <v>4</v>
      </c>
      <c r="R43" s="216">
        <f t="shared" si="7"/>
        <v>4</v>
      </c>
      <c r="S43" s="216">
        <f t="shared" si="7"/>
        <v>4</v>
      </c>
      <c r="T43" s="216">
        <f t="shared" si="7"/>
        <v>5</v>
      </c>
      <c r="U43" s="216">
        <f t="shared" si="7"/>
        <v>5</v>
      </c>
      <c r="V43" s="216">
        <f t="shared" si="7"/>
        <v>5</v>
      </c>
      <c r="W43" s="216">
        <f t="shared" si="7"/>
        <v>5</v>
      </c>
      <c r="X43" s="216">
        <f t="shared" si="7"/>
        <v>8</v>
      </c>
      <c r="Y43" s="216">
        <f t="shared" si="7"/>
        <v>8</v>
      </c>
      <c r="Z43" s="216">
        <f t="shared" si="7"/>
        <v>8</v>
      </c>
      <c r="AA43" s="216">
        <f t="shared" si="7"/>
        <v>8</v>
      </c>
      <c r="AB43" s="216">
        <f t="shared" si="7"/>
        <v>8</v>
      </c>
      <c r="AC43" s="216">
        <f t="shared" si="7"/>
        <v>8</v>
      </c>
      <c r="AD43" s="216">
        <f t="shared" si="7"/>
        <v>5</v>
      </c>
      <c r="AE43" s="216">
        <f t="shared" si="7"/>
        <v>5</v>
      </c>
      <c r="AF43" s="216">
        <f t="shared" si="7"/>
        <v>5</v>
      </c>
      <c r="AG43" s="216">
        <f t="shared" si="7"/>
        <v>5</v>
      </c>
      <c r="AH43" s="216">
        <f t="shared" si="7"/>
        <v>5</v>
      </c>
      <c r="AI43" s="216">
        <f t="shared" si="7"/>
        <v>5</v>
      </c>
    </row>
    <row r="44" ht="18.75" customHeight="1">
      <c r="A44" s="44"/>
      <c r="B44" s="220" t="s">
        <v>161</v>
      </c>
      <c r="C44" s="44"/>
      <c r="D44" s="221">
        <f t="shared" ref="D44:AI44" si="8">SUM(D40:D43)</f>
        <v>25</v>
      </c>
      <c r="E44" s="221">
        <f t="shared" si="8"/>
        <v>25</v>
      </c>
      <c r="F44" s="221">
        <f t="shared" si="8"/>
        <v>25</v>
      </c>
      <c r="G44" s="221">
        <f t="shared" si="8"/>
        <v>25</v>
      </c>
      <c r="H44" s="221">
        <f t="shared" si="8"/>
        <v>25</v>
      </c>
      <c r="I44" s="221">
        <f t="shared" si="8"/>
        <v>25</v>
      </c>
      <c r="J44" s="221">
        <f t="shared" si="8"/>
        <v>25</v>
      </c>
      <c r="K44" s="221">
        <f t="shared" si="8"/>
        <v>25</v>
      </c>
      <c r="L44" s="221">
        <f t="shared" si="8"/>
        <v>25</v>
      </c>
      <c r="M44" s="221">
        <f t="shared" si="8"/>
        <v>25</v>
      </c>
      <c r="N44" s="221">
        <f t="shared" si="8"/>
        <v>25</v>
      </c>
      <c r="O44" s="221">
        <f t="shared" si="8"/>
        <v>25</v>
      </c>
      <c r="P44" s="221">
        <f t="shared" si="8"/>
        <v>25</v>
      </c>
      <c r="Q44" s="221">
        <f t="shared" si="8"/>
        <v>25</v>
      </c>
      <c r="R44" s="221">
        <f t="shared" si="8"/>
        <v>25</v>
      </c>
      <c r="S44" s="221">
        <f t="shared" si="8"/>
        <v>25</v>
      </c>
      <c r="T44" s="221">
        <f t="shared" si="8"/>
        <v>25</v>
      </c>
      <c r="U44" s="221">
        <f t="shared" si="8"/>
        <v>25</v>
      </c>
      <c r="V44" s="221">
        <f t="shared" si="8"/>
        <v>25</v>
      </c>
      <c r="W44" s="221">
        <f t="shared" si="8"/>
        <v>25</v>
      </c>
      <c r="X44" s="221">
        <f t="shared" si="8"/>
        <v>25</v>
      </c>
      <c r="Y44" s="221">
        <f t="shared" si="8"/>
        <v>25</v>
      </c>
      <c r="Z44" s="221">
        <f t="shared" si="8"/>
        <v>25</v>
      </c>
      <c r="AA44" s="221">
        <f t="shared" si="8"/>
        <v>25</v>
      </c>
      <c r="AB44" s="221">
        <f t="shared" si="8"/>
        <v>25</v>
      </c>
      <c r="AC44" s="221">
        <f t="shared" si="8"/>
        <v>25</v>
      </c>
      <c r="AD44" s="221">
        <f t="shared" si="8"/>
        <v>25</v>
      </c>
      <c r="AE44" s="221">
        <f t="shared" si="8"/>
        <v>25</v>
      </c>
      <c r="AF44" s="221">
        <f t="shared" si="8"/>
        <v>25</v>
      </c>
      <c r="AG44" s="221">
        <f t="shared" si="8"/>
        <v>25</v>
      </c>
      <c r="AH44" s="221">
        <f t="shared" si="8"/>
        <v>25</v>
      </c>
      <c r="AI44" s="221">
        <f t="shared" si="8"/>
        <v>25</v>
      </c>
    </row>
    <row r="45" ht="18.75" customHeight="1">
      <c r="A45" s="44"/>
      <c r="B45" s="225" t="s">
        <v>162</v>
      </c>
      <c r="C45" s="44"/>
      <c r="D45" s="226">
        <f t="shared" ref="D45:AI45" si="9">D40+D41+D42</f>
        <v>21</v>
      </c>
      <c r="E45" s="226">
        <f t="shared" si="9"/>
        <v>22</v>
      </c>
      <c r="F45" s="226">
        <f t="shared" si="9"/>
        <v>22</v>
      </c>
      <c r="G45" s="226">
        <f t="shared" si="9"/>
        <v>22</v>
      </c>
      <c r="H45" s="226">
        <f t="shared" si="9"/>
        <v>22</v>
      </c>
      <c r="I45" s="226">
        <f t="shared" si="9"/>
        <v>22</v>
      </c>
      <c r="J45" s="226">
        <f t="shared" si="9"/>
        <v>20</v>
      </c>
      <c r="K45" s="226">
        <f t="shared" si="9"/>
        <v>20</v>
      </c>
      <c r="L45" s="226">
        <f t="shared" si="9"/>
        <v>20</v>
      </c>
      <c r="M45" s="226">
        <f t="shared" si="9"/>
        <v>19</v>
      </c>
      <c r="N45" s="226">
        <f t="shared" si="9"/>
        <v>19</v>
      </c>
      <c r="O45" s="226">
        <f t="shared" si="9"/>
        <v>20</v>
      </c>
      <c r="P45" s="226">
        <f t="shared" si="9"/>
        <v>20</v>
      </c>
      <c r="Q45" s="226">
        <f t="shared" si="9"/>
        <v>21</v>
      </c>
      <c r="R45" s="226">
        <f t="shared" si="9"/>
        <v>21</v>
      </c>
      <c r="S45" s="226">
        <f t="shared" si="9"/>
        <v>21</v>
      </c>
      <c r="T45" s="226">
        <f t="shared" si="9"/>
        <v>20</v>
      </c>
      <c r="U45" s="226">
        <f t="shared" si="9"/>
        <v>20</v>
      </c>
      <c r="V45" s="226">
        <f t="shared" si="9"/>
        <v>20</v>
      </c>
      <c r="W45" s="226">
        <f t="shared" si="9"/>
        <v>20</v>
      </c>
      <c r="X45" s="226">
        <f t="shared" si="9"/>
        <v>17</v>
      </c>
      <c r="Y45" s="226">
        <f t="shared" si="9"/>
        <v>17</v>
      </c>
      <c r="Z45" s="226">
        <f t="shared" si="9"/>
        <v>17</v>
      </c>
      <c r="AA45" s="226">
        <f t="shared" si="9"/>
        <v>17</v>
      </c>
      <c r="AB45" s="226">
        <f t="shared" si="9"/>
        <v>17</v>
      </c>
      <c r="AC45" s="226">
        <f t="shared" si="9"/>
        <v>17</v>
      </c>
      <c r="AD45" s="226">
        <f t="shared" si="9"/>
        <v>20</v>
      </c>
      <c r="AE45" s="226">
        <f t="shared" si="9"/>
        <v>20</v>
      </c>
      <c r="AF45" s="226">
        <f t="shared" si="9"/>
        <v>20</v>
      </c>
      <c r="AG45" s="226">
        <f t="shared" si="9"/>
        <v>20</v>
      </c>
      <c r="AH45" s="226">
        <f t="shared" si="9"/>
        <v>20</v>
      </c>
      <c r="AI45" s="226">
        <f t="shared" si="9"/>
        <v>20</v>
      </c>
    </row>
    <row r="46" ht="18.75" customHeight="1">
      <c r="A46" s="230"/>
      <c r="B46" s="231" t="s">
        <v>163</v>
      </c>
      <c r="C46" s="230"/>
      <c r="D46" s="232">
        <f t="shared" ref="D46:AI46" si="10">IFERROR(D45/D44,"")</f>
        <v>0.84</v>
      </c>
      <c r="E46" s="232">
        <f t="shared" si="10"/>
        <v>0.88</v>
      </c>
      <c r="F46" s="232">
        <f t="shared" si="10"/>
        <v>0.88</v>
      </c>
      <c r="G46" s="232">
        <f t="shared" si="10"/>
        <v>0.88</v>
      </c>
      <c r="H46" s="232">
        <f t="shared" si="10"/>
        <v>0.88</v>
      </c>
      <c r="I46" s="232">
        <f t="shared" si="10"/>
        <v>0.88</v>
      </c>
      <c r="J46" s="232">
        <f t="shared" si="10"/>
        <v>0.8</v>
      </c>
      <c r="K46" s="232">
        <f t="shared" si="10"/>
        <v>0.8</v>
      </c>
      <c r="L46" s="232">
        <f t="shared" si="10"/>
        <v>0.8</v>
      </c>
      <c r="M46" s="232">
        <f t="shared" si="10"/>
        <v>0.76</v>
      </c>
      <c r="N46" s="232">
        <f t="shared" si="10"/>
        <v>0.76</v>
      </c>
      <c r="O46" s="232">
        <f t="shared" si="10"/>
        <v>0.8</v>
      </c>
      <c r="P46" s="232">
        <f t="shared" si="10"/>
        <v>0.8</v>
      </c>
      <c r="Q46" s="232">
        <f t="shared" si="10"/>
        <v>0.84</v>
      </c>
      <c r="R46" s="232">
        <f t="shared" si="10"/>
        <v>0.84</v>
      </c>
      <c r="S46" s="232">
        <f t="shared" si="10"/>
        <v>0.84</v>
      </c>
      <c r="T46" s="232">
        <f t="shared" si="10"/>
        <v>0.8</v>
      </c>
      <c r="U46" s="232">
        <f t="shared" si="10"/>
        <v>0.8</v>
      </c>
      <c r="V46" s="232">
        <f t="shared" si="10"/>
        <v>0.8</v>
      </c>
      <c r="W46" s="232">
        <f t="shared" si="10"/>
        <v>0.8</v>
      </c>
      <c r="X46" s="232">
        <f t="shared" si="10"/>
        <v>0.68</v>
      </c>
      <c r="Y46" s="232">
        <f t="shared" si="10"/>
        <v>0.68</v>
      </c>
      <c r="Z46" s="232">
        <f t="shared" si="10"/>
        <v>0.68</v>
      </c>
      <c r="AA46" s="232">
        <f t="shared" si="10"/>
        <v>0.68</v>
      </c>
      <c r="AB46" s="232">
        <f t="shared" si="10"/>
        <v>0.68</v>
      </c>
      <c r="AC46" s="232">
        <f t="shared" si="10"/>
        <v>0.68</v>
      </c>
      <c r="AD46" s="232">
        <f t="shared" si="10"/>
        <v>0.8</v>
      </c>
      <c r="AE46" s="232">
        <f t="shared" si="10"/>
        <v>0.8</v>
      </c>
      <c r="AF46" s="232">
        <f t="shared" si="10"/>
        <v>0.8</v>
      </c>
      <c r="AG46" s="232">
        <f t="shared" si="10"/>
        <v>0.8</v>
      </c>
      <c r="AH46" s="232">
        <f t="shared" si="10"/>
        <v>0.8</v>
      </c>
      <c r="AI46" s="232">
        <f t="shared" si="10"/>
        <v>0.8</v>
      </c>
    </row>
  </sheetData>
  <mergeCells count="20">
    <mergeCell ref="B19:B21"/>
    <mergeCell ref="B23:B28"/>
    <mergeCell ref="A2:C2"/>
    <mergeCell ref="D2:AI4"/>
    <mergeCell ref="A3:C4"/>
    <mergeCell ref="A7:A21"/>
    <mergeCell ref="B7:B11"/>
    <mergeCell ref="B12:B18"/>
    <mergeCell ref="A23:A38"/>
    <mergeCell ref="B36:B37"/>
    <mergeCell ref="B44:C44"/>
    <mergeCell ref="B45:C45"/>
    <mergeCell ref="B29:B32"/>
    <mergeCell ref="B33:B35"/>
    <mergeCell ref="A40:A46"/>
    <mergeCell ref="B40:C40"/>
    <mergeCell ref="B41:C41"/>
    <mergeCell ref="B42:C42"/>
    <mergeCell ref="B43:C43"/>
    <mergeCell ref="B46:C46"/>
  </mergeCells>
  <conditionalFormatting sqref="A3 B29">
    <cfRule type="containsText" dxfId="0" priority="1" operator="containsText" text="voor">
      <formula>NOT(ISERROR(SEARCH(("voor"),(A3))))</formula>
    </cfRule>
  </conditionalFormatting>
  <conditionalFormatting sqref="A3 B29">
    <cfRule type="containsText" dxfId="1" priority="2" operator="containsText" text="tegen">
      <formula>NOT(ISERROR(SEARCH(("tegen"),(A3))))</formula>
    </cfRule>
  </conditionalFormatting>
  <conditionalFormatting sqref="D7:G38 H7:H21 I7:J38 K7:K21 L7:AA38 AB7:AB21 AC7:AI38 C23:C37 H23:H38 K23:K38 AB23:AB38 B24:B32 B37">
    <cfRule type="containsText" dxfId="2" priority="3" operator="containsText" text="SO">
      <formula>NOT(ISERROR(SEARCH(("SO"),(D7))))</formula>
    </cfRule>
  </conditionalFormatting>
  <conditionalFormatting sqref="A3 D7:G38 H7:H21 I7:J38 K7:K21 L7:AA38 AB7:AB21 AC7:AI38 C23:C37 H23:H38 K23:K38 AB23:AB38 B24:B32 B37">
    <cfRule type="containsText" dxfId="3" priority="4" operator="containsText" text="tegen">
      <formula>NOT(ISERROR(SEARCH(("tegen"),(A3))))</formula>
    </cfRule>
  </conditionalFormatting>
  <conditionalFormatting sqref="D7:G38 H7:H21 I7:J38 K7:K21 L7:AA38 AB7:AB21 AC7:AI38 C23:C37 H23:H38 K23:K38 AB23:AB38 B24:B32 B37">
    <cfRule type="containsText" dxfId="4" priority="5" operator="containsText" text="voor">
      <formula>NOT(ISERROR(SEARCH(("voor"),(D7))))</formula>
    </cfRule>
  </conditionalFormatting>
  <conditionalFormatting sqref="D7:G38 H7:H21 I7:J38 K7:K21 L7:AA38 AB7:AB21 AC7:AI38 C23:C37 H23:H38 K23:K38 AB23:AB38 B24:B32 B37">
    <cfRule type="cellIs" dxfId="5" priority="6" operator="equal">
      <formula>"NG"</formula>
    </cfRule>
  </conditionalFormatting>
  <conditionalFormatting sqref="D7:G38 H7:H21 I7:J38 K7:K21 L7:AA38 AB7:AB21 AC7:AI38 C23:C37 H23:H38 K23:K38 AB23:AB38 B24:B32 B37">
    <cfRule type="containsText" dxfId="6" priority="7" operator="containsText" text="NVT">
      <formula>NOT(ISERROR(SEARCH(("NVT"),(D7))))</formula>
    </cfRule>
  </conditionalFormatting>
  <hyperlinks>
    <hyperlink r:id="rId1" ref="T22"/>
    <hyperlink r:id="rId2" ref="U22"/>
    <hyperlink r:id="rId3" ref="V22"/>
    <hyperlink r:id="rId4" ref="W22"/>
    <hyperlink r:id="rId5" ref="X22"/>
    <hyperlink r:id="rId6" ref="Y22"/>
    <hyperlink r:id="rId7" ref="Z22"/>
    <hyperlink r:id="rId8" ref="AA22"/>
    <hyperlink r:id="rId9" ref="AB22"/>
    <hyperlink r:id="rId10" ref="AC22"/>
  </hyperlinks>
  <drawing r:id="rId1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4125"/>
    <outlinePr summaryBelow="0" summaryRight="0"/>
  </sheetPr>
  <sheetViews>
    <sheetView workbookViewId="0">
      <pane xSplit="3.0" topLeftCell="D1" activePane="topRight" state="frozen"/>
      <selection activeCell="E2" sqref="E2" pane="topRight"/>
    </sheetView>
  </sheetViews>
  <sheetFormatPr customHeight="1" defaultColWidth="14.43" defaultRowHeight="15.75"/>
  <cols>
    <col customWidth="1" min="1" max="1" width="10.86"/>
    <col customWidth="1" min="2" max="2" width="11.0"/>
    <col customWidth="1" min="3" max="3" width="21.86"/>
  </cols>
  <sheetData>
    <row r="1" ht="18.75" customHeight="1">
      <c r="A1" s="2105" t="s">
        <v>1658</v>
      </c>
      <c r="B1" s="2106"/>
      <c r="C1" s="2106"/>
      <c r="D1" s="2106"/>
      <c r="E1" s="2106"/>
      <c r="F1" s="2106"/>
      <c r="G1" s="2106"/>
      <c r="H1" s="2106"/>
      <c r="I1" s="2106"/>
      <c r="J1" s="2106"/>
      <c r="K1" s="2106"/>
      <c r="L1" s="2106"/>
      <c r="M1" s="2106"/>
      <c r="N1" s="2106"/>
      <c r="O1" s="2106"/>
      <c r="P1" s="2107"/>
      <c r="Q1" s="2107"/>
      <c r="R1" s="2107"/>
    </row>
    <row r="2" ht="18.75" customHeight="1">
      <c r="A2" s="2108"/>
      <c r="B2" s="2109"/>
      <c r="C2" s="2110"/>
      <c r="D2" s="2111" t="s">
        <v>1659</v>
      </c>
      <c r="E2" s="16"/>
      <c r="F2" s="16"/>
      <c r="G2" s="16"/>
      <c r="H2" s="16"/>
      <c r="I2" s="16"/>
      <c r="J2" s="16"/>
      <c r="K2" s="16"/>
      <c r="L2" s="16"/>
      <c r="M2" s="16"/>
      <c r="N2" s="16"/>
      <c r="O2" s="16"/>
      <c r="P2" s="16"/>
      <c r="Q2" s="16"/>
      <c r="R2" s="17"/>
    </row>
    <row r="3" ht="18.75" customHeight="1">
      <c r="A3" s="2106"/>
      <c r="B3" s="2106"/>
      <c r="C3" s="2106"/>
      <c r="D3" s="2112"/>
      <c r="E3" s="2112"/>
      <c r="F3" s="2112"/>
      <c r="G3" s="2106"/>
      <c r="H3" s="2106"/>
      <c r="I3" s="2106"/>
      <c r="J3" s="2106"/>
      <c r="K3" s="2106"/>
      <c r="L3" s="2106"/>
      <c r="M3" s="2106"/>
      <c r="N3" s="2106"/>
      <c r="O3" s="2106"/>
      <c r="P3" s="2106"/>
      <c r="Q3" s="2106"/>
      <c r="R3" s="2106"/>
    </row>
    <row r="4" ht="18.75" customHeight="1">
      <c r="A4" s="2108" t="s">
        <v>1014</v>
      </c>
      <c r="B4" s="2109"/>
      <c r="C4" s="2110"/>
      <c r="D4" s="2113" t="s">
        <v>165</v>
      </c>
      <c r="E4" s="112"/>
      <c r="F4" s="112"/>
      <c r="G4" s="112"/>
      <c r="H4" s="112"/>
      <c r="I4" s="112"/>
      <c r="J4" s="112"/>
      <c r="K4" s="112"/>
      <c r="L4" s="112"/>
      <c r="M4" s="112"/>
      <c r="N4" s="112"/>
      <c r="O4" s="112"/>
      <c r="P4" s="112"/>
      <c r="Q4" s="112"/>
      <c r="R4" s="2114"/>
    </row>
    <row r="5" ht="18.75" customHeight="1">
      <c r="A5" s="2095" t="s">
        <v>1644</v>
      </c>
      <c r="C5" s="115"/>
      <c r="D5" s="43"/>
      <c r="R5" s="1129"/>
    </row>
    <row r="6" ht="18.75" customHeight="1">
      <c r="C6" s="115"/>
      <c r="D6" s="2115"/>
      <c r="E6" s="1621"/>
      <c r="F6" s="1621"/>
      <c r="G6" s="1621"/>
      <c r="H6" s="1621"/>
      <c r="I6" s="1621"/>
      <c r="J6" s="1621"/>
      <c r="K6" s="1621"/>
      <c r="L6" s="1621"/>
      <c r="M6" s="1621"/>
      <c r="N6" s="1621"/>
      <c r="O6" s="1621"/>
      <c r="P6" s="1621"/>
      <c r="Q6" s="1621"/>
      <c r="R6" s="1639"/>
    </row>
    <row r="7" ht="18.75" customHeight="1">
      <c r="A7" s="2116" t="s">
        <v>82</v>
      </c>
      <c r="B7" s="2117" t="s">
        <v>83</v>
      </c>
      <c r="C7" s="2118" t="s">
        <v>84</v>
      </c>
      <c r="D7" s="2119" t="str">
        <f>HYPERLINK("https://www.reddit.com/r/RMTK/comments/d6jji7/w0040_wet_register_openbare_hygi%C3%ABne_en/","W0040")</f>
        <v>W0040</v>
      </c>
      <c r="E7" s="2119" t="str">
        <f>HYPERLINK("https://www.reddit.com/r/RMTK/comments/d2a3yu/w0039_wetsvoorstel_versoepeling_opiumwet/","W0039")</f>
        <v>W0039</v>
      </c>
      <c r="F7" s="124" t="str">
        <f>HYPERLINK("https://www.reddit.com/r/RMTK/comments/d9pe1o/w0043_wijziging_wetboek_van_strafrecht_artikel_23/","W0043")</f>
        <v>W0043</v>
      </c>
      <c r="G7" s="124" t="str">
        <f>HYPERLINK("https://www.reddit.com/r/RMTK/comments/dqygsj/w0041_belastingwet_meervoudig_woningbezig/","W0041")</f>
        <v>W0041</v>
      </c>
      <c r="H7" s="124" t="str">
        <f>HYPERLINK("https://www.reddit.com/r/RMTK/comments/d93cgv/w0042_wet_tot_goedkeuring_aankoop_vijf_f35a_2019/","W0042")</f>
        <v>W0042</v>
      </c>
      <c r="I7" s="124" t="str">
        <f>HYPERLINK("https://www.reddit.com/r/RMTK/comments/dkz3ba/w0043_intrekkingswet_accijnswet/","W0044")</f>
        <v>W0044</v>
      </c>
      <c r="J7" s="124" t="str">
        <f>HYPERLINK("https://www.reddit.com/r/RMTK/comments/dm1lyl/w0044_noodwet_stikfstofverbindingsproblematiek/","W0045")</f>
        <v>W0045</v>
      </c>
      <c r="K7" s="124" t="str">
        <f>HYPERLINK("https://www.reddit.com/r/RMTK/comments/ds2nrf/w0046_rijksbegroting_2020_buitenlandse_zaken/","W0046")</f>
        <v>W0046</v>
      </c>
      <c r="L7" s="124" t="str">
        <f>HYPERLINK("https://www.reddit.com/r/RMTK/comments/ds2nu7/w0047_rijksbegroting_2020_defensie_en/","W0047")</f>
        <v>W0047</v>
      </c>
      <c r="M7" s="124" t="str">
        <f>hyperlink("https://www.reddit.com/r/RMTK/comments/dvhfjp/w0049_wetswijziging_tot_toestaan_polyamorisch/","W0049")</f>
        <v>W0049</v>
      </c>
      <c r="N7" s="124" t="str">
        <f>hyperlink("https://www.reddit.com/r/RMTK/comments/dvxgay/w0050_intrekkingswetsvoorstel_wetswijzing/","W0050")</f>
        <v>W0050</v>
      </c>
      <c r="O7" s="246"/>
      <c r="P7" s="246"/>
      <c r="Q7" s="246"/>
      <c r="R7" s="246"/>
    </row>
    <row r="8" ht="6.0" customHeight="1">
      <c r="A8" s="2120"/>
      <c r="B8" s="2121"/>
      <c r="C8" s="2121"/>
      <c r="D8" s="128"/>
      <c r="E8" s="2120"/>
      <c r="F8" s="2120"/>
      <c r="G8" s="131"/>
      <c r="H8" s="128"/>
      <c r="I8" s="128"/>
      <c r="J8" s="128"/>
      <c r="K8" s="2120"/>
      <c r="L8" s="2120"/>
      <c r="M8" s="131"/>
      <c r="N8" s="1965"/>
      <c r="O8" s="131"/>
      <c r="P8" s="131"/>
      <c r="Q8" s="131"/>
      <c r="R8" s="131"/>
    </row>
    <row r="9" ht="18.75" customHeight="1">
      <c r="A9" s="250" t="s">
        <v>1577</v>
      </c>
      <c r="B9" s="2122" t="s">
        <v>740</v>
      </c>
      <c r="C9" s="2123" t="s">
        <v>122</v>
      </c>
      <c r="D9" s="141" t="s">
        <v>110</v>
      </c>
      <c r="E9" s="2124" t="s">
        <v>110</v>
      </c>
      <c r="F9" s="2125" t="s">
        <v>109</v>
      </c>
      <c r="G9" s="141" t="s">
        <v>110</v>
      </c>
      <c r="H9" s="141" t="s">
        <v>110</v>
      </c>
      <c r="I9" s="141" t="s">
        <v>109</v>
      </c>
      <c r="J9" s="144" t="s">
        <v>110</v>
      </c>
      <c r="K9" s="2126" t="s">
        <v>110</v>
      </c>
      <c r="L9" s="2125" t="s">
        <v>110</v>
      </c>
      <c r="M9" s="141" t="s">
        <v>110</v>
      </c>
      <c r="N9" s="2125" t="s">
        <v>110</v>
      </c>
      <c r="O9" s="144" t="s">
        <v>108</v>
      </c>
      <c r="P9" s="144" t="s">
        <v>108</v>
      </c>
      <c r="Q9" s="144" t="s">
        <v>108</v>
      </c>
      <c r="R9" s="144" t="s">
        <v>108</v>
      </c>
    </row>
    <row r="10" ht="18.75" customHeight="1">
      <c r="A10" s="147"/>
      <c r="B10" s="2127" t="s">
        <v>461</v>
      </c>
      <c r="C10" s="2128" t="s">
        <v>1289</v>
      </c>
      <c r="D10" s="141" t="s">
        <v>110</v>
      </c>
      <c r="E10" s="151" t="s">
        <v>110</v>
      </c>
      <c r="F10" s="144" t="s">
        <v>109</v>
      </c>
      <c r="G10" s="141" t="s">
        <v>108</v>
      </c>
      <c r="H10" s="141" t="s">
        <v>108</v>
      </c>
      <c r="I10" s="141" t="s">
        <v>108</v>
      </c>
      <c r="J10" s="144" t="s">
        <v>108</v>
      </c>
      <c r="K10" s="141" t="s">
        <v>110</v>
      </c>
      <c r="L10" s="144" t="s">
        <v>110</v>
      </c>
      <c r="M10" s="141" t="s">
        <v>108</v>
      </c>
      <c r="N10" s="144" t="s">
        <v>108</v>
      </c>
      <c r="O10" s="144" t="s">
        <v>108</v>
      </c>
      <c r="P10" s="144" t="s">
        <v>108</v>
      </c>
      <c r="Q10" s="144" t="s">
        <v>108</v>
      </c>
      <c r="R10" s="144" t="s">
        <v>108</v>
      </c>
    </row>
    <row r="11" ht="18.75" customHeight="1">
      <c r="A11" s="159"/>
      <c r="B11" s="2129" t="s">
        <v>440</v>
      </c>
      <c r="C11" s="2130" t="s">
        <v>120</v>
      </c>
      <c r="D11" s="141" t="s">
        <v>110</v>
      </c>
      <c r="E11" s="151" t="s">
        <v>110</v>
      </c>
      <c r="F11" s="144" t="s">
        <v>109</v>
      </c>
      <c r="G11" s="141" t="s">
        <v>109</v>
      </c>
      <c r="H11" s="141" t="s">
        <v>110</v>
      </c>
      <c r="I11" s="141" t="s">
        <v>109</v>
      </c>
      <c r="J11" s="144" t="s">
        <v>110</v>
      </c>
      <c r="K11" s="141" t="s">
        <v>110</v>
      </c>
      <c r="L11" s="144" t="s">
        <v>110</v>
      </c>
      <c r="M11" s="141" t="s">
        <v>110</v>
      </c>
      <c r="N11" s="144" t="s">
        <v>110</v>
      </c>
      <c r="O11" s="144" t="s">
        <v>108</v>
      </c>
      <c r="P11" s="144" t="s">
        <v>108</v>
      </c>
      <c r="Q11" s="144" t="s">
        <v>108</v>
      </c>
      <c r="R11" s="144" t="s">
        <v>108</v>
      </c>
    </row>
    <row r="12" ht="7.5" customHeight="1">
      <c r="A12" s="2131"/>
      <c r="B12" s="2132"/>
      <c r="C12" s="2133"/>
      <c r="D12" s="2134" t="str">
        <f t="shared" ref="D12:R12" si="1">LINKURL(D7)</f>
        <v>https://www.reddit.com/r/RMTK/comments/d6jji7/w0040_wet_register_openbare_hygi%C3%ABne_en/</v>
      </c>
      <c r="E12" s="2135" t="str">
        <f t="shared" si="1"/>
        <v>https://www.reddit.com/r/RMTK/comments/d2a3yu/w0039_wetsvoorstel_versoepeling_opiumwet/</v>
      </c>
      <c r="F12" s="2136" t="str">
        <f t="shared" si="1"/>
        <v>https://www.reddit.com/r/RMTK/comments/d9pe1o/w0043_wijziging_wetboek_van_strafrecht_artikel_23/</v>
      </c>
      <c r="G12" s="2137" t="str">
        <f t="shared" si="1"/>
        <v>https://www.reddit.com/r/RMTK/comments/dqygsj/w0041_belastingwet_meervoudig_woningbezig/</v>
      </c>
      <c r="H12" s="2137" t="str">
        <f t="shared" si="1"/>
        <v>https://www.reddit.com/r/RMTK/comments/d93cgv/w0042_wet_tot_goedkeuring_aankoop_vijf_f35a_2019/</v>
      </c>
      <c r="I12" s="2137" t="str">
        <f t="shared" si="1"/>
        <v>https://www.reddit.com/r/RMTK/comments/dkz3ba/w0043_intrekkingswet_accijnswet/</v>
      </c>
      <c r="J12" s="2138" t="str">
        <f t="shared" si="1"/>
        <v>https://www.reddit.com/r/RMTK/comments/dm1lyl/w0044_noodwet_stikfstofverbindingsproblematiek/</v>
      </c>
      <c r="K12" s="2137" t="str">
        <f t="shared" si="1"/>
        <v>https://www.reddit.com/r/RMTK/comments/ds2nrf/w0046_rijksbegroting_2020_buitenlandse_zaken/</v>
      </c>
      <c r="L12" s="2139" t="str">
        <f t="shared" si="1"/>
        <v>https://www.reddit.com/r/RMTK/comments/ds2nu7/w0047_rijksbegroting_2020_defensie_en/</v>
      </c>
      <c r="M12" s="2140" t="str">
        <f t="shared" si="1"/>
        <v>https://www.reddit.com/r/RMTK/comments/dvhfjp/w0049_wetswijziging_tot_toestaan_polyamorisch/</v>
      </c>
      <c r="N12" s="2141" t="str">
        <f t="shared" si="1"/>
        <v>https://www.reddit.com/r/RMTK/comments/dvxgay/w0050_intrekkingswetsvoorstel_wetswijzing/</v>
      </c>
      <c r="O12" s="2142" t="str">
        <f t="shared" si="1"/>
        <v/>
      </c>
      <c r="P12" s="2142" t="str">
        <f t="shared" si="1"/>
        <v/>
      </c>
      <c r="Q12" s="2142" t="str">
        <f t="shared" si="1"/>
        <v/>
      </c>
      <c r="R12" s="2142" t="str">
        <f t="shared" si="1"/>
        <v/>
      </c>
    </row>
    <row r="13" ht="18.75" customHeight="1">
      <c r="A13" s="250" t="s">
        <v>1660</v>
      </c>
      <c r="B13" s="2143" t="s">
        <v>36</v>
      </c>
      <c r="C13" s="2144" t="s">
        <v>871</v>
      </c>
      <c r="D13" s="141" t="s">
        <v>109</v>
      </c>
      <c r="E13" s="151" t="s">
        <v>109</v>
      </c>
      <c r="F13" s="144" t="s">
        <v>109</v>
      </c>
      <c r="G13" s="141" t="s">
        <v>109</v>
      </c>
      <c r="H13" s="141" t="s">
        <v>110</v>
      </c>
      <c r="I13" s="141" t="s">
        <v>110</v>
      </c>
      <c r="J13" s="144" t="s">
        <v>117</v>
      </c>
      <c r="K13" s="141" t="s">
        <v>109</v>
      </c>
      <c r="L13" s="144" t="s">
        <v>110</v>
      </c>
      <c r="M13" s="141" t="s">
        <v>109</v>
      </c>
      <c r="N13" s="2145" t="s">
        <v>110</v>
      </c>
      <c r="O13" s="144" t="s">
        <v>108</v>
      </c>
      <c r="P13" s="144" t="s">
        <v>108</v>
      </c>
      <c r="Q13" s="144" t="s">
        <v>108</v>
      </c>
      <c r="R13" s="144" t="s">
        <v>108</v>
      </c>
    </row>
    <row r="14" ht="18.75" customHeight="1">
      <c r="A14" s="147"/>
      <c r="B14" s="172" t="s">
        <v>31</v>
      </c>
      <c r="C14" s="2021" t="s">
        <v>1310</v>
      </c>
      <c r="D14" s="141" t="s">
        <v>110</v>
      </c>
      <c r="E14" s="151" t="s">
        <v>119</v>
      </c>
      <c r="F14" s="144" t="s">
        <v>119</v>
      </c>
      <c r="G14" s="141" t="s">
        <v>119</v>
      </c>
      <c r="H14" s="141" t="s">
        <v>119</v>
      </c>
      <c r="I14" s="141" t="s">
        <v>119</v>
      </c>
      <c r="J14" s="144" t="s">
        <v>119</v>
      </c>
      <c r="K14" s="141" t="s">
        <v>119</v>
      </c>
      <c r="L14" s="144" t="s">
        <v>119</v>
      </c>
      <c r="M14" s="141" t="s">
        <v>119</v>
      </c>
      <c r="N14" s="144" t="s">
        <v>119</v>
      </c>
      <c r="O14" s="144" t="s">
        <v>119</v>
      </c>
      <c r="P14" s="144" t="s">
        <v>119</v>
      </c>
      <c r="Q14" s="144" t="s">
        <v>119</v>
      </c>
      <c r="R14" s="144" t="s">
        <v>119</v>
      </c>
    </row>
    <row r="15" ht="18.75" customHeight="1">
      <c r="A15" s="147"/>
      <c r="B15" s="115"/>
      <c r="C15" s="2024" t="s">
        <v>1579</v>
      </c>
      <c r="D15" s="141" t="s">
        <v>119</v>
      </c>
      <c r="E15" s="151" t="s">
        <v>110</v>
      </c>
      <c r="F15" s="144" t="s">
        <v>110</v>
      </c>
      <c r="G15" s="141" t="s">
        <v>110</v>
      </c>
      <c r="H15" s="141" t="s">
        <v>110</v>
      </c>
      <c r="I15" s="141" t="s">
        <v>109</v>
      </c>
      <c r="J15" s="144" t="s">
        <v>110</v>
      </c>
      <c r="K15" s="141" t="s">
        <v>110</v>
      </c>
      <c r="L15" s="144" t="s">
        <v>110</v>
      </c>
      <c r="M15" s="141" t="s">
        <v>110</v>
      </c>
      <c r="N15" s="144" t="s">
        <v>109</v>
      </c>
      <c r="O15" s="144" t="s">
        <v>108</v>
      </c>
      <c r="P15" s="144" t="s">
        <v>108</v>
      </c>
      <c r="Q15" s="144" t="s">
        <v>108</v>
      </c>
      <c r="R15" s="144" t="s">
        <v>108</v>
      </c>
    </row>
    <row r="16" ht="18.75" customHeight="1">
      <c r="A16" s="147"/>
      <c r="B16" s="1994" t="s">
        <v>449</v>
      </c>
      <c r="C16" s="2146" t="s">
        <v>44</v>
      </c>
      <c r="D16" s="141" t="s">
        <v>109</v>
      </c>
      <c r="E16" s="151" t="s">
        <v>119</v>
      </c>
      <c r="F16" s="144" t="s">
        <v>119</v>
      </c>
      <c r="G16" s="141" t="s">
        <v>119</v>
      </c>
      <c r="H16" s="141" t="s">
        <v>119</v>
      </c>
      <c r="I16" s="141" t="s">
        <v>119</v>
      </c>
      <c r="J16" s="144" t="s">
        <v>119</v>
      </c>
      <c r="K16" s="141" t="s">
        <v>119</v>
      </c>
      <c r="L16" s="144" t="s">
        <v>119</v>
      </c>
      <c r="M16" s="141" t="s">
        <v>119</v>
      </c>
      <c r="N16" s="144" t="s">
        <v>119</v>
      </c>
      <c r="O16" s="144" t="s">
        <v>119</v>
      </c>
      <c r="P16" s="144" t="s">
        <v>119</v>
      </c>
      <c r="Q16" s="144" t="s">
        <v>119</v>
      </c>
      <c r="R16" s="144" t="s">
        <v>119</v>
      </c>
    </row>
    <row r="17" ht="18.75" customHeight="1">
      <c r="A17" s="147"/>
      <c r="B17" s="115"/>
      <c r="C17" s="2147" t="s">
        <v>610</v>
      </c>
      <c r="D17" s="141" t="s">
        <v>119</v>
      </c>
      <c r="E17" s="151" t="s">
        <v>108</v>
      </c>
      <c r="F17" s="144" t="s">
        <v>108</v>
      </c>
      <c r="G17" s="141" t="s">
        <v>108</v>
      </c>
      <c r="H17" s="141" t="s">
        <v>108</v>
      </c>
      <c r="I17" s="141" t="s">
        <v>108</v>
      </c>
      <c r="J17" s="144" t="s">
        <v>108</v>
      </c>
      <c r="K17" s="141" t="s">
        <v>108</v>
      </c>
      <c r="L17" s="144" t="s">
        <v>108</v>
      </c>
      <c r="M17" s="141" t="s">
        <v>109</v>
      </c>
      <c r="N17" s="144" t="s">
        <v>110</v>
      </c>
      <c r="O17" s="144" t="s">
        <v>108</v>
      </c>
      <c r="P17" s="144" t="s">
        <v>108</v>
      </c>
      <c r="Q17" s="144" t="s">
        <v>108</v>
      </c>
      <c r="R17" s="144" t="s">
        <v>108</v>
      </c>
    </row>
    <row r="18" ht="18.75" customHeight="1">
      <c r="A18" s="159"/>
      <c r="B18" s="2148" t="s">
        <v>698</v>
      </c>
      <c r="C18" s="257" t="s">
        <v>125</v>
      </c>
      <c r="D18" s="141" t="s">
        <v>110</v>
      </c>
      <c r="E18" s="2149" t="s">
        <v>110</v>
      </c>
      <c r="F18" s="2150" t="s">
        <v>110</v>
      </c>
      <c r="G18" s="141" t="s">
        <v>110</v>
      </c>
      <c r="H18" s="141" t="s">
        <v>109</v>
      </c>
      <c r="I18" s="141" t="s">
        <v>110</v>
      </c>
      <c r="J18" s="144" t="s">
        <v>110</v>
      </c>
      <c r="K18" s="188" t="s">
        <v>110</v>
      </c>
      <c r="L18" s="2150" t="s">
        <v>110</v>
      </c>
      <c r="M18" s="141" t="s">
        <v>110</v>
      </c>
      <c r="N18" s="2150" t="s">
        <v>109</v>
      </c>
      <c r="O18" s="144" t="s">
        <v>108</v>
      </c>
      <c r="P18" s="144" t="s">
        <v>108</v>
      </c>
      <c r="Q18" s="144" t="s">
        <v>108</v>
      </c>
      <c r="R18" s="144" t="s">
        <v>108</v>
      </c>
    </row>
    <row r="19" ht="12.0" customHeight="1">
      <c r="A19" s="2151"/>
      <c r="B19" s="2152"/>
      <c r="C19" s="2153"/>
      <c r="D19" s="194" t="str">
        <f t="shared" ref="D19:R19" si="2">CONCATENATE("{""status"": ", IF(GT(D20, D21), """aangenomen""", """verworpen"""), ", ""title"": """, D7, """, ""url"": """,D12  , """, ""voor"":", D20,", ""tegen"": ", D21, ", ""onthouden"":", D22, "}")</f>
        <v>{"status": "aangenomen", "title": "W0040", "url": "https://www.reddit.com/r/RMTK/comments/d6jji7/w0040_wet_register_openbare_hygi%C3%ABne_en/", "voor":5, "tegen": 2, "onthouden":0}</v>
      </c>
      <c r="E19" s="193" t="str">
        <f t="shared" si="2"/>
        <v>{"status": "aangenomen", "title": "W0039", "url": "https://www.reddit.com/r/RMTK/comments/d2a3yu/w0039_wetsvoorstel_versoepeling_opiumwet/", "voor":5, "tegen": 1, "onthouden":0}</v>
      </c>
      <c r="F19" s="193" t="str">
        <f t="shared" si="2"/>
        <v>{"status": "verworpen", "title": "W0043", "url": "https://www.reddit.com/r/RMTK/comments/d9pe1o/w0043_wijziging_wetboek_van_strafrecht_artikel_23/", "voor":2, "tegen": 4, "onthouden":0}</v>
      </c>
      <c r="G19" s="194" t="str">
        <f t="shared" si="2"/>
        <v>{"status": "aangenomen", "title": "W0041", "url": "https://www.reddit.com/r/RMTK/comments/dqygsj/w0041_belastingwet_meervoudig_woningbezig/", "voor":3, "tegen": 2, "onthouden":0}</v>
      </c>
      <c r="H19" s="2154" t="str">
        <f t="shared" si="2"/>
        <v>{"status": "aangenomen", "title": "W0042", "url": "https://www.reddit.com/r/RMTK/comments/d93cgv/w0042_wet_tot_goedkeuring_aankoop_vijf_f35a_2019/", "voor":4, "tegen": 1, "onthouden":0}</v>
      </c>
      <c r="I19" s="2154" t="str">
        <f t="shared" si="2"/>
        <v>{"status": "verworpen", "title": "W0044", "url": "https://www.reddit.com/r/RMTK/comments/dkz3ba/w0043_intrekkingswet_accijnswet/", "voor":2, "tegen": 3, "onthouden":0}</v>
      </c>
      <c r="J19" s="2154" t="str">
        <f t="shared" si="2"/>
        <v>{"status": "aangenomen", "title": "W0045", "url": "https://www.reddit.com/r/RMTK/comments/dm1lyl/w0044_noodwet_stikfstofverbindingsproblematiek/", "voor":4, "tegen": 0, "onthouden":1}</v>
      </c>
      <c r="K19" s="2155" t="str">
        <f t="shared" si="2"/>
        <v>{"status": "aangenomen", "title": "W0046", "url": "https://www.reddit.com/r/RMTK/comments/ds2nrf/w0046_rijksbegroting_2020_buitenlandse_zaken/", "voor":5, "tegen": 1, "onthouden":0}</v>
      </c>
      <c r="L19" s="2155" t="str">
        <f t="shared" si="2"/>
        <v>{"status": "aangenomen", "title": "W0047", "url": "https://www.reddit.com/r/RMTK/comments/ds2nu7/w0047_rijksbegroting_2020_defensie_en/", "voor":6, "tegen": 0, "onthouden":0}</v>
      </c>
      <c r="M19" s="2154" t="str">
        <f t="shared" si="2"/>
        <v>{"status": "aangenomen", "title": "W0049", "url": "https://www.reddit.com/r/RMTK/comments/dvhfjp/w0049_wetswijziging_tot_toestaan_polyamorisch/", "voor":4, "tegen": 2, "onthouden":0}</v>
      </c>
      <c r="N19" s="2155" t="str">
        <f t="shared" si="2"/>
        <v>{"status": "aangenomen", "title": "W0050", "url": "https://www.reddit.com/r/RMTK/comments/dvxgay/w0050_intrekkingswetsvoorstel_wetswijzing/", "voor":4, "tegen": 2, "onthouden":0}</v>
      </c>
      <c r="O19" s="2154" t="str">
        <f t="shared" si="2"/>
        <v>{"status": "verworpen", "title": "", "url": "", "voor":0, "tegen": 0, "onthouden":0}</v>
      </c>
      <c r="P19" s="2154" t="str">
        <f t="shared" si="2"/>
        <v>{"status": "verworpen", "title": "", "url": "", "voor":0, "tegen": 0, "onthouden":0}</v>
      </c>
      <c r="Q19" s="2154" t="str">
        <f t="shared" si="2"/>
        <v>{"status": "verworpen", "title": "", "url": "", "voor":0, "tegen": 0, "onthouden":0}</v>
      </c>
      <c r="R19" s="2154" t="str">
        <f t="shared" si="2"/>
        <v>{"status": "verworpen", "title": "", "url": "", "voor":0, "tegen": 0, "onthouden":0}</v>
      </c>
    </row>
    <row r="20" ht="18.75" customHeight="1">
      <c r="A20" s="2156" t="s">
        <v>158</v>
      </c>
      <c r="B20" s="2157" t="s">
        <v>110</v>
      </c>
      <c r="D20" s="2158">
        <f t="shared" ref="D20:R20" si="3">COUNTIF(D6:D18,"Voor")</f>
        <v>5</v>
      </c>
      <c r="E20" s="2158">
        <f t="shared" si="3"/>
        <v>5</v>
      </c>
      <c r="F20" s="2158">
        <f t="shared" si="3"/>
        <v>2</v>
      </c>
      <c r="G20" s="2158">
        <f t="shared" si="3"/>
        <v>3</v>
      </c>
      <c r="H20" s="2158">
        <f t="shared" si="3"/>
        <v>4</v>
      </c>
      <c r="I20" s="2158">
        <f t="shared" si="3"/>
        <v>2</v>
      </c>
      <c r="J20" s="2158">
        <f t="shared" si="3"/>
        <v>4</v>
      </c>
      <c r="K20" s="2158">
        <f t="shared" si="3"/>
        <v>5</v>
      </c>
      <c r="L20" s="2158">
        <f t="shared" si="3"/>
        <v>6</v>
      </c>
      <c r="M20" s="2158">
        <f t="shared" si="3"/>
        <v>4</v>
      </c>
      <c r="N20" s="2158">
        <f t="shared" si="3"/>
        <v>4</v>
      </c>
      <c r="O20" s="2158">
        <f t="shared" si="3"/>
        <v>0</v>
      </c>
      <c r="P20" s="2158">
        <f t="shared" si="3"/>
        <v>0</v>
      </c>
      <c r="Q20" s="2158">
        <f t="shared" si="3"/>
        <v>0</v>
      </c>
      <c r="R20" s="2158">
        <f t="shared" si="3"/>
        <v>0</v>
      </c>
    </row>
    <row r="21" ht="18.75" customHeight="1">
      <c r="B21" s="2159" t="s">
        <v>109</v>
      </c>
      <c r="D21" s="2160">
        <f t="shared" ref="D21:R21" si="4">COUNTIF(D6:D18,"Tegen")</f>
        <v>2</v>
      </c>
      <c r="E21" s="2160">
        <f t="shared" si="4"/>
        <v>1</v>
      </c>
      <c r="F21" s="2160">
        <f t="shared" si="4"/>
        <v>4</v>
      </c>
      <c r="G21" s="2160">
        <f t="shared" si="4"/>
        <v>2</v>
      </c>
      <c r="H21" s="2160">
        <f t="shared" si="4"/>
        <v>1</v>
      </c>
      <c r="I21" s="2160">
        <f t="shared" si="4"/>
        <v>3</v>
      </c>
      <c r="J21" s="2160">
        <f t="shared" si="4"/>
        <v>0</v>
      </c>
      <c r="K21" s="2160">
        <f t="shared" si="4"/>
        <v>1</v>
      </c>
      <c r="L21" s="2160">
        <f t="shared" si="4"/>
        <v>0</v>
      </c>
      <c r="M21" s="2160">
        <f t="shared" si="4"/>
        <v>2</v>
      </c>
      <c r="N21" s="2160">
        <f t="shared" si="4"/>
        <v>2</v>
      </c>
      <c r="O21" s="2160">
        <f t="shared" si="4"/>
        <v>0</v>
      </c>
      <c r="P21" s="2160">
        <f t="shared" si="4"/>
        <v>0</v>
      </c>
      <c r="Q21" s="2160">
        <f t="shared" si="4"/>
        <v>0</v>
      </c>
      <c r="R21" s="2160">
        <f t="shared" si="4"/>
        <v>0</v>
      </c>
    </row>
    <row r="22" ht="18.75" customHeight="1">
      <c r="B22" s="2161" t="s">
        <v>159</v>
      </c>
      <c r="D22" s="2162">
        <f t="shared" ref="D22:R22" si="5">COUNTIF(D6:D18,"SO")</f>
        <v>0</v>
      </c>
      <c r="E22" s="2162">
        <f t="shared" si="5"/>
        <v>0</v>
      </c>
      <c r="F22" s="2162">
        <f t="shared" si="5"/>
        <v>0</v>
      </c>
      <c r="G22" s="2162">
        <f t="shared" si="5"/>
        <v>0</v>
      </c>
      <c r="H22" s="2162">
        <f t="shared" si="5"/>
        <v>0</v>
      </c>
      <c r="I22" s="2162">
        <f t="shared" si="5"/>
        <v>0</v>
      </c>
      <c r="J22" s="2162">
        <f t="shared" si="5"/>
        <v>1</v>
      </c>
      <c r="K22" s="2162">
        <f t="shared" si="5"/>
        <v>0</v>
      </c>
      <c r="L22" s="2162">
        <f t="shared" si="5"/>
        <v>0</v>
      </c>
      <c r="M22" s="2162">
        <f t="shared" si="5"/>
        <v>0</v>
      </c>
      <c r="N22" s="2162">
        <f t="shared" si="5"/>
        <v>0</v>
      </c>
      <c r="O22" s="2162">
        <f t="shared" si="5"/>
        <v>0</v>
      </c>
      <c r="P22" s="2162">
        <f t="shared" si="5"/>
        <v>0</v>
      </c>
      <c r="Q22" s="2162">
        <f t="shared" si="5"/>
        <v>0</v>
      </c>
      <c r="R22" s="2162">
        <f t="shared" si="5"/>
        <v>0</v>
      </c>
    </row>
    <row r="23" ht="18.75" customHeight="1">
      <c r="B23" s="2163" t="s">
        <v>160</v>
      </c>
      <c r="D23" s="2164">
        <f t="shared" ref="D23:R23" si="6">COUNTIF(D6:D18,"NG")</f>
        <v>0</v>
      </c>
      <c r="E23" s="2164">
        <f t="shared" si="6"/>
        <v>1</v>
      </c>
      <c r="F23" s="2164">
        <f t="shared" si="6"/>
        <v>1</v>
      </c>
      <c r="G23" s="2164">
        <f t="shared" si="6"/>
        <v>2</v>
      </c>
      <c r="H23" s="2164">
        <f t="shared" si="6"/>
        <v>2</v>
      </c>
      <c r="I23" s="2164">
        <f t="shared" si="6"/>
        <v>2</v>
      </c>
      <c r="J23" s="2164">
        <f t="shared" si="6"/>
        <v>2</v>
      </c>
      <c r="K23" s="2164">
        <f t="shared" si="6"/>
        <v>1</v>
      </c>
      <c r="L23" s="2164">
        <f t="shared" si="6"/>
        <v>1</v>
      </c>
      <c r="M23" s="2164">
        <f t="shared" si="6"/>
        <v>1</v>
      </c>
      <c r="N23" s="2164">
        <f t="shared" si="6"/>
        <v>1</v>
      </c>
      <c r="O23" s="2164">
        <f t="shared" si="6"/>
        <v>7</v>
      </c>
      <c r="P23" s="2164">
        <f t="shared" si="6"/>
        <v>7</v>
      </c>
      <c r="Q23" s="2164">
        <f t="shared" si="6"/>
        <v>7</v>
      </c>
      <c r="R23" s="2164">
        <f t="shared" si="6"/>
        <v>7</v>
      </c>
    </row>
    <row r="24" ht="18.75" customHeight="1">
      <c r="B24" s="2165" t="s">
        <v>161</v>
      </c>
      <c r="D24" s="2166">
        <f t="shared" ref="D24:R24" si="7">SUM(D20:D23)</f>
        <v>7</v>
      </c>
      <c r="E24" s="2166">
        <f t="shared" si="7"/>
        <v>7</v>
      </c>
      <c r="F24" s="2166">
        <f t="shared" si="7"/>
        <v>7</v>
      </c>
      <c r="G24" s="2166">
        <f t="shared" si="7"/>
        <v>7</v>
      </c>
      <c r="H24" s="2166">
        <f t="shared" si="7"/>
        <v>7</v>
      </c>
      <c r="I24" s="2166">
        <f t="shared" si="7"/>
        <v>7</v>
      </c>
      <c r="J24" s="2166">
        <f t="shared" si="7"/>
        <v>7</v>
      </c>
      <c r="K24" s="2166">
        <f t="shared" si="7"/>
        <v>7</v>
      </c>
      <c r="L24" s="2166">
        <f t="shared" si="7"/>
        <v>7</v>
      </c>
      <c r="M24" s="2166">
        <f t="shared" si="7"/>
        <v>7</v>
      </c>
      <c r="N24" s="2166">
        <f t="shared" si="7"/>
        <v>7</v>
      </c>
      <c r="O24" s="2166">
        <f t="shared" si="7"/>
        <v>7</v>
      </c>
      <c r="P24" s="2166">
        <f t="shared" si="7"/>
        <v>7</v>
      </c>
      <c r="Q24" s="2166">
        <f t="shared" si="7"/>
        <v>7</v>
      </c>
      <c r="R24" s="2166">
        <f t="shared" si="7"/>
        <v>7</v>
      </c>
    </row>
    <row r="25" ht="18.75" customHeight="1">
      <c r="B25" s="2167" t="s">
        <v>162</v>
      </c>
      <c r="D25" s="2168">
        <f t="shared" ref="D25:R25" si="8">D20+D21+D22</f>
        <v>7</v>
      </c>
      <c r="E25" s="2168">
        <f t="shared" si="8"/>
        <v>6</v>
      </c>
      <c r="F25" s="2168">
        <f t="shared" si="8"/>
        <v>6</v>
      </c>
      <c r="G25" s="2168">
        <f t="shared" si="8"/>
        <v>5</v>
      </c>
      <c r="H25" s="2168">
        <f t="shared" si="8"/>
        <v>5</v>
      </c>
      <c r="I25" s="2168">
        <f t="shared" si="8"/>
        <v>5</v>
      </c>
      <c r="J25" s="2168">
        <f t="shared" si="8"/>
        <v>5</v>
      </c>
      <c r="K25" s="2168">
        <f t="shared" si="8"/>
        <v>6</v>
      </c>
      <c r="L25" s="2168">
        <f t="shared" si="8"/>
        <v>6</v>
      </c>
      <c r="M25" s="2168">
        <f t="shared" si="8"/>
        <v>6</v>
      </c>
      <c r="N25" s="2168">
        <f t="shared" si="8"/>
        <v>6</v>
      </c>
      <c r="O25" s="2168">
        <f t="shared" si="8"/>
        <v>0</v>
      </c>
      <c r="P25" s="2168">
        <f t="shared" si="8"/>
        <v>0</v>
      </c>
      <c r="Q25" s="2168">
        <f t="shared" si="8"/>
        <v>0</v>
      </c>
      <c r="R25" s="2168">
        <f t="shared" si="8"/>
        <v>0</v>
      </c>
    </row>
    <row r="26" ht="18.75" customHeight="1">
      <c r="B26" s="2169" t="s">
        <v>163</v>
      </c>
      <c r="C26" s="109"/>
      <c r="D26" s="299">
        <f t="shared" ref="D26:R26" si="9">IFERROR(D25/D24,"")</f>
        <v>1</v>
      </c>
      <c r="E26" s="299">
        <f t="shared" si="9"/>
        <v>0.8571428571</v>
      </c>
      <c r="F26" s="299">
        <f t="shared" si="9"/>
        <v>0.8571428571</v>
      </c>
      <c r="G26" s="299">
        <f t="shared" si="9"/>
        <v>0.7142857143</v>
      </c>
      <c r="H26" s="299">
        <f t="shared" si="9"/>
        <v>0.7142857143</v>
      </c>
      <c r="I26" s="299">
        <f t="shared" si="9"/>
        <v>0.7142857143</v>
      </c>
      <c r="J26" s="299">
        <f t="shared" si="9"/>
        <v>0.7142857143</v>
      </c>
      <c r="K26" s="299">
        <f t="shared" si="9"/>
        <v>0.8571428571</v>
      </c>
      <c r="L26" s="299">
        <f t="shared" si="9"/>
        <v>0.8571428571</v>
      </c>
      <c r="M26" s="299">
        <f t="shared" si="9"/>
        <v>0.8571428571</v>
      </c>
      <c r="N26" s="299">
        <f t="shared" si="9"/>
        <v>0.8571428571</v>
      </c>
      <c r="O26" s="299">
        <f t="shared" si="9"/>
        <v>0</v>
      </c>
      <c r="P26" s="299">
        <f t="shared" si="9"/>
        <v>0</v>
      </c>
      <c r="Q26" s="299">
        <f t="shared" si="9"/>
        <v>0</v>
      </c>
      <c r="R26" s="299">
        <f t="shared" si="9"/>
        <v>0</v>
      </c>
    </row>
    <row r="27" ht="18.75" customHeight="1">
      <c r="A27" s="2112"/>
      <c r="B27" s="2112"/>
      <c r="C27" s="2112"/>
      <c r="D27" s="2106"/>
      <c r="E27" s="2106"/>
      <c r="F27" s="2106"/>
      <c r="G27" s="2106"/>
      <c r="H27" s="2106"/>
      <c r="I27" s="2106"/>
      <c r="J27" s="2106"/>
      <c r="K27" s="2106"/>
      <c r="L27" s="2106"/>
      <c r="M27" s="2106"/>
      <c r="N27" s="2106"/>
      <c r="O27" s="2106"/>
      <c r="P27" s="2106"/>
      <c r="Q27" s="2106"/>
      <c r="R27" s="2106"/>
    </row>
    <row r="28" ht="18.75" customHeight="1">
      <c r="A28" s="2106"/>
      <c r="B28" s="2106"/>
      <c r="C28" s="2106"/>
      <c r="D28" s="2106"/>
      <c r="E28" s="2106"/>
      <c r="F28" s="2106"/>
      <c r="G28" s="2106"/>
      <c r="H28" s="2106"/>
      <c r="I28" s="2106"/>
      <c r="J28" s="2106"/>
      <c r="K28" s="2106"/>
      <c r="L28" s="2106"/>
      <c r="M28" s="2106"/>
      <c r="N28" s="2106"/>
      <c r="O28" s="2106"/>
      <c r="P28" s="2106"/>
      <c r="Q28" s="2106"/>
      <c r="R28" s="2106"/>
    </row>
  </sheetData>
  <mergeCells count="17">
    <mergeCell ref="A2:C2"/>
    <mergeCell ref="D2:R2"/>
    <mergeCell ref="A4:C4"/>
    <mergeCell ref="D4:R6"/>
    <mergeCell ref="A5:C6"/>
    <mergeCell ref="A9:A11"/>
    <mergeCell ref="A13:A18"/>
    <mergeCell ref="B24:C24"/>
    <mergeCell ref="B25:C25"/>
    <mergeCell ref="B14:B15"/>
    <mergeCell ref="B16:B17"/>
    <mergeCell ref="A20:A26"/>
    <mergeCell ref="B20:C20"/>
    <mergeCell ref="B21:C21"/>
    <mergeCell ref="B22:C22"/>
    <mergeCell ref="B23:C23"/>
    <mergeCell ref="B26:C26"/>
  </mergeCells>
  <conditionalFormatting sqref="N9:R10 D10:M10 G14:R18 D15:D18 E18:F18">
    <cfRule type="containsText" dxfId="3" priority="1" operator="containsText" text="tegen">
      <formula>NOT(ISERROR(SEARCH(("tegen"),(N9))))</formula>
    </cfRule>
  </conditionalFormatting>
  <conditionalFormatting sqref="N9:R10 D10:M10 E14:R18 D15:D18">
    <cfRule type="cellIs" dxfId="5" priority="2" operator="equal">
      <formula>"NG"</formula>
    </cfRule>
  </conditionalFormatting>
  <conditionalFormatting sqref="D9:R11 B11:C11 D13:R18">
    <cfRule type="containsText" dxfId="4" priority="3" operator="containsText" text="voor">
      <formula>NOT(ISERROR(SEARCH(("voor"),(D9))))</formula>
    </cfRule>
  </conditionalFormatting>
  <conditionalFormatting sqref="D9:D18 E9:R11 B11:C11 E13:R18">
    <cfRule type="containsText" dxfId="2" priority="4" operator="containsText" text="SO">
      <formula>NOT(ISERROR(SEARCH(("SO"),(D9))))</formula>
    </cfRule>
  </conditionalFormatting>
  <conditionalFormatting sqref="D12">
    <cfRule type="containsText" dxfId="49" priority="5" operator="containsText" text="voor">
      <formula>NOT(ISERROR(SEARCH(("voor"),(D12))))</formula>
    </cfRule>
  </conditionalFormatting>
  <conditionalFormatting sqref="D9:D18 E9:R11 B11:C11 E13:R18">
    <cfRule type="containsText" dxfId="5" priority="6" operator="containsText" text="NG">
      <formula>NOT(ISERROR(SEARCH(("NG"),(D9))))</formula>
    </cfRule>
  </conditionalFormatting>
  <conditionalFormatting sqref="D9:D18 E9:R11 B11:C11 E13:R18">
    <cfRule type="containsText" dxfId="6" priority="7" operator="containsText" text="NVT">
      <formula>NOT(ISERROR(SEARCH(("NVT"),(D9))))</formula>
    </cfRule>
  </conditionalFormatting>
  <conditionalFormatting sqref="A1:R3 G8:R11 D9:F11 B11:C11 E13:R18 D15:D18 D20:F28 G20:R27 A27:C27">
    <cfRule type="containsText" dxfId="39" priority="8" operator="containsText" text="SO">
      <formula>NOT(ISERROR(SEARCH(("SO"),(A1))))</formula>
    </cfRule>
  </conditionalFormatting>
  <conditionalFormatting sqref="A1:R3 G8:R11 D9:F11 B11:C11 E13:R18 D15:D18 D20:F28 G20:R27 A27:C27">
    <cfRule type="containsText" dxfId="40" priority="9" operator="containsText" text="N.v.t.">
      <formula>NOT(ISERROR(SEARCH(("N.v.t."),(A1))))</formula>
    </cfRule>
  </conditionalFormatting>
  <conditionalFormatting sqref="A1:R3 G8:R11 D9:F11 B11:C11 E13:R18 D15:D18 D20:F28 G20:R27 A27:C27">
    <cfRule type="containsText" dxfId="23" priority="10" operator="containsText" text="Voor">
      <formula>NOT(ISERROR(SEARCH(("Voor"),(A1))))</formula>
    </cfRule>
  </conditionalFormatting>
  <conditionalFormatting sqref="A1:R3 G8:R11 D9:F11 B11:C11 E13:R18 D15:D18 D20:F28 G20:R27 A27:C27">
    <cfRule type="containsText" dxfId="41" priority="11" operator="containsText" text="Tegen">
      <formula>NOT(ISERROR(SEARCH(("Tegen"),(A1))))</formula>
    </cfRule>
  </conditionalFormatting>
  <conditionalFormatting sqref="A1:R3 G8:R11 D9:F11 B11:C11 E13:R18 D15:D18 D20:F28 G20:R27 A27:C27">
    <cfRule type="containsText" dxfId="42" priority="12" operator="containsText" text="N.v.t.">
      <formula>NOT(ISERROR(SEARCH(("N.v.t."),(A1))))</formula>
    </cfRule>
  </conditionalFormatting>
  <conditionalFormatting sqref="A1:R3 G8:R11 D9:F11 B11:C11 E13:R18 D15:D18 D20:F28 G20:R27 A27:C27">
    <cfRule type="cellIs" dxfId="39" priority="13" operator="equal">
      <formula>"SO"</formula>
    </cfRule>
  </conditionalFormatting>
  <conditionalFormatting sqref="A1:R3 G8:R11 D9:F11 B11:C11 E13:R18 D15:D18 D20:F28 G20:R27 A27:C27">
    <cfRule type="cellIs" dxfId="43" priority="14" operator="equal">
      <formula>"NG"</formula>
    </cfRule>
  </conditionalFormatting>
  <conditionalFormatting sqref="A1:A5 B1:C4 D1:R6 A7:C8 D8:D18 E8:R11 B11:C12 A12 E13:R18 B14:C15 A19:C27 D20:F28 G20:R27">
    <cfRule type="containsText" dxfId="0" priority="15" operator="containsText" text="voor">
      <formula>NOT(ISERROR(SEARCH(("voor"),(A1))))</formula>
    </cfRule>
  </conditionalFormatting>
  <conditionalFormatting sqref="A1:A5 B1:C4 D1:R6 A7:C8 D8:D18 E8:R11 B11:C12 A12 E13:R18 B14:C15 A19:C27 D20:F28 G20:R27">
    <cfRule type="containsText" dxfId="1" priority="16" operator="containsText" text="tegen">
      <formula>NOT(ISERROR(SEARCH(("tegen"),(A1))))</formula>
    </cfRule>
  </conditionalFormatting>
  <conditionalFormatting sqref="A1:C3 D1:R6 D8:D18 E8:R11 B11:C11 E13:R18 D20:F28 G20:R27 A27:C27">
    <cfRule type="containsText" dxfId="44" priority="17" operator="containsText" text="SO">
      <formula>NOT(ISERROR(SEARCH(("SO"),(A1))))</formula>
    </cfRule>
  </conditionalFormatting>
  <conditionalFormatting sqref="A1:C3 D1:R6 D8:D18 E8:R11 B11:C11 E13:R18 D20:F28 G20:R27 A27:C27">
    <cfRule type="containsText" dxfId="45" priority="18" operator="containsText" text="NG">
      <formula>NOT(ISERROR(SEARCH(("NG"),(A1))))</formula>
    </cfRule>
  </conditionalFormatting>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74EA7"/>
    <outlinePr summaryBelow="0" summaryRight="0"/>
  </sheetPr>
  <sheetViews>
    <sheetView workbookViewId="0">
      <pane ySplit="4.0" topLeftCell="A5" activePane="bottomLeft" state="frozen"/>
      <selection activeCell="B6" sqref="B6" pane="bottomLeft"/>
    </sheetView>
  </sheetViews>
  <sheetFormatPr customHeight="1" defaultColWidth="14.43" defaultRowHeight="15.75"/>
  <cols>
    <col customWidth="1" min="1" max="1" width="2.86"/>
    <col customWidth="1" min="2" max="2" width="10.57"/>
    <col customWidth="1" min="3" max="3" width="5.86"/>
    <col customWidth="1" min="4" max="4" width="14.14"/>
    <col customWidth="1" min="5" max="5" width="5.86"/>
    <col customWidth="1" min="6" max="6" width="16.43"/>
    <col customWidth="1" min="7" max="7" width="72.0"/>
    <col customWidth="1" min="8" max="8" width="19.29"/>
    <col customWidth="1" min="9" max="9" width="5.86"/>
    <col customWidth="1" min="10" max="10" width="13.14"/>
    <col customWidth="1" min="11" max="11" width="11.71"/>
    <col customWidth="1" min="12" max="12" width="5.86"/>
    <col customWidth="1" min="13" max="13" width="14.71"/>
    <col customWidth="1" min="14" max="14" width="5.86"/>
  </cols>
  <sheetData>
    <row r="1">
      <c r="A1" s="2170" t="s">
        <v>1580</v>
      </c>
      <c r="E1" s="2029"/>
      <c r="F1" s="2171" t="s">
        <v>1581</v>
      </c>
      <c r="I1" s="2172"/>
      <c r="J1" s="2171" t="s">
        <v>1582</v>
      </c>
      <c r="L1" s="2173"/>
      <c r="M1" s="2174" t="s">
        <v>1583</v>
      </c>
      <c r="N1" s="2172"/>
    </row>
    <row r="2">
      <c r="A2" s="2033"/>
      <c r="B2" s="2034"/>
      <c r="C2" s="2034"/>
      <c r="D2" s="2034"/>
      <c r="E2" s="2035"/>
      <c r="F2" s="2034"/>
      <c r="G2" s="2034"/>
      <c r="H2" s="2034"/>
      <c r="I2" s="2172"/>
      <c r="J2" s="2034"/>
      <c r="K2" s="2034"/>
      <c r="L2" s="2173"/>
      <c r="M2" s="373"/>
      <c r="N2" s="2172"/>
    </row>
    <row r="3">
      <c r="A3" s="2171"/>
      <c r="C3" s="2175"/>
      <c r="D3" s="2176" t="s">
        <v>1584</v>
      </c>
      <c r="E3" s="2177"/>
      <c r="F3" s="2178" t="s">
        <v>1585</v>
      </c>
      <c r="G3" s="2179" t="s">
        <v>546</v>
      </c>
      <c r="H3" s="2180" t="s">
        <v>1586</v>
      </c>
      <c r="I3" s="2172"/>
      <c r="J3" s="2181" t="s">
        <v>1587</v>
      </c>
      <c r="K3" s="2182" t="s">
        <v>1588</v>
      </c>
      <c r="L3" s="2173"/>
      <c r="M3" s="373"/>
      <c r="N3" s="2172"/>
    </row>
    <row r="4">
      <c r="A4" s="2183"/>
      <c r="B4" s="2183"/>
      <c r="C4" s="2184"/>
      <c r="D4" s="2184"/>
      <c r="E4" s="2184"/>
      <c r="F4" s="2184"/>
      <c r="G4" s="2185"/>
      <c r="H4" s="2186"/>
      <c r="I4" s="2184"/>
      <c r="J4" s="2184"/>
      <c r="K4" s="2184"/>
      <c r="L4" s="2184"/>
      <c r="M4" s="2187"/>
      <c r="N4" s="2184"/>
    </row>
    <row r="5">
      <c r="A5" s="2188" t="s">
        <v>1589</v>
      </c>
      <c r="B5" s="2189">
        <v>43647.0</v>
      </c>
      <c r="C5" s="2190"/>
      <c r="D5" s="2191" t="s">
        <v>1590</v>
      </c>
      <c r="E5" s="2190"/>
      <c r="F5" s="2192" t="s">
        <v>665</v>
      </c>
      <c r="G5" s="2193" t="s">
        <v>1661</v>
      </c>
      <c r="H5" s="2194" t="s">
        <v>629</v>
      </c>
      <c r="I5" s="2172"/>
      <c r="J5" s="2195">
        <f>B5</f>
        <v>43647</v>
      </c>
      <c r="K5" s="2196">
        <f t="shared" ref="K5:K8" si="1">J5+3</f>
        <v>43650</v>
      </c>
      <c r="L5" s="2172"/>
      <c r="M5" s="2197"/>
      <c r="N5" s="2172"/>
    </row>
    <row r="6">
      <c r="C6" s="2190"/>
      <c r="D6" s="2191" t="s">
        <v>1601</v>
      </c>
      <c r="E6" s="2190"/>
      <c r="F6" s="2192" t="s">
        <v>934</v>
      </c>
      <c r="G6" s="2193" t="s">
        <v>1662</v>
      </c>
      <c r="H6" s="2198" t="s">
        <v>155</v>
      </c>
      <c r="I6" s="2172"/>
      <c r="J6" s="2195">
        <f>B5</f>
        <v>43647</v>
      </c>
      <c r="K6" s="2196">
        <f t="shared" si="1"/>
        <v>43650</v>
      </c>
      <c r="L6" s="2172"/>
      <c r="M6" s="2197"/>
      <c r="N6" s="2172"/>
    </row>
    <row r="7">
      <c r="A7" s="2188" t="s">
        <v>1591</v>
      </c>
      <c r="B7" s="2189">
        <f>B5+1</f>
        <v>43648</v>
      </c>
      <c r="C7" s="2190"/>
      <c r="D7" s="2191" t="s">
        <v>1590</v>
      </c>
      <c r="E7" s="2190"/>
      <c r="F7" s="2192" t="s">
        <v>666</v>
      </c>
      <c r="G7" s="2193" t="s">
        <v>1663</v>
      </c>
      <c r="H7" s="2194" t="s">
        <v>32</v>
      </c>
      <c r="I7" s="2172"/>
      <c r="J7" s="2195">
        <f t="shared" ref="J7:J8" si="2">B7</f>
        <v>43648</v>
      </c>
      <c r="K7" s="2196">
        <f t="shared" si="1"/>
        <v>43651</v>
      </c>
      <c r="L7" s="2172"/>
      <c r="M7" s="2197"/>
      <c r="N7" s="2172"/>
    </row>
    <row r="8">
      <c r="A8" s="2199" t="s">
        <v>1593</v>
      </c>
      <c r="B8" s="2189">
        <f>B7+1</f>
        <v>43649</v>
      </c>
      <c r="C8" s="2190"/>
      <c r="D8" s="2191" t="s">
        <v>1590</v>
      </c>
      <c r="E8" s="2190"/>
      <c r="F8" s="2200" t="s">
        <v>818</v>
      </c>
      <c r="G8" s="2201" t="s">
        <v>1664</v>
      </c>
      <c r="H8" s="2194" t="s">
        <v>662</v>
      </c>
      <c r="I8" s="2172"/>
      <c r="J8" s="2195">
        <f t="shared" si="2"/>
        <v>43649</v>
      </c>
      <c r="K8" s="2196">
        <f t="shared" si="1"/>
        <v>43652</v>
      </c>
      <c r="L8" s="2172"/>
      <c r="M8" s="2197"/>
      <c r="N8" s="2172"/>
    </row>
    <row r="9">
      <c r="C9" s="2190"/>
      <c r="D9" s="2202" t="s">
        <v>1601</v>
      </c>
      <c r="E9" s="2190"/>
      <c r="F9" s="2200" t="s">
        <v>56</v>
      </c>
      <c r="G9" s="2201" t="s">
        <v>1592</v>
      </c>
      <c r="H9" s="2203" t="s">
        <v>56</v>
      </c>
      <c r="I9" s="2172"/>
      <c r="J9" s="2204">
        <v>43649.0</v>
      </c>
      <c r="K9" s="2205">
        <v>43656.0</v>
      </c>
      <c r="L9" s="2172"/>
      <c r="M9" s="2197"/>
      <c r="N9" s="2172"/>
    </row>
    <row r="10">
      <c r="A10" s="2188" t="s">
        <v>1591</v>
      </c>
      <c r="B10" s="2189">
        <f>B8+1</f>
        <v>43650</v>
      </c>
      <c r="C10" s="2190"/>
      <c r="D10" s="2191" t="s">
        <v>1597</v>
      </c>
      <c r="E10" s="2190"/>
      <c r="F10" s="2200" t="s">
        <v>1665</v>
      </c>
      <c r="G10" s="2201" t="s">
        <v>1666</v>
      </c>
      <c r="H10" s="2206" t="s">
        <v>56</v>
      </c>
      <c r="I10" s="2172"/>
      <c r="J10" s="2195">
        <f>B10</f>
        <v>43650</v>
      </c>
      <c r="K10" s="2196">
        <f>J10+7</f>
        <v>43657</v>
      </c>
      <c r="L10" s="2172"/>
      <c r="M10" s="2197"/>
      <c r="N10" s="2172"/>
    </row>
    <row r="11">
      <c r="C11" s="2190"/>
      <c r="D11" s="2191" t="s">
        <v>1590</v>
      </c>
      <c r="E11" s="2190"/>
      <c r="F11" s="2200" t="s">
        <v>56</v>
      </c>
      <c r="G11" s="2201" t="s">
        <v>56</v>
      </c>
      <c r="H11" s="2203" t="s">
        <v>56</v>
      </c>
      <c r="I11" s="2172"/>
      <c r="J11" s="2195">
        <f>B10</f>
        <v>43650</v>
      </c>
      <c r="K11" s="2196">
        <f t="shared" ref="K11:K12" si="3">J11+3</f>
        <v>43653</v>
      </c>
      <c r="L11" s="2172"/>
      <c r="M11" s="2197"/>
      <c r="N11" s="2172"/>
    </row>
    <row r="12">
      <c r="A12" s="2188" t="s">
        <v>1600</v>
      </c>
      <c r="B12" s="2189">
        <f>B10+1</f>
        <v>43651</v>
      </c>
      <c r="C12" s="2190"/>
      <c r="D12" s="2191" t="s">
        <v>1601</v>
      </c>
      <c r="E12" s="2190"/>
      <c r="F12" s="2207" t="s">
        <v>934</v>
      </c>
      <c r="G12" s="2208" t="s">
        <v>1662</v>
      </c>
      <c r="H12" s="2209" t="s">
        <v>155</v>
      </c>
      <c r="I12" s="2172"/>
      <c r="J12" s="2195">
        <f>B12</f>
        <v>43651</v>
      </c>
      <c r="K12" s="2196">
        <f t="shared" si="3"/>
        <v>43654</v>
      </c>
      <c r="L12" s="2172"/>
      <c r="M12" s="2197"/>
      <c r="N12" s="2172"/>
    </row>
    <row r="13">
      <c r="A13" s="2188" t="s">
        <v>1603</v>
      </c>
      <c r="B13" s="2189">
        <f t="shared" ref="B13:B15" si="4">B12+1</f>
        <v>43652</v>
      </c>
      <c r="C13" s="2190"/>
      <c r="D13" s="2191" t="s">
        <v>1415</v>
      </c>
      <c r="E13" s="2190"/>
      <c r="F13" s="2207" t="s">
        <v>56</v>
      </c>
      <c r="G13" s="2210" t="s">
        <v>56</v>
      </c>
      <c r="H13" s="2211" t="s">
        <v>56</v>
      </c>
      <c r="I13" s="2172"/>
      <c r="J13" s="2212"/>
      <c r="K13" s="2213"/>
      <c r="L13" s="2172"/>
      <c r="M13" s="2197"/>
      <c r="N13" s="2172"/>
    </row>
    <row r="14">
      <c r="A14" s="2214" t="s">
        <v>1603</v>
      </c>
      <c r="B14" s="2215">
        <f t="shared" si="4"/>
        <v>43653</v>
      </c>
      <c r="C14" s="2216"/>
      <c r="D14" s="2217" t="s">
        <v>1604</v>
      </c>
      <c r="E14" s="2216"/>
      <c r="F14" s="2218" t="s">
        <v>56</v>
      </c>
      <c r="G14" s="2219" t="s">
        <v>56</v>
      </c>
      <c r="H14" s="2220" t="s">
        <v>56</v>
      </c>
      <c r="I14" s="2184"/>
      <c r="J14" s="2221"/>
      <c r="K14" s="2222"/>
      <c r="L14" s="2184"/>
      <c r="M14" s="2223"/>
      <c r="N14" s="2184"/>
    </row>
    <row r="15">
      <c r="A15" s="2188" t="s">
        <v>1589</v>
      </c>
      <c r="B15" s="2189">
        <f t="shared" si="4"/>
        <v>43654</v>
      </c>
      <c r="C15" s="2190"/>
      <c r="D15" s="2191" t="s">
        <v>1590</v>
      </c>
      <c r="E15" s="2190"/>
      <c r="F15" s="2207" t="s">
        <v>667</v>
      </c>
      <c r="G15" s="2210" t="s">
        <v>1667</v>
      </c>
      <c r="H15" s="2224" t="s">
        <v>668</v>
      </c>
      <c r="I15" s="2172"/>
      <c r="J15" s="2195">
        <f>B15</f>
        <v>43654</v>
      </c>
      <c r="K15" s="2196">
        <f t="shared" ref="K15:K19" si="5">J15+3</f>
        <v>43657</v>
      </c>
      <c r="L15" s="2172"/>
      <c r="M15" s="2197"/>
      <c r="N15" s="2172"/>
    </row>
    <row r="16">
      <c r="C16" s="2190"/>
      <c r="D16" s="2202" t="s">
        <v>1601</v>
      </c>
      <c r="E16" s="2190"/>
      <c r="F16" s="2207" t="s">
        <v>935</v>
      </c>
      <c r="G16" s="2208" t="s">
        <v>1668</v>
      </c>
      <c r="H16" s="2225" t="s">
        <v>617</v>
      </c>
      <c r="I16" s="2172"/>
      <c r="J16" s="2195">
        <f>B15</f>
        <v>43654</v>
      </c>
      <c r="K16" s="2196">
        <f t="shared" si="5"/>
        <v>43657</v>
      </c>
      <c r="L16" s="2172"/>
      <c r="M16" s="2197"/>
      <c r="N16" s="2172"/>
    </row>
    <row r="17">
      <c r="A17" s="2188" t="s">
        <v>1591</v>
      </c>
      <c r="B17" s="2189">
        <f>B15+1</f>
        <v>43655</v>
      </c>
      <c r="C17" s="2190"/>
      <c r="D17" s="2191" t="s">
        <v>1590</v>
      </c>
      <c r="E17" s="2190"/>
      <c r="F17" s="2207" t="s">
        <v>669</v>
      </c>
      <c r="G17" s="2193" t="s">
        <v>1661</v>
      </c>
      <c r="H17" s="2194" t="s">
        <v>629</v>
      </c>
      <c r="I17" s="2172"/>
      <c r="J17" s="2195">
        <f t="shared" ref="J17:J18" si="6">B17</f>
        <v>43655</v>
      </c>
      <c r="K17" s="2196">
        <f t="shared" si="5"/>
        <v>43658</v>
      </c>
      <c r="L17" s="2172"/>
      <c r="M17" s="2197"/>
      <c r="N17" s="2172"/>
    </row>
    <row r="18">
      <c r="A18" s="2199" t="s">
        <v>1593</v>
      </c>
      <c r="B18" s="2226">
        <f>B17+1</f>
        <v>43656</v>
      </c>
      <c r="C18" s="2190"/>
      <c r="D18" s="2191" t="s">
        <v>1590</v>
      </c>
      <c r="E18" s="2190"/>
      <c r="F18" s="2207" t="s">
        <v>936</v>
      </c>
      <c r="G18" s="2210" t="s">
        <v>1669</v>
      </c>
      <c r="H18" s="2227" t="s">
        <v>118</v>
      </c>
      <c r="I18" s="2172"/>
      <c r="J18" s="2195">
        <f t="shared" si="6"/>
        <v>43656</v>
      </c>
      <c r="K18" s="2196">
        <f t="shared" si="5"/>
        <v>43659</v>
      </c>
      <c r="L18" s="2172"/>
      <c r="M18" s="2197"/>
      <c r="N18" s="2172"/>
    </row>
    <row r="19">
      <c r="C19" s="2190"/>
      <c r="D19" s="2202" t="s">
        <v>1590</v>
      </c>
      <c r="E19" s="2190"/>
      <c r="F19" s="2207" t="s">
        <v>819</v>
      </c>
      <c r="G19" s="2210" t="s">
        <v>1670</v>
      </c>
      <c r="H19" s="2225" t="s">
        <v>153</v>
      </c>
      <c r="I19" s="2172"/>
      <c r="J19" s="2195">
        <f>B18</f>
        <v>43656</v>
      </c>
      <c r="K19" s="2196">
        <f t="shared" si="5"/>
        <v>43659</v>
      </c>
      <c r="L19" s="2172"/>
      <c r="M19" s="2197"/>
      <c r="N19" s="2172"/>
    </row>
    <row r="20">
      <c r="A20" s="2188" t="s">
        <v>1591</v>
      </c>
      <c r="B20" s="2189">
        <f>B18+1</f>
        <v>43657</v>
      </c>
      <c r="C20" s="2190"/>
      <c r="D20" s="2191" t="s">
        <v>1597</v>
      </c>
      <c r="E20" s="2190"/>
      <c r="F20" s="2207" t="s">
        <v>1671</v>
      </c>
      <c r="G20" s="2210" t="s">
        <v>1672</v>
      </c>
      <c r="H20" s="2228" t="s">
        <v>56</v>
      </c>
      <c r="I20" s="2172"/>
      <c r="J20" s="2195">
        <f>B20</f>
        <v>43657</v>
      </c>
      <c r="K20" s="2196">
        <f>J20+7</f>
        <v>43664</v>
      </c>
      <c r="L20" s="2172"/>
      <c r="M20" s="2197"/>
      <c r="N20" s="2172"/>
    </row>
    <row r="21">
      <c r="C21" s="2190"/>
      <c r="D21" s="2191" t="s">
        <v>1590</v>
      </c>
      <c r="E21" s="2190"/>
      <c r="F21" s="2207" t="s">
        <v>670</v>
      </c>
      <c r="G21" s="2210" t="s">
        <v>1673</v>
      </c>
      <c r="H21" s="2225" t="s">
        <v>153</v>
      </c>
      <c r="I21" s="2172"/>
      <c r="J21" s="2195">
        <f>B20</f>
        <v>43657</v>
      </c>
      <c r="K21" s="2196">
        <f t="shared" ref="K21:K22" si="7">J21+3</f>
        <v>43660</v>
      </c>
      <c r="L21" s="2172"/>
      <c r="M21" s="2197"/>
      <c r="N21" s="2172"/>
    </row>
    <row r="22">
      <c r="A22" s="2188" t="s">
        <v>1600</v>
      </c>
      <c r="B22" s="2189">
        <f>B20+1</f>
        <v>43658</v>
      </c>
      <c r="C22" s="2190"/>
      <c r="D22" s="2191" t="s">
        <v>1601</v>
      </c>
      <c r="E22" s="2190"/>
      <c r="F22" s="2207" t="s">
        <v>937</v>
      </c>
      <c r="G22" s="2210" t="s">
        <v>1674</v>
      </c>
      <c r="H22" s="2194" t="s">
        <v>662</v>
      </c>
      <c r="I22" s="2172"/>
      <c r="J22" s="2195">
        <f>B22</f>
        <v>43658</v>
      </c>
      <c r="K22" s="2196">
        <f t="shared" si="7"/>
        <v>43661</v>
      </c>
      <c r="L22" s="2172"/>
      <c r="M22" s="2197"/>
      <c r="N22" s="2172"/>
    </row>
    <row r="23">
      <c r="A23" s="2188" t="s">
        <v>1603</v>
      </c>
      <c r="B23" s="2189">
        <f t="shared" ref="B23:B25" si="8">B22+1</f>
        <v>43659</v>
      </c>
      <c r="C23" s="2190"/>
      <c r="D23" s="2191" t="s">
        <v>1415</v>
      </c>
      <c r="E23" s="2190"/>
      <c r="F23" s="2207" t="s">
        <v>56</v>
      </c>
      <c r="G23" s="2210" t="s">
        <v>56</v>
      </c>
      <c r="H23" s="2211" t="s">
        <v>56</v>
      </c>
      <c r="I23" s="2172"/>
      <c r="J23" s="2212"/>
      <c r="K23" s="2213"/>
      <c r="L23" s="2172"/>
      <c r="M23" s="2197"/>
      <c r="N23" s="2172"/>
    </row>
    <row r="24">
      <c r="A24" s="2214" t="s">
        <v>1603</v>
      </c>
      <c r="B24" s="2215">
        <f t="shared" si="8"/>
        <v>43660</v>
      </c>
      <c r="C24" s="2216"/>
      <c r="D24" s="2217" t="s">
        <v>1604</v>
      </c>
      <c r="E24" s="2216"/>
      <c r="F24" s="2218" t="s">
        <v>56</v>
      </c>
      <c r="G24" s="2219" t="s">
        <v>56</v>
      </c>
      <c r="H24" s="2220" t="s">
        <v>56</v>
      </c>
      <c r="I24" s="2184"/>
      <c r="J24" s="2221"/>
      <c r="K24" s="2222"/>
      <c r="L24" s="2184"/>
      <c r="M24" s="2223"/>
      <c r="N24" s="2184"/>
    </row>
    <row r="25">
      <c r="A25" s="2188" t="s">
        <v>1589</v>
      </c>
      <c r="B25" s="2189">
        <f t="shared" si="8"/>
        <v>43661</v>
      </c>
      <c r="C25" s="2190"/>
      <c r="D25" s="2191" t="s">
        <v>1590</v>
      </c>
      <c r="E25" s="2190"/>
      <c r="F25" s="2207" t="s">
        <v>938</v>
      </c>
      <c r="G25" s="2210" t="s">
        <v>1675</v>
      </c>
      <c r="H25" s="2227" t="s">
        <v>118</v>
      </c>
      <c r="I25" s="2172"/>
      <c r="J25" s="2195">
        <f>B25</f>
        <v>43661</v>
      </c>
      <c r="K25" s="2196">
        <f t="shared" ref="K25:K30" si="9">J25+3</f>
        <v>43664</v>
      </c>
      <c r="L25" s="2172"/>
      <c r="M25" s="2197"/>
      <c r="N25" s="2172"/>
    </row>
    <row r="26">
      <c r="C26" s="2190"/>
      <c r="D26" s="2202" t="s">
        <v>1590</v>
      </c>
      <c r="E26" s="2190"/>
      <c r="F26" s="2207" t="s">
        <v>671</v>
      </c>
      <c r="G26" s="2210" t="s">
        <v>1676</v>
      </c>
      <c r="H26" s="733" t="s">
        <v>673</v>
      </c>
      <c r="I26" s="2172"/>
      <c r="J26" s="2195">
        <f>B25</f>
        <v>43661</v>
      </c>
      <c r="K26" s="2196">
        <f t="shared" si="9"/>
        <v>43664</v>
      </c>
      <c r="L26" s="2172"/>
      <c r="M26" s="2197"/>
      <c r="N26" s="2172"/>
    </row>
    <row r="27">
      <c r="A27" s="2188" t="s">
        <v>1591</v>
      </c>
      <c r="B27" s="2189">
        <f>B25+1</f>
        <v>43662</v>
      </c>
      <c r="C27" s="2190"/>
      <c r="D27" s="2202" t="s">
        <v>1590</v>
      </c>
      <c r="E27" s="2190"/>
      <c r="F27" s="2207" t="s">
        <v>939</v>
      </c>
      <c r="G27" s="2210" t="s">
        <v>1677</v>
      </c>
      <c r="H27" s="2229" t="s">
        <v>157</v>
      </c>
      <c r="I27" s="2172"/>
      <c r="J27" s="2195">
        <f>B27</f>
        <v>43662</v>
      </c>
      <c r="K27" s="2196">
        <f t="shared" si="9"/>
        <v>43665</v>
      </c>
      <c r="L27" s="2172"/>
      <c r="M27" s="2197"/>
      <c r="N27" s="2172"/>
    </row>
    <row r="28">
      <c r="C28" s="2190"/>
      <c r="D28" s="2191" t="s">
        <v>1590</v>
      </c>
      <c r="E28" s="2190"/>
      <c r="F28" s="2207" t="s">
        <v>674</v>
      </c>
      <c r="G28" s="2210" t="s">
        <v>1678</v>
      </c>
      <c r="H28" s="2230" t="s">
        <v>299</v>
      </c>
      <c r="I28" s="2172"/>
      <c r="J28" s="2195">
        <f>B27</f>
        <v>43662</v>
      </c>
      <c r="K28" s="2196">
        <f t="shared" si="9"/>
        <v>43665</v>
      </c>
      <c r="L28" s="2172"/>
      <c r="M28" s="2197"/>
      <c r="N28" s="2172"/>
    </row>
    <row r="29">
      <c r="A29" s="2188" t="s">
        <v>1593</v>
      </c>
      <c r="B29" s="2189">
        <f>B27+1</f>
        <v>43663</v>
      </c>
      <c r="C29" s="2190"/>
      <c r="D29" s="2202" t="s">
        <v>1590</v>
      </c>
      <c r="E29" s="2190"/>
      <c r="F29" s="2207" t="s">
        <v>1679</v>
      </c>
      <c r="G29" s="2210" t="s">
        <v>1680</v>
      </c>
      <c r="H29" s="2230" t="s">
        <v>154</v>
      </c>
      <c r="I29" s="2172"/>
      <c r="J29" s="2195">
        <f>B29</f>
        <v>43663</v>
      </c>
      <c r="K29" s="2196">
        <f t="shared" si="9"/>
        <v>43666</v>
      </c>
      <c r="L29" s="2172"/>
      <c r="M29" s="2197"/>
      <c r="N29" s="2172"/>
    </row>
    <row r="30">
      <c r="C30" s="2190"/>
      <c r="D30" s="2191" t="s">
        <v>1590</v>
      </c>
      <c r="E30" s="2190"/>
      <c r="F30" s="2207" t="s">
        <v>820</v>
      </c>
      <c r="G30" s="2210" t="s">
        <v>1681</v>
      </c>
      <c r="H30" s="2225" t="s">
        <v>153</v>
      </c>
      <c r="I30" s="2172"/>
      <c r="J30" s="2195">
        <f>B29</f>
        <v>43663</v>
      </c>
      <c r="K30" s="2196">
        <f t="shared" si="9"/>
        <v>43666</v>
      </c>
      <c r="L30" s="2172"/>
      <c r="M30" s="2197"/>
      <c r="N30" s="2172"/>
    </row>
    <row r="31">
      <c r="A31" s="2188" t="s">
        <v>1591</v>
      </c>
      <c r="B31" s="2189">
        <f>B29+1</f>
        <v>43664</v>
      </c>
      <c r="C31" s="2190"/>
      <c r="D31" s="2191" t="s">
        <v>1597</v>
      </c>
      <c r="E31" s="2190"/>
      <c r="F31" s="2207" t="s">
        <v>1682</v>
      </c>
      <c r="G31" s="2210" t="s">
        <v>1683</v>
      </c>
      <c r="H31" s="2228" t="s">
        <v>56</v>
      </c>
      <c r="I31" s="2172"/>
      <c r="J31" s="2195">
        <f>B31</f>
        <v>43664</v>
      </c>
      <c r="K31" s="2196">
        <f>J31+7</f>
        <v>43671</v>
      </c>
      <c r="L31" s="2172"/>
      <c r="M31" s="2197"/>
      <c r="N31" s="2172"/>
    </row>
    <row r="32">
      <c r="C32" s="2190"/>
      <c r="D32" s="2191" t="s">
        <v>1590</v>
      </c>
      <c r="E32" s="2190"/>
      <c r="F32" s="2207" t="s">
        <v>821</v>
      </c>
      <c r="G32" s="2210" t="s">
        <v>1684</v>
      </c>
      <c r="H32" s="2194" t="s">
        <v>662</v>
      </c>
      <c r="I32" s="2172"/>
      <c r="J32" s="2195">
        <f>B31</f>
        <v>43664</v>
      </c>
      <c r="K32" s="2196">
        <f t="shared" ref="K32:K33" si="10">J32+3</f>
        <v>43667</v>
      </c>
      <c r="L32" s="2172"/>
      <c r="M32" s="2197"/>
      <c r="N32" s="2172"/>
    </row>
    <row r="33">
      <c r="A33" s="2188" t="s">
        <v>1600</v>
      </c>
      <c r="B33" s="2189">
        <f>B31+1</f>
        <v>43665</v>
      </c>
      <c r="C33" s="2190"/>
      <c r="D33" s="2191" t="s">
        <v>1601</v>
      </c>
      <c r="E33" s="2190"/>
      <c r="F33" s="2207" t="s">
        <v>940</v>
      </c>
      <c r="G33" s="2210" t="s">
        <v>1685</v>
      </c>
      <c r="H33" s="2227" t="s">
        <v>118</v>
      </c>
      <c r="I33" s="2172"/>
      <c r="J33" s="2195">
        <f>B33</f>
        <v>43665</v>
      </c>
      <c r="K33" s="2196">
        <f t="shared" si="10"/>
        <v>43668</v>
      </c>
      <c r="L33" s="2172"/>
      <c r="M33" s="2197"/>
      <c r="N33" s="2172"/>
    </row>
    <row r="34">
      <c r="A34" s="2188" t="s">
        <v>1603</v>
      </c>
      <c r="B34" s="2189">
        <f t="shared" ref="B34:B36" si="11">B33+1</f>
        <v>43666</v>
      </c>
      <c r="C34" s="2190"/>
      <c r="D34" s="2191" t="s">
        <v>1415</v>
      </c>
      <c r="E34" s="2190"/>
      <c r="F34" s="2207" t="s">
        <v>56</v>
      </c>
      <c r="G34" s="2210" t="s">
        <v>56</v>
      </c>
      <c r="H34" s="2211" t="s">
        <v>56</v>
      </c>
      <c r="I34" s="2172"/>
      <c r="J34" s="2212"/>
      <c r="K34" s="2213"/>
      <c r="L34" s="2172"/>
      <c r="M34" s="2197"/>
      <c r="N34" s="2172"/>
    </row>
    <row r="35">
      <c r="A35" s="2214" t="s">
        <v>1603</v>
      </c>
      <c r="B35" s="2215">
        <f t="shared" si="11"/>
        <v>43667</v>
      </c>
      <c r="C35" s="2216"/>
      <c r="D35" s="2217" t="s">
        <v>1604</v>
      </c>
      <c r="E35" s="2216"/>
      <c r="F35" s="2218" t="s">
        <v>56</v>
      </c>
      <c r="G35" s="2219" t="s">
        <v>56</v>
      </c>
      <c r="H35" s="2220" t="s">
        <v>56</v>
      </c>
      <c r="I35" s="2184"/>
      <c r="J35" s="2221"/>
      <c r="K35" s="2222"/>
      <c r="L35" s="2184"/>
      <c r="M35" s="2223"/>
      <c r="N35" s="2184"/>
    </row>
    <row r="36">
      <c r="A36" s="2188" t="s">
        <v>1589</v>
      </c>
      <c r="B36" s="2189">
        <f t="shared" si="11"/>
        <v>43668</v>
      </c>
      <c r="C36" s="2190"/>
      <c r="D36" s="2191" t="s">
        <v>1590</v>
      </c>
      <c r="E36" s="2190"/>
      <c r="F36" s="2207" t="s">
        <v>822</v>
      </c>
      <c r="G36" s="2210" t="s">
        <v>1686</v>
      </c>
      <c r="H36" s="2227" t="s">
        <v>118</v>
      </c>
      <c r="I36" s="2172"/>
      <c r="J36" s="2195">
        <f>B36</f>
        <v>43668</v>
      </c>
      <c r="K36" s="2196">
        <f t="shared" ref="K36:K40" si="12">J36+3</f>
        <v>43671</v>
      </c>
      <c r="L36" s="2172"/>
      <c r="M36" s="2197"/>
      <c r="N36" s="2172"/>
    </row>
    <row r="37">
      <c r="C37" s="2190"/>
      <c r="D37" s="2202" t="s">
        <v>1590</v>
      </c>
      <c r="E37" s="2190"/>
      <c r="F37" s="2207" t="s">
        <v>676</v>
      </c>
      <c r="G37" s="2210" t="s">
        <v>1687</v>
      </c>
      <c r="H37" s="2231" t="s">
        <v>157</v>
      </c>
      <c r="I37" s="2172"/>
      <c r="J37" s="2195">
        <f>B36</f>
        <v>43668</v>
      </c>
      <c r="K37" s="2196">
        <f t="shared" si="12"/>
        <v>43671</v>
      </c>
      <c r="L37" s="2172"/>
      <c r="M37" s="2197"/>
      <c r="N37" s="2172"/>
    </row>
    <row r="38">
      <c r="A38" s="2188" t="s">
        <v>1591</v>
      </c>
      <c r="B38" s="2189">
        <f>B36+1</f>
        <v>43669</v>
      </c>
      <c r="C38" s="2190"/>
      <c r="D38" s="2191" t="s">
        <v>1590</v>
      </c>
      <c r="E38" s="2190"/>
      <c r="F38" s="2207" t="s">
        <v>1688</v>
      </c>
      <c r="G38" s="2210" t="s">
        <v>1689</v>
      </c>
      <c r="H38" s="2194" t="s">
        <v>662</v>
      </c>
      <c r="I38" s="2172"/>
      <c r="J38" s="2195">
        <f>B38</f>
        <v>43669</v>
      </c>
      <c r="K38" s="2196">
        <f t="shared" si="12"/>
        <v>43672</v>
      </c>
      <c r="L38" s="2172"/>
      <c r="M38" s="2197"/>
      <c r="N38" s="2172"/>
    </row>
    <row r="39">
      <c r="C39" s="2190"/>
      <c r="D39" s="2191" t="s">
        <v>1590</v>
      </c>
      <c r="E39" s="2190"/>
      <c r="F39" s="2207" t="s">
        <v>682</v>
      </c>
      <c r="G39" s="2210" t="s">
        <v>1690</v>
      </c>
      <c r="H39" s="2194" t="s">
        <v>662</v>
      </c>
      <c r="I39" s="2172"/>
      <c r="J39" s="2195">
        <f>B38</f>
        <v>43669</v>
      </c>
      <c r="K39" s="2196">
        <f t="shared" si="12"/>
        <v>43672</v>
      </c>
      <c r="L39" s="2172"/>
      <c r="M39" s="2197"/>
      <c r="N39" s="2172"/>
    </row>
    <row r="40">
      <c r="A40" s="2188" t="s">
        <v>1593</v>
      </c>
      <c r="B40" s="2189">
        <f>B38+1</f>
        <v>43670</v>
      </c>
      <c r="C40" s="2190"/>
      <c r="D40" s="2191" t="s">
        <v>1590</v>
      </c>
      <c r="E40" s="2190"/>
      <c r="F40" s="2207" t="s">
        <v>823</v>
      </c>
      <c r="G40" s="2210" t="s">
        <v>1691</v>
      </c>
      <c r="H40" s="2194" t="s">
        <v>629</v>
      </c>
      <c r="I40" s="2172"/>
      <c r="J40" s="2195">
        <f t="shared" ref="J40:J41" si="13">B40</f>
        <v>43670</v>
      </c>
      <c r="K40" s="2196">
        <f t="shared" si="12"/>
        <v>43673</v>
      </c>
      <c r="L40" s="2172"/>
      <c r="M40" s="2197"/>
      <c r="N40" s="2172"/>
    </row>
    <row r="41">
      <c r="A41" s="2188" t="s">
        <v>1591</v>
      </c>
      <c r="B41" s="2189">
        <f>B40+1</f>
        <v>43671</v>
      </c>
      <c r="C41" s="2190"/>
      <c r="D41" s="2191" t="s">
        <v>1597</v>
      </c>
      <c r="E41" s="2190"/>
      <c r="F41" s="2207" t="s">
        <v>1692</v>
      </c>
      <c r="G41" s="2210" t="s">
        <v>1693</v>
      </c>
      <c r="H41" s="2228" t="s">
        <v>56</v>
      </c>
      <c r="I41" s="2172"/>
      <c r="J41" s="2195">
        <f t="shared" si="13"/>
        <v>43671</v>
      </c>
      <c r="K41" s="2196">
        <f>J41+7</f>
        <v>43678</v>
      </c>
      <c r="L41" s="2172"/>
      <c r="M41" s="2197"/>
      <c r="N41" s="2172"/>
    </row>
    <row r="42">
      <c r="C42" s="2190"/>
      <c r="D42" s="2191" t="s">
        <v>1590</v>
      </c>
      <c r="E42" s="2190"/>
      <c r="F42" s="2207" t="s">
        <v>683</v>
      </c>
      <c r="G42" s="2210" t="s">
        <v>1694</v>
      </c>
      <c r="H42" s="2225" t="s">
        <v>153</v>
      </c>
      <c r="I42" s="2172"/>
      <c r="J42" s="2195">
        <f>B41</f>
        <v>43671</v>
      </c>
      <c r="K42" s="2196">
        <f t="shared" ref="K42:K43" si="14">J42+3</f>
        <v>43674</v>
      </c>
      <c r="L42" s="2172"/>
      <c r="M42" s="2197"/>
      <c r="N42" s="2172"/>
    </row>
    <row r="43">
      <c r="A43" s="2188" t="s">
        <v>1600</v>
      </c>
      <c r="B43" s="2189">
        <f>B41+1</f>
        <v>43672</v>
      </c>
      <c r="C43" s="2190"/>
      <c r="D43" s="2191" t="s">
        <v>1601</v>
      </c>
      <c r="E43" s="2190"/>
      <c r="F43" s="2207" t="s">
        <v>941</v>
      </c>
      <c r="G43" s="2210" t="s">
        <v>1695</v>
      </c>
      <c r="H43" s="2227" t="s">
        <v>118</v>
      </c>
      <c r="I43" s="2172"/>
      <c r="J43" s="2195">
        <f>B43</f>
        <v>43672</v>
      </c>
      <c r="K43" s="2196">
        <f t="shared" si="14"/>
        <v>43675</v>
      </c>
      <c r="L43" s="2172"/>
      <c r="M43" s="2197"/>
      <c r="N43" s="2172"/>
    </row>
    <row r="44">
      <c r="A44" s="2188" t="s">
        <v>1603</v>
      </c>
      <c r="B44" s="2189">
        <f t="shared" ref="B44:B46" si="15">B43+1</f>
        <v>43673</v>
      </c>
      <c r="C44" s="2190"/>
      <c r="D44" s="2191" t="s">
        <v>1415</v>
      </c>
      <c r="E44" s="2190"/>
      <c r="F44" s="2207" t="s">
        <v>56</v>
      </c>
      <c r="G44" s="2210" t="s">
        <v>56</v>
      </c>
      <c r="H44" s="2211" t="s">
        <v>56</v>
      </c>
      <c r="I44" s="2172"/>
      <c r="J44" s="2212"/>
      <c r="K44" s="2213"/>
      <c r="L44" s="2172"/>
      <c r="M44" s="2197"/>
      <c r="N44" s="2172"/>
    </row>
    <row r="45">
      <c r="A45" s="2214" t="s">
        <v>1603</v>
      </c>
      <c r="B45" s="2215">
        <f t="shared" si="15"/>
        <v>43674</v>
      </c>
      <c r="C45" s="2216"/>
      <c r="D45" s="2217" t="s">
        <v>1604</v>
      </c>
      <c r="E45" s="2216"/>
      <c r="F45" s="2218" t="s">
        <v>56</v>
      </c>
      <c r="G45" s="2219" t="s">
        <v>56</v>
      </c>
      <c r="H45" s="2220" t="s">
        <v>56</v>
      </c>
      <c r="I45" s="2184"/>
      <c r="J45" s="2221"/>
      <c r="K45" s="2222"/>
      <c r="L45" s="2184"/>
      <c r="M45" s="2223"/>
      <c r="N45" s="2184"/>
    </row>
    <row r="46">
      <c r="A46" s="2188" t="s">
        <v>1589</v>
      </c>
      <c r="B46" s="2189">
        <f t="shared" si="15"/>
        <v>43675</v>
      </c>
      <c r="C46" s="2190"/>
      <c r="D46" s="2191" t="s">
        <v>1590</v>
      </c>
      <c r="E46" s="2190"/>
      <c r="F46" s="2207" t="s">
        <v>943</v>
      </c>
      <c r="G46" s="2210" t="s">
        <v>1696</v>
      </c>
      <c r="H46" s="2230" t="s">
        <v>154</v>
      </c>
      <c r="I46" s="2172"/>
      <c r="J46" s="2195">
        <f>B46</f>
        <v>43675</v>
      </c>
      <c r="K46" s="2196">
        <f t="shared" ref="K46:K49" si="16">J46+3</f>
        <v>43678</v>
      </c>
      <c r="L46" s="2172"/>
      <c r="M46" s="2197"/>
      <c r="N46" s="2172"/>
    </row>
    <row r="47">
      <c r="C47" s="2190"/>
      <c r="D47" s="2202" t="s">
        <v>1590</v>
      </c>
      <c r="E47" s="2190"/>
      <c r="F47" s="2207" t="s">
        <v>684</v>
      </c>
      <c r="G47" s="2210" t="s">
        <v>1697</v>
      </c>
      <c r="H47" s="2225" t="s">
        <v>153</v>
      </c>
      <c r="I47" s="2172"/>
      <c r="J47" s="2195">
        <f>B46</f>
        <v>43675</v>
      </c>
      <c r="K47" s="2196">
        <f t="shared" si="16"/>
        <v>43678</v>
      </c>
      <c r="L47" s="2172"/>
      <c r="M47" s="2197"/>
      <c r="N47" s="2172"/>
    </row>
    <row r="48">
      <c r="A48" s="2188" t="s">
        <v>1591</v>
      </c>
      <c r="B48" s="2189">
        <f>B46+1</f>
        <v>43676</v>
      </c>
      <c r="C48" s="2190"/>
      <c r="D48" s="2191" t="s">
        <v>1590</v>
      </c>
      <c r="E48" s="2190"/>
      <c r="F48" s="2207" t="s">
        <v>826</v>
      </c>
      <c r="G48" s="2232" t="s">
        <v>1698</v>
      </c>
      <c r="H48" s="2233" t="s">
        <v>629</v>
      </c>
      <c r="I48" s="2172"/>
      <c r="J48" s="2195">
        <f t="shared" ref="J48:J50" si="17">B48</f>
        <v>43676</v>
      </c>
      <c r="K48" s="2196">
        <f t="shared" si="16"/>
        <v>43679</v>
      </c>
      <c r="L48" s="2172"/>
      <c r="M48" s="2197"/>
      <c r="N48" s="2172"/>
    </row>
    <row r="49">
      <c r="A49" s="2188" t="s">
        <v>1593</v>
      </c>
      <c r="B49" s="2189">
        <f t="shared" ref="B49:B50" si="18">B48+1</f>
        <v>43677</v>
      </c>
      <c r="C49" s="2190"/>
      <c r="D49" s="2191" t="s">
        <v>1590</v>
      </c>
      <c r="E49" s="2190"/>
      <c r="F49" s="2207" t="s">
        <v>685</v>
      </c>
      <c r="G49" s="2210" t="s">
        <v>1699</v>
      </c>
      <c r="H49" s="2233" t="s">
        <v>629</v>
      </c>
      <c r="I49" s="2172"/>
      <c r="J49" s="2195">
        <f t="shared" si="17"/>
        <v>43677</v>
      </c>
      <c r="K49" s="2196">
        <f t="shared" si="16"/>
        <v>43680</v>
      </c>
      <c r="L49" s="2172"/>
      <c r="M49" s="2197"/>
      <c r="N49" s="2172"/>
    </row>
    <row r="50">
      <c r="A50" s="2188" t="s">
        <v>1591</v>
      </c>
      <c r="B50" s="2189">
        <f t="shared" si="18"/>
        <v>43678</v>
      </c>
      <c r="C50" s="2190"/>
      <c r="D50" s="2191" t="s">
        <v>1597</v>
      </c>
      <c r="E50" s="2190"/>
      <c r="F50" s="2234" t="s">
        <v>1700</v>
      </c>
      <c r="G50" s="2208" t="s">
        <v>1701</v>
      </c>
      <c r="H50" s="2228" t="s">
        <v>56</v>
      </c>
      <c r="I50" s="2172"/>
      <c r="J50" s="2195">
        <f t="shared" si="17"/>
        <v>43678</v>
      </c>
      <c r="K50" s="2196">
        <f>J50+7</f>
        <v>43685</v>
      </c>
      <c r="L50" s="2172"/>
      <c r="M50" s="2197"/>
      <c r="N50" s="2172"/>
    </row>
    <row r="51">
      <c r="C51" s="2190"/>
      <c r="D51" s="2191" t="s">
        <v>1590</v>
      </c>
      <c r="E51" s="2190"/>
      <c r="F51" s="2207" t="s">
        <v>686</v>
      </c>
      <c r="G51" s="2210" t="s">
        <v>1702</v>
      </c>
      <c r="H51" s="2229" t="s">
        <v>116</v>
      </c>
      <c r="I51" s="2172"/>
      <c r="J51" s="2195">
        <f>B50</f>
        <v>43678</v>
      </c>
      <c r="K51" s="2196">
        <f t="shared" ref="K51:K52" si="19">J51+3</f>
        <v>43681</v>
      </c>
      <c r="L51" s="2172"/>
      <c r="M51" s="2197"/>
      <c r="N51" s="2172"/>
    </row>
    <row r="52">
      <c r="A52" s="2188" t="s">
        <v>1600</v>
      </c>
      <c r="B52" s="2189">
        <f>B50+1</f>
        <v>43679</v>
      </c>
      <c r="C52" s="2190"/>
      <c r="D52" s="2191" t="s">
        <v>1601</v>
      </c>
      <c r="E52" s="2190"/>
      <c r="F52" s="2207" t="s">
        <v>944</v>
      </c>
      <c r="G52" s="2210" t="s">
        <v>1703</v>
      </c>
      <c r="H52" s="2229" t="s">
        <v>157</v>
      </c>
      <c r="I52" s="2172"/>
      <c r="J52" s="2195">
        <f>B52</f>
        <v>43679</v>
      </c>
      <c r="K52" s="2196">
        <f t="shared" si="19"/>
        <v>43682</v>
      </c>
      <c r="L52" s="2172"/>
      <c r="M52" s="2197"/>
      <c r="N52" s="2172"/>
    </row>
    <row r="53">
      <c r="A53" s="2188" t="s">
        <v>1603</v>
      </c>
      <c r="B53" s="2189">
        <f t="shared" ref="B53:B58" si="20">B52+1</f>
        <v>43680</v>
      </c>
      <c r="C53" s="2190"/>
      <c r="D53" s="2191" t="s">
        <v>1415</v>
      </c>
      <c r="E53" s="2190"/>
      <c r="F53" s="2207" t="s">
        <v>56</v>
      </c>
      <c r="G53" s="2210" t="s">
        <v>56</v>
      </c>
      <c r="H53" s="2211" t="s">
        <v>56</v>
      </c>
      <c r="I53" s="2172"/>
      <c r="J53" s="2212"/>
      <c r="K53" s="2213"/>
      <c r="L53" s="2172"/>
      <c r="M53" s="2197"/>
      <c r="N53" s="2172"/>
    </row>
    <row r="54">
      <c r="A54" s="2214" t="s">
        <v>1603</v>
      </c>
      <c r="B54" s="2215">
        <f t="shared" si="20"/>
        <v>43681</v>
      </c>
      <c r="C54" s="2216"/>
      <c r="D54" s="2217" t="s">
        <v>1604</v>
      </c>
      <c r="E54" s="2216"/>
      <c r="F54" s="2218" t="s">
        <v>56</v>
      </c>
      <c r="G54" s="2219" t="s">
        <v>56</v>
      </c>
      <c r="H54" s="2220" t="s">
        <v>56</v>
      </c>
      <c r="I54" s="2184"/>
      <c r="J54" s="2221"/>
      <c r="K54" s="2222"/>
      <c r="L54" s="2184"/>
      <c r="M54" s="2223"/>
      <c r="N54" s="2184"/>
    </row>
    <row r="55">
      <c r="A55" s="2188" t="s">
        <v>1589</v>
      </c>
      <c r="B55" s="2189">
        <f t="shared" si="20"/>
        <v>43682</v>
      </c>
      <c r="C55" s="2190"/>
      <c r="D55" s="2191" t="s">
        <v>1590</v>
      </c>
      <c r="E55" s="2190"/>
      <c r="F55" s="2207" t="s">
        <v>945</v>
      </c>
      <c r="G55" s="2210" t="s">
        <v>1704</v>
      </c>
      <c r="H55" s="2194" t="s">
        <v>662</v>
      </c>
      <c r="I55" s="2172"/>
      <c r="J55" s="2195">
        <f t="shared" ref="J55:J58" si="21">B55</f>
        <v>43682</v>
      </c>
      <c r="K55" s="2196">
        <f t="shared" ref="K55:K57" si="22">J55+3</f>
        <v>43685</v>
      </c>
      <c r="L55" s="2172"/>
      <c r="M55" s="2197"/>
      <c r="N55" s="2172"/>
    </row>
    <row r="56">
      <c r="A56" s="2188" t="s">
        <v>1591</v>
      </c>
      <c r="B56" s="2189">
        <f t="shared" si="20"/>
        <v>43683</v>
      </c>
      <c r="C56" s="2190"/>
      <c r="D56" s="2191" t="s">
        <v>1590</v>
      </c>
      <c r="E56" s="2190"/>
      <c r="F56" s="2207" t="s">
        <v>688</v>
      </c>
      <c r="G56" s="2210" t="s">
        <v>1705</v>
      </c>
      <c r="H56" s="2233" t="s">
        <v>629</v>
      </c>
      <c r="I56" s="2172"/>
      <c r="J56" s="2195">
        <f t="shared" si="21"/>
        <v>43683</v>
      </c>
      <c r="K56" s="2196">
        <f t="shared" si="22"/>
        <v>43686</v>
      </c>
      <c r="L56" s="2172"/>
      <c r="M56" s="2197"/>
      <c r="N56" s="2172"/>
    </row>
    <row r="57">
      <c r="A57" s="2188" t="s">
        <v>1593</v>
      </c>
      <c r="B57" s="2189">
        <f t="shared" si="20"/>
        <v>43684</v>
      </c>
      <c r="C57" s="2190"/>
      <c r="D57" s="2191" t="s">
        <v>1590</v>
      </c>
      <c r="E57" s="2190"/>
      <c r="F57" s="2207" t="s">
        <v>689</v>
      </c>
      <c r="G57" s="2210" t="s">
        <v>1706</v>
      </c>
      <c r="H57" s="2231" t="s">
        <v>157</v>
      </c>
      <c r="I57" s="2172"/>
      <c r="J57" s="2195">
        <f t="shared" si="21"/>
        <v>43684</v>
      </c>
      <c r="K57" s="2196">
        <f t="shared" si="22"/>
        <v>43687</v>
      </c>
      <c r="L57" s="2172"/>
      <c r="M57" s="2197"/>
      <c r="N57" s="2172"/>
    </row>
    <row r="58">
      <c r="A58" s="2188" t="s">
        <v>1591</v>
      </c>
      <c r="B58" s="2189">
        <f t="shared" si="20"/>
        <v>43685</v>
      </c>
      <c r="C58" s="2190"/>
      <c r="D58" s="2191" t="s">
        <v>1597</v>
      </c>
      <c r="E58" s="2190"/>
      <c r="F58" s="2234" t="s">
        <v>1707</v>
      </c>
      <c r="G58" s="2208" t="s">
        <v>1708</v>
      </c>
      <c r="H58" s="2228" t="s">
        <v>56</v>
      </c>
      <c r="I58" s="2172"/>
      <c r="J58" s="2195">
        <f t="shared" si="21"/>
        <v>43685</v>
      </c>
      <c r="K58" s="2196">
        <f>J58+7</f>
        <v>43692</v>
      </c>
      <c r="L58" s="2172"/>
      <c r="M58" s="2197"/>
      <c r="N58" s="2172"/>
    </row>
    <row r="59">
      <c r="C59" s="2190"/>
      <c r="D59" s="2191" t="s">
        <v>1590</v>
      </c>
      <c r="E59" s="2190"/>
      <c r="F59" s="2207" t="s">
        <v>947</v>
      </c>
      <c r="G59" s="2210" t="s">
        <v>1709</v>
      </c>
      <c r="H59" s="2194" t="s">
        <v>650</v>
      </c>
      <c r="I59" s="2172"/>
      <c r="J59" s="2195">
        <f>B58</f>
        <v>43685</v>
      </c>
      <c r="K59" s="2196">
        <f t="shared" ref="K59:K60" si="23">J59+3</f>
        <v>43688</v>
      </c>
      <c r="L59" s="2172"/>
      <c r="M59" s="2197"/>
      <c r="N59" s="2172"/>
    </row>
    <row r="60">
      <c r="A60" s="2188" t="s">
        <v>1600</v>
      </c>
      <c r="B60" s="2189">
        <f>B58+1</f>
        <v>43686</v>
      </c>
      <c r="C60" s="2190"/>
      <c r="D60" s="2191" t="s">
        <v>1601</v>
      </c>
      <c r="E60" s="2190"/>
      <c r="F60" s="2207" t="s">
        <v>946</v>
      </c>
      <c r="G60" s="2210" t="s">
        <v>1710</v>
      </c>
      <c r="H60" s="2194" t="s">
        <v>16</v>
      </c>
      <c r="I60" s="2172"/>
      <c r="J60" s="2195">
        <f>B60</f>
        <v>43686</v>
      </c>
      <c r="K60" s="2196">
        <f t="shared" si="23"/>
        <v>43689</v>
      </c>
      <c r="L60" s="2172"/>
      <c r="M60" s="2197"/>
      <c r="N60" s="2172"/>
    </row>
    <row r="61">
      <c r="A61" s="2188" t="s">
        <v>1603</v>
      </c>
      <c r="B61" s="2189">
        <f t="shared" ref="B61:B66" si="24">B60+1</f>
        <v>43687</v>
      </c>
      <c r="C61" s="2190"/>
      <c r="D61" s="2191" t="s">
        <v>1415</v>
      </c>
      <c r="E61" s="2190"/>
      <c r="F61" s="2207" t="s">
        <v>56</v>
      </c>
      <c r="G61" s="2210" t="s">
        <v>56</v>
      </c>
      <c r="H61" s="2211" t="s">
        <v>56</v>
      </c>
      <c r="I61" s="2172"/>
      <c r="J61" s="2212"/>
      <c r="K61" s="2213"/>
      <c r="L61" s="2172"/>
      <c r="M61" s="2197"/>
      <c r="N61" s="2172"/>
    </row>
    <row r="62">
      <c r="A62" s="2214" t="s">
        <v>1603</v>
      </c>
      <c r="B62" s="2215">
        <f t="shared" si="24"/>
        <v>43688</v>
      </c>
      <c r="C62" s="2216"/>
      <c r="D62" s="2217" t="s">
        <v>1604</v>
      </c>
      <c r="E62" s="2216"/>
      <c r="F62" s="2218" t="s">
        <v>56</v>
      </c>
      <c r="G62" s="2219" t="s">
        <v>56</v>
      </c>
      <c r="H62" s="2220" t="s">
        <v>56</v>
      </c>
      <c r="I62" s="2184"/>
      <c r="J62" s="2221"/>
      <c r="K62" s="2222"/>
      <c r="L62" s="2184"/>
      <c r="M62" s="2223"/>
      <c r="N62" s="2184"/>
    </row>
    <row r="63">
      <c r="A63" s="2188" t="s">
        <v>1589</v>
      </c>
      <c r="B63" s="2189">
        <f t="shared" si="24"/>
        <v>43689</v>
      </c>
      <c r="C63" s="2190"/>
      <c r="D63" s="2191" t="s">
        <v>1590</v>
      </c>
      <c r="E63" s="2190"/>
      <c r="F63" s="2207" t="s">
        <v>948</v>
      </c>
      <c r="G63" s="2210" t="s">
        <v>1711</v>
      </c>
      <c r="H63" s="2194" t="s">
        <v>175</v>
      </c>
      <c r="I63" s="2172"/>
      <c r="J63" s="2195">
        <f t="shared" ref="J63:J66" si="25">B63</f>
        <v>43689</v>
      </c>
      <c r="K63" s="2196">
        <f t="shared" ref="K63:K65" si="26">J63+3</f>
        <v>43692</v>
      </c>
      <c r="L63" s="2172"/>
      <c r="M63" s="2197"/>
      <c r="N63" s="2172"/>
    </row>
    <row r="64">
      <c r="A64" s="2188" t="s">
        <v>1591</v>
      </c>
      <c r="B64" s="2189">
        <f t="shared" si="24"/>
        <v>43690</v>
      </c>
      <c r="C64" s="2190"/>
      <c r="D64" s="2191" t="s">
        <v>1590</v>
      </c>
      <c r="E64" s="2190"/>
      <c r="F64" s="2207" t="s">
        <v>690</v>
      </c>
      <c r="G64" s="2210" t="s">
        <v>1712</v>
      </c>
      <c r="H64" s="2231" t="s">
        <v>691</v>
      </c>
      <c r="I64" s="2172"/>
      <c r="J64" s="2195">
        <f t="shared" si="25"/>
        <v>43690</v>
      </c>
      <c r="K64" s="2196">
        <f t="shared" si="26"/>
        <v>43693</v>
      </c>
      <c r="L64" s="2172"/>
      <c r="M64" s="2235" t="s">
        <v>1713</v>
      </c>
      <c r="N64" s="2172"/>
    </row>
    <row r="65">
      <c r="A65" s="2188" t="s">
        <v>1593</v>
      </c>
      <c r="B65" s="2189">
        <f t="shared" si="24"/>
        <v>43691</v>
      </c>
      <c r="C65" s="2190"/>
      <c r="D65" s="2191" t="s">
        <v>1590</v>
      </c>
      <c r="E65" s="2190"/>
      <c r="F65" s="2207" t="s">
        <v>1714</v>
      </c>
      <c r="G65" s="2210" t="s">
        <v>1715</v>
      </c>
      <c r="H65" s="2194" t="s">
        <v>16</v>
      </c>
      <c r="I65" s="2172"/>
      <c r="J65" s="2195">
        <f t="shared" si="25"/>
        <v>43691</v>
      </c>
      <c r="K65" s="2196">
        <f t="shared" si="26"/>
        <v>43694</v>
      </c>
      <c r="L65" s="2172"/>
      <c r="M65" s="2197"/>
      <c r="N65" s="2172"/>
    </row>
    <row r="66">
      <c r="A66" s="2188" t="s">
        <v>1591</v>
      </c>
      <c r="B66" s="2189">
        <f t="shared" si="24"/>
        <v>43692</v>
      </c>
      <c r="C66" s="2190"/>
      <c r="D66" s="2191" t="s">
        <v>1597</v>
      </c>
      <c r="E66" s="2190"/>
      <c r="F66" s="2234" t="s">
        <v>1716</v>
      </c>
      <c r="G66" s="2208" t="s">
        <v>1717</v>
      </c>
      <c r="H66" s="2228" t="s">
        <v>56</v>
      </c>
      <c r="I66" s="2172"/>
      <c r="J66" s="2195">
        <f t="shared" si="25"/>
        <v>43692</v>
      </c>
      <c r="K66" s="2196">
        <f>J66+7</f>
        <v>43699</v>
      </c>
      <c r="L66" s="2172"/>
      <c r="M66" s="2197"/>
      <c r="N66" s="2172"/>
    </row>
    <row r="67">
      <c r="C67" s="2190"/>
      <c r="D67" s="2191" t="s">
        <v>1590</v>
      </c>
      <c r="E67" s="2190"/>
      <c r="F67" s="2207" t="s">
        <v>694</v>
      </c>
      <c r="G67" s="2210" t="s">
        <v>1718</v>
      </c>
      <c r="H67" s="2233" t="s">
        <v>629</v>
      </c>
      <c r="I67" s="2172"/>
      <c r="J67" s="2195">
        <f>B66</f>
        <v>43692</v>
      </c>
      <c r="K67" s="2196">
        <f t="shared" ref="K67:K69" si="27">J67+3</f>
        <v>43695</v>
      </c>
      <c r="L67" s="2172"/>
      <c r="M67" s="2197"/>
      <c r="N67" s="2172"/>
    </row>
    <row r="68">
      <c r="C68" s="2190"/>
      <c r="D68" s="2202" t="s">
        <v>1590</v>
      </c>
      <c r="E68" s="2190"/>
      <c r="F68" s="2207" t="s">
        <v>359</v>
      </c>
      <c r="G68" s="2210" t="s">
        <v>1719</v>
      </c>
      <c r="H68" s="2194" t="s">
        <v>650</v>
      </c>
      <c r="I68" s="2172"/>
      <c r="J68" s="2195">
        <f>B66</f>
        <v>43692</v>
      </c>
      <c r="K68" s="2196">
        <f t="shared" si="27"/>
        <v>43695</v>
      </c>
      <c r="L68" s="2172"/>
      <c r="M68" s="2235" t="s">
        <v>1713</v>
      </c>
      <c r="N68" s="2172"/>
    </row>
    <row r="69">
      <c r="A69" s="2188" t="s">
        <v>1600</v>
      </c>
      <c r="B69" s="2189">
        <f>B66+1</f>
        <v>43693</v>
      </c>
      <c r="C69" s="2190"/>
      <c r="D69" s="2191" t="s">
        <v>1601</v>
      </c>
      <c r="E69" s="2190"/>
      <c r="F69" s="2207" t="s">
        <v>949</v>
      </c>
      <c r="G69" s="2210" t="s">
        <v>1720</v>
      </c>
      <c r="H69" s="2227" t="s">
        <v>118</v>
      </c>
      <c r="I69" s="2172"/>
      <c r="J69" s="2195">
        <f>B69</f>
        <v>43693</v>
      </c>
      <c r="K69" s="2196">
        <f t="shared" si="27"/>
        <v>43696</v>
      </c>
      <c r="L69" s="2172"/>
      <c r="M69" s="2197"/>
      <c r="N69" s="2172"/>
    </row>
    <row r="70">
      <c r="A70" s="2188" t="s">
        <v>1603</v>
      </c>
      <c r="B70" s="2189">
        <f t="shared" ref="B70:B75" si="28">B69+1</f>
        <v>43694</v>
      </c>
      <c r="C70" s="2190"/>
      <c r="D70" s="2191" t="s">
        <v>1415</v>
      </c>
      <c r="E70" s="2190"/>
      <c r="F70" s="2207" t="s">
        <v>56</v>
      </c>
      <c r="G70" s="2210" t="s">
        <v>56</v>
      </c>
      <c r="H70" s="2211" t="s">
        <v>56</v>
      </c>
      <c r="I70" s="2172"/>
      <c r="J70" s="2212"/>
      <c r="K70" s="2213"/>
      <c r="L70" s="2172"/>
      <c r="M70" s="2197"/>
      <c r="N70" s="2172"/>
    </row>
    <row r="71">
      <c r="A71" s="2214" t="s">
        <v>1603</v>
      </c>
      <c r="B71" s="2215">
        <f t="shared" si="28"/>
        <v>43695</v>
      </c>
      <c r="C71" s="2216"/>
      <c r="D71" s="2217" t="s">
        <v>1604</v>
      </c>
      <c r="E71" s="2216"/>
      <c r="F71" s="2218" t="s">
        <v>56</v>
      </c>
      <c r="G71" s="2219" t="s">
        <v>56</v>
      </c>
      <c r="H71" s="2220" t="s">
        <v>56</v>
      </c>
      <c r="I71" s="2184"/>
      <c r="J71" s="2221"/>
      <c r="K71" s="2222"/>
      <c r="L71" s="2184"/>
      <c r="M71" s="2223"/>
      <c r="N71" s="2184"/>
    </row>
    <row r="72">
      <c r="A72" s="2188" t="s">
        <v>1589</v>
      </c>
      <c r="B72" s="2189">
        <f t="shared" si="28"/>
        <v>43696</v>
      </c>
      <c r="C72" s="2190"/>
      <c r="D72" s="2191" t="s">
        <v>1590</v>
      </c>
      <c r="E72" s="2190"/>
      <c r="F72" s="2207" t="s">
        <v>369</v>
      </c>
      <c r="G72" s="2210" t="s">
        <v>1721</v>
      </c>
      <c r="H72" s="2194" t="s">
        <v>662</v>
      </c>
      <c r="I72" s="2172"/>
      <c r="J72" s="2195">
        <f t="shared" ref="J72:J75" si="29">B72</f>
        <v>43696</v>
      </c>
      <c r="K72" s="2196">
        <f t="shared" ref="K72:K74" si="30">J72+3</f>
        <v>43699</v>
      </c>
      <c r="L72" s="2172"/>
      <c r="M72" s="2197"/>
      <c r="N72" s="2172"/>
    </row>
    <row r="73">
      <c r="A73" s="2188" t="s">
        <v>1591</v>
      </c>
      <c r="B73" s="2189">
        <f t="shared" si="28"/>
        <v>43697</v>
      </c>
      <c r="C73" s="2190"/>
      <c r="D73" s="2191" t="s">
        <v>1590</v>
      </c>
      <c r="E73" s="2190"/>
      <c r="F73" s="2207" t="s">
        <v>695</v>
      </c>
      <c r="G73" s="2210" t="s">
        <v>1722</v>
      </c>
      <c r="H73" s="2233" t="s">
        <v>629</v>
      </c>
      <c r="I73" s="2172"/>
      <c r="J73" s="2195">
        <f t="shared" si="29"/>
        <v>43697</v>
      </c>
      <c r="K73" s="2196">
        <f t="shared" si="30"/>
        <v>43700</v>
      </c>
      <c r="L73" s="2172"/>
      <c r="M73" s="2197"/>
      <c r="N73" s="2172"/>
    </row>
    <row r="74">
      <c r="A74" s="2188" t="s">
        <v>1593</v>
      </c>
      <c r="B74" s="2189">
        <f t="shared" si="28"/>
        <v>43698</v>
      </c>
      <c r="C74" s="2190"/>
      <c r="D74" s="2191" t="s">
        <v>1590</v>
      </c>
      <c r="E74" s="2190"/>
      <c r="F74" s="2207" t="s">
        <v>396</v>
      </c>
      <c r="G74" s="2210" t="s">
        <v>1723</v>
      </c>
      <c r="H74" s="2229" t="s">
        <v>578</v>
      </c>
      <c r="I74" s="2172"/>
      <c r="J74" s="2195">
        <f t="shared" si="29"/>
        <v>43698</v>
      </c>
      <c r="K74" s="2196">
        <f t="shared" si="30"/>
        <v>43701</v>
      </c>
      <c r="L74" s="2172"/>
      <c r="M74" s="2235" t="s">
        <v>1713</v>
      </c>
      <c r="N74" s="2172"/>
    </row>
    <row r="75">
      <c r="A75" s="2188" t="s">
        <v>1591</v>
      </c>
      <c r="B75" s="2189">
        <f t="shared" si="28"/>
        <v>43699</v>
      </c>
      <c r="C75" s="2190"/>
      <c r="D75" s="2191" t="s">
        <v>1597</v>
      </c>
      <c r="E75" s="2190"/>
      <c r="F75" s="2234" t="s">
        <v>1724</v>
      </c>
      <c r="G75" s="2208" t="s">
        <v>1725</v>
      </c>
      <c r="H75" s="2228" t="s">
        <v>56</v>
      </c>
      <c r="I75" s="2172"/>
      <c r="J75" s="2195">
        <f t="shared" si="29"/>
        <v>43699</v>
      </c>
      <c r="K75" s="2196">
        <f>J75+7</f>
        <v>43706</v>
      </c>
      <c r="L75" s="2172"/>
      <c r="M75" s="2236"/>
      <c r="N75" s="2172"/>
    </row>
    <row r="76">
      <c r="C76" s="2190"/>
      <c r="D76" s="2191" t="s">
        <v>1590</v>
      </c>
      <c r="E76" s="2190"/>
      <c r="F76" s="2207" t="s">
        <v>696</v>
      </c>
      <c r="G76" s="2210" t="s">
        <v>1726</v>
      </c>
      <c r="H76" s="2227" t="s">
        <v>118</v>
      </c>
      <c r="I76" s="2172"/>
      <c r="J76" s="2195">
        <f>B75</f>
        <v>43699</v>
      </c>
      <c r="K76" s="2196">
        <f t="shared" ref="K76:K77" si="31">J76+3</f>
        <v>43702</v>
      </c>
      <c r="L76" s="2172"/>
      <c r="M76" s="2197"/>
      <c r="N76" s="2172"/>
    </row>
    <row r="77">
      <c r="A77" s="2188" t="s">
        <v>1600</v>
      </c>
      <c r="B77" s="2189">
        <f>B75+1</f>
        <v>43700</v>
      </c>
      <c r="C77" s="2190"/>
      <c r="D77" s="2191" t="s">
        <v>1601</v>
      </c>
      <c r="E77" s="2190"/>
      <c r="F77" s="2207" t="s">
        <v>950</v>
      </c>
      <c r="G77" s="2210" t="s">
        <v>1727</v>
      </c>
      <c r="H77" s="2233" t="s">
        <v>673</v>
      </c>
      <c r="I77" s="2172"/>
      <c r="J77" s="2195">
        <f>B77</f>
        <v>43700</v>
      </c>
      <c r="K77" s="2196">
        <f t="shared" si="31"/>
        <v>43703</v>
      </c>
      <c r="L77" s="2172"/>
      <c r="M77" s="2197"/>
      <c r="N77" s="2172"/>
    </row>
    <row r="78">
      <c r="A78" s="2188" t="s">
        <v>1603</v>
      </c>
      <c r="B78" s="2189">
        <f t="shared" ref="B78:B80" si="32">B77+1</f>
        <v>43701</v>
      </c>
      <c r="C78" s="2190"/>
      <c r="D78" s="2191" t="s">
        <v>1415</v>
      </c>
      <c r="E78" s="2190"/>
      <c r="F78" s="2207" t="s">
        <v>56</v>
      </c>
      <c r="G78" s="2210" t="s">
        <v>56</v>
      </c>
      <c r="H78" s="2211" t="s">
        <v>56</v>
      </c>
      <c r="I78" s="2172"/>
      <c r="J78" s="2212"/>
      <c r="K78" s="2213"/>
      <c r="L78" s="2172"/>
      <c r="M78" s="2197"/>
      <c r="N78" s="2172"/>
    </row>
    <row r="79">
      <c r="A79" s="2214" t="s">
        <v>1603</v>
      </c>
      <c r="B79" s="2215">
        <f t="shared" si="32"/>
        <v>43702</v>
      </c>
      <c r="C79" s="2216"/>
      <c r="D79" s="2217" t="s">
        <v>1604</v>
      </c>
      <c r="E79" s="2216"/>
      <c r="F79" s="2218" t="s">
        <v>56</v>
      </c>
      <c r="G79" s="2219" t="s">
        <v>56</v>
      </c>
      <c r="H79" s="2220" t="s">
        <v>56</v>
      </c>
      <c r="I79" s="2184"/>
      <c r="J79" s="2221"/>
      <c r="K79" s="2222"/>
      <c r="L79" s="2184"/>
      <c r="M79" s="2223"/>
      <c r="N79" s="2184"/>
    </row>
    <row r="80">
      <c r="A80" s="2188" t="s">
        <v>1589</v>
      </c>
      <c r="B80" s="2189">
        <f t="shared" si="32"/>
        <v>43703</v>
      </c>
      <c r="C80" s="2190"/>
      <c r="D80" s="2191" t="s">
        <v>1590</v>
      </c>
      <c r="E80" s="2190"/>
      <c r="F80" s="2207" t="s">
        <v>951</v>
      </c>
      <c r="G80" s="2210" t="s">
        <v>1728</v>
      </c>
      <c r="H80" s="2194" t="s">
        <v>16</v>
      </c>
      <c r="I80" s="2172"/>
      <c r="J80" s="2195">
        <f>B80</f>
        <v>43703</v>
      </c>
      <c r="K80" s="2196">
        <f t="shared" ref="K80:K83" si="33">J80+3</f>
        <v>43706</v>
      </c>
      <c r="L80" s="2172"/>
      <c r="M80" s="2197"/>
      <c r="N80" s="2172"/>
    </row>
    <row r="81">
      <c r="C81" s="2190"/>
      <c r="D81" s="2202" t="s">
        <v>1590</v>
      </c>
      <c r="E81" s="2190"/>
      <c r="F81" s="2207" t="s">
        <v>697</v>
      </c>
      <c r="G81" s="2210" t="s">
        <v>1729</v>
      </c>
      <c r="H81" s="739" t="s">
        <v>25</v>
      </c>
      <c r="I81" s="2172"/>
      <c r="J81" s="2195">
        <f>B80</f>
        <v>43703</v>
      </c>
      <c r="K81" s="2196">
        <f t="shared" si="33"/>
        <v>43706</v>
      </c>
      <c r="L81" s="2172"/>
      <c r="M81" s="2197"/>
      <c r="N81" s="2172"/>
    </row>
    <row r="82">
      <c r="A82" s="2188" t="s">
        <v>1591</v>
      </c>
      <c r="B82" s="2189">
        <f>B80+1</f>
        <v>43704</v>
      </c>
      <c r="C82" s="2190"/>
      <c r="D82" s="2191" t="s">
        <v>1590</v>
      </c>
      <c r="E82" s="2190"/>
      <c r="F82" s="2207" t="s">
        <v>699</v>
      </c>
      <c r="G82" s="2210" t="s">
        <v>1730</v>
      </c>
      <c r="H82" s="2194" t="s">
        <v>148</v>
      </c>
      <c r="I82" s="2172"/>
      <c r="J82" s="2195">
        <f t="shared" ref="J82:J84" si="34">B82</f>
        <v>43704</v>
      </c>
      <c r="K82" s="2196">
        <f t="shared" si="33"/>
        <v>43707</v>
      </c>
      <c r="L82" s="2172"/>
      <c r="M82" s="2197"/>
      <c r="N82" s="2172"/>
    </row>
    <row r="83">
      <c r="A83" s="2188" t="s">
        <v>1593</v>
      </c>
      <c r="B83" s="2189">
        <f t="shared" ref="B83:B84" si="35">B82+1</f>
        <v>43705</v>
      </c>
      <c r="C83" s="2190"/>
      <c r="D83" s="2191" t="s">
        <v>1590</v>
      </c>
      <c r="E83" s="2190"/>
      <c r="F83" s="2207" t="s">
        <v>827</v>
      </c>
      <c r="G83" s="2210" t="s">
        <v>1731</v>
      </c>
      <c r="H83" s="2198" t="s">
        <v>155</v>
      </c>
      <c r="I83" s="2172"/>
      <c r="J83" s="2195">
        <f t="shared" si="34"/>
        <v>43705</v>
      </c>
      <c r="K83" s="2196">
        <f t="shared" si="33"/>
        <v>43708</v>
      </c>
      <c r="L83" s="2172"/>
      <c r="M83" s="2197"/>
      <c r="N83" s="2172"/>
    </row>
    <row r="84">
      <c r="A84" s="2188" t="s">
        <v>1591</v>
      </c>
      <c r="B84" s="2189">
        <f t="shared" si="35"/>
        <v>43706</v>
      </c>
      <c r="C84" s="2190"/>
      <c r="D84" s="2191" t="s">
        <v>1597</v>
      </c>
      <c r="E84" s="2190"/>
      <c r="F84" s="2207" t="s">
        <v>1732</v>
      </c>
      <c r="G84" s="2210" t="s">
        <v>1733</v>
      </c>
      <c r="H84" s="2228" t="s">
        <v>56</v>
      </c>
      <c r="I84" s="2172"/>
      <c r="J84" s="2195">
        <f t="shared" si="34"/>
        <v>43706</v>
      </c>
      <c r="K84" s="2196">
        <f>J84+7</f>
        <v>43713</v>
      </c>
      <c r="L84" s="2172"/>
      <c r="M84" s="2197"/>
      <c r="N84" s="2172"/>
    </row>
    <row r="85">
      <c r="C85" s="2190"/>
      <c r="D85" s="2191" t="s">
        <v>1590</v>
      </c>
      <c r="E85" s="2190"/>
      <c r="F85" s="2207" t="s">
        <v>829</v>
      </c>
      <c r="G85" s="2210" t="s">
        <v>1734</v>
      </c>
      <c r="H85" s="2233" t="s">
        <v>629</v>
      </c>
      <c r="I85" s="2172"/>
      <c r="J85" s="2195">
        <f>B84</f>
        <v>43706</v>
      </c>
      <c r="K85" s="2196">
        <f t="shared" ref="K85:K86" si="36">J85+3</f>
        <v>43709</v>
      </c>
      <c r="L85" s="2172"/>
      <c r="M85" s="2197"/>
      <c r="N85" s="2172"/>
    </row>
    <row r="86">
      <c r="A86" s="2188" t="s">
        <v>1600</v>
      </c>
      <c r="B86" s="2189">
        <f>B84+1</f>
        <v>43707</v>
      </c>
      <c r="C86" s="2190"/>
      <c r="D86" s="2191" t="s">
        <v>1601</v>
      </c>
      <c r="E86" s="2190"/>
      <c r="F86" s="2207" t="s">
        <v>952</v>
      </c>
      <c r="G86" s="2210" t="s">
        <v>1735</v>
      </c>
      <c r="H86" s="2225" t="s">
        <v>122</v>
      </c>
      <c r="I86" s="2172"/>
      <c r="J86" s="2195">
        <f>B86</f>
        <v>43707</v>
      </c>
      <c r="K86" s="2196">
        <f t="shared" si="36"/>
        <v>43710</v>
      </c>
      <c r="L86" s="2172"/>
      <c r="M86" s="2197"/>
      <c r="N86" s="2172"/>
    </row>
    <row r="87">
      <c r="A87" s="2188" t="s">
        <v>1603</v>
      </c>
      <c r="B87" s="2189">
        <f t="shared" ref="B87:B89" si="37">B86+1</f>
        <v>43708</v>
      </c>
      <c r="C87" s="2190"/>
      <c r="D87" s="2191" t="s">
        <v>1415</v>
      </c>
      <c r="E87" s="2190"/>
      <c r="F87" s="2207" t="s">
        <v>56</v>
      </c>
      <c r="G87" s="2210" t="s">
        <v>56</v>
      </c>
      <c r="H87" s="2211" t="s">
        <v>56</v>
      </c>
      <c r="I87" s="2172"/>
      <c r="J87" s="2212"/>
      <c r="K87" s="2213"/>
      <c r="L87" s="2172"/>
      <c r="M87" s="2197"/>
      <c r="N87" s="2172"/>
    </row>
    <row r="88">
      <c r="A88" s="2214" t="s">
        <v>1603</v>
      </c>
      <c r="B88" s="2215">
        <f t="shared" si="37"/>
        <v>43709</v>
      </c>
      <c r="C88" s="2216"/>
      <c r="D88" s="2217" t="s">
        <v>1604</v>
      </c>
      <c r="E88" s="2216"/>
      <c r="F88" s="2218" t="s">
        <v>56</v>
      </c>
      <c r="G88" s="2219" t="s">
        <v>56</v>
      </c>
      <c r="H88" s="2220" t="s">
        <v>56</v>
      </c>
      <c r="I88" s="2184"/>
      <c r="J88" s="2221"/>
      <c r="K88" s="2222"/>
      <c r="L88" s="2184"/>
      <c r="M88" s="2223"/>
      <c r="N88" s="2184"/>
    </row>
    <row r="89">
      <c r="A89" s="2188" t="s">
        <v>1589</v>
      </c>
      <c r="B89" s="2189">
        <f t="shared" si="37"/>
        <v>43710</v>
      </c>
      <c r="C89" s="2190"/>
      <c r="D89" s="2191" t="s">
        <v>1590</v>
      </c>
      <c r="E89" s="2190"/>
      <c r="F89" s="2207" t="s">
        <v>830</v>
      </c>
      <c r="G89" s="2210" t="s">
        <v>1736</v>
      </c>
      <c r="H89" s="2194" t="s">
        <v>16</v>
      </c>
      <c r="I89" s="2172"/>
      <c r="J89" s="2195">
        <f>B89</f>
        <v>43710</v>
      </c>
      <c r="K89" s="2196">
        <f t="shared" ref="K89:K93" si="38">J89+3</f>
        <v>43713</v>
      </c>
      <c r="L89" s="2172"/>
      <c r="M89" s="2197"/>
      <c r="N89" s="2172"/>
    </row>
    <row r="90">
      <c r="C90" s="2190"/>
      <c r="D90" s="2202" t="s">
        <v>1590</v>
      </c>
      <c r="E90" s="2190"/>
      <c r="F90" s="2207" t="s">
        <v>414</v>
      </c>
      <c r="G90" s="2210" t="s">
        <v>1737</v>
      </c>
      <c r="H90" s="2229" t="s">
        <v>157</v>
      </c>
      <c r="I90" s="2172"/>
      <c r="J90" s="2195">
        <f>B89</f>
        <v>43710</v>
      </c>
      <c r="K90" s="2196">
        <f t="shared" si="38"/>
        <v>43713</v>
      </c>
      <c r="L90" s="2172"/>
      <c r="M90" s="2197"/>
      <c r="N90" s="2172"/>
    </row>
    <row r="91">
      <c r="A91" s="2188" t="s">
        <v>1591</v>
      </c>
      <c r="B91" s="2189">
        <f>B89+1</f>
        <v>43711</v>
      </c>
      <c r="C91" s="2190"/>
      <c r="D91" s="2191" t="s">
        <v>1590</v>
      </c>
      <c r="E91" s="2190"/>
      <c r="F91" s="2207" t="s">
        <v>701</v>
      </c>
      <c r="G91" s="2210" t="s">
        <v>1738</v>
      </c>
      <c r="H91" s="739" t="s">
        <v>25</v>
      </c>
      <c r="I91" s="2172"/>
      <c r="J91" s="2195">
        <f>B91</f>
        <v>43711</v>
      </c>
      <c r="K91" s="2196">
        <f t="shared" si="38"/>
        <v>43714</v>
      </c>
      <c r="L91" s="2172"/>
      <c r="M91" s="2197"/>
      <c r="N91" s="2172"/>
    </row>
    <row r="92">
      <c r="C92" s="2190"/>
      <c r="D92" s="2202" t="s">
        <v>1590</v>
      </c>
      <c r="E92" s="2190"/>
      <c r="F92" s="2207" t="s">
        <v>954</v>
      </c>
      <c r="G92" s="2210" t="s">
        <v>1739</v>
      </c>
      <c r="H92" s="2194" t="s">
        <v>175</v>
      </c>
      <c r="I92" s="2172"/>
      <c r="J92" s="2195">
        <f>B91</f>
        <v>43711</v>
      </c>
      <c r="K92" s="2196">
        <f t="shared" si="38"/>
        <v>43714</v>
      </c>
      <c r="L92" s="2172"/>
      <c r="M92" s="2197"/>
      <c r="N92" s="2172"/>
    </row>
    <row r="93">
      <c r="A93" s="2188" t="s">
        <v>1593</v>
      </c>
      <c r="B93" s="2189">
        <f>B91+1</f>
        <v>43712</v>
      </c>
      <c r="C93" s="2190"/>
      <c r="D93" s="2191" t="s">
        <v>1590</v>
      </c>
      <c r="E93" s="2190"/>
      <c r="F93" s="2207" t="s">
        <v>702</v>
      </c>
      <c r="G93" s="2210" t="s">
        <v>1740</v>
      </c>
      <c r="H93" s="2198" t="s">
        <v>155</v>
      </c>
      <c r="I93" s="2172"/>
      <c r="J93" s="2195">
        <f t="shared" ref="J93:J94" si="39">B93</f>
        <v>43712</v>
      </c>
      <c r="K93" s="2196">
        <f t="shared" si="38"/>
        <v>43715</v>
      </c>
      <c r="L93" s="2172"/>
      <c r="M93" s="2197"/>
      <c r="N93" s="2172"/>
    </row>
    <row r="94">
      <c r="A94" s="2188" t="s">
        <v>1591</v>
      </c>
      <c r="B94" s="2189">
        <f>B93+1</f>
        <v>43713</v>
      </c>
      <c r="C94" s="2190"/>
      <c r="D94" s="2191" t="s">
        <v>1597</v>
      </c>
      <c r="E94" s="2190"/>
      <c r="F94" s="2207" t="s">
        <v>1741</v>
      </c>
      <c r="G94" s="2210" t="s">
        <v>1742</v>
      </c>
      <c r="H94" s="2228" t="s">
        <v>56</v>
      </c>
      <c r="I94" s="2172"/>
      <c r="J94" s="2195">
        <f t="shared" si="39"/>
        <v>43713</v>
      </c>
      <c r="K94" s="2196">
        <f>J94+7</f>
        <v>43720</v>
      </c>
      <c r="L94" s="2172"/>
      <c r="M94" s="2197"/>
      <c r="N94" s="2172"/>
    </row>
    <row r="95">
      <c r="C95" s="2190"/>
      <c r="D95" s="2191" t="s">
        <v>1590</v>
      </c>
      <c r="E95" s="2190"/>
      <c r="F95" s="2207" t="s">
        <v>703</v>
      </c>
      <c r="G95" s="2210" t="s">
        <v>1743</v>
      </c>
      <c r="H95" s="2194" t="s">
        <v>148</v>
      </c>
      <c r="I95" s="2172"/>
      <c r="J95" s="2195">
        <f>B94</f>
        <v>43713</v>
      </c>
      <c r="K95" s="2196">
        <f t="shared" ref="K95:K96" si="40">J95+3</f>
        <v>43716</v>
      </c>
      <c r="L95" s="2172"/>
      <c r="M95" s="2236" t="s">
        <v>1713</v>
      </c>
      <c r="N95" s="2172"/>
    </row>
    <row r="96">
      <c r="A96" s="2188" t="s">
        <v>1600</v>
      </c>
      <c r="B96" s="2189">
        <f>B94+1</f>
        <v>43714</v>
      </c>
      <c r="C96" s="2190"/>
      <c r="D96" s="2191" t="s">
        <v>1601</v>
      </c>
      <c r="E96" s="2190"/>
      <c r="F96" s="2207" t="s">
        <v>56</v>
      </c>
      <c r="G96" s="2210" t="s">
        <v>56</v>
      </c>
      <c r="H96" s="2211" t="s">
        <v>56</v>
      </c>
      <c r="I96" s="2172"/>
      <c r="J96" s="2195">
        <f>B96</f>
        <v>43714</v>
      </c>
      <c r="K96" s="2196">
        <f t="shared" si="40"/>
        <v>43717</v>
      </c>
      <c r="L96" s="2172"/>
      <c r="M96" s="2197"/>
      <c r="N96" s="2172"/>
    </row>
    <row r="97">
      <c r="A97" s="2188" t="s">
        <v>1603</v>
      </c>
      <c r="B97" s="2189">
        <f t="shared" ref="B97:B100" si="41">B96+1</f>
        <v>43715</v>
      </c>
      <c r="C97" s="2190"/>
      <c r="D97" s="2191" t="s">
        <v>1415</v>
      </c>
      <c r="E97" s="2190"/>
      <c r="F97" s="2207" t="s">
        <v>56</v>
      </c>
      <c r="G97" s="2210" t="s">
        <v>56</v>
      </c>
      <c r="H97" s="2211" t="s">
        <v>56</v>
      </c>
      <c r="I97" s="2172"/>
      <c r="J97" s="2212"/>
      <c r="K97" s="2213"/>
      <c r="L97" s="2172"/>
      <c r="M97" s="2197"/>
      <c r="N97" s="2172"/>
    </row>
    <row r="98">
      <c r="A98" s="2214" t="s">
        <v>1603</v>
      </c>
      <c r="B98" s="2215">
        <f t="shared" si="41"/>
        <v>43716</v>
      </c>
      <c r="C98" s="2216"/>
      <c r="D98" s="2217" t="s">
        <v>1604</v>
      </c>
      <c r="E98" s="2216"/>
      <c r="F98" s="2218" t="s">
        <v>56</v>
      </c>
      <c r="G98" s="2219" t="s">
        <v>56</v>
      </c>
      <c r="H98" s="2220" t="s">
        <v>56</v>
      </c>
      <c r="I98" s="2184"/>
      <c r="J98" s="2221"/>
      <c r="K98" s="2222"/>
      <c r="L98" s="2184"/>
      <c r="M98" s="2223"/>
      <c r="N98" s="2184"/>
    </row>
    <row r="99">
      <c r="A99" s="2188" t="s">
        <v>1589</v>
      </c>
      <c r="B99" s="2189">
        <f t="shared" si="41"/>
        <v>43717</v>
      </c>
      <c r="C99" s="2190"/>
      <c r="D99" s="2191" t="s">
        <v>1590</v>
      </c>
      <c r="E99" s="2190"/>
      <c r="F99" s="2237" t="s">
        <v>56</v>
      </c>
      <c r="G99" s="2238" t="s">
        <v>1744</v>
      </c>
      <c r="H99" s="2211" t="s">
        <v>56</v>
      </c>
      <c r="I99" s="2172"/>
      <c r="J99" s="2195">
        <f t="shared" ref="J99:J100" si="42">B99</f>
        <v>43717</v>
      </c>
      <c r="K99" s="2196">
        <f t="shared" ref="K99:K102" si="43">J99+3</f>
        <v>43720</v>
      </c>
      <c r="L99" s="2172"/>
      <c r="M99" s="2197"/>
      <c r="N99" s="2172"/>
    </row>
    <row r="100">
      <c r="A100" s="2188" t="s">
        <v>1591</v>
      </c>
      <c r="B100" s="2189">
        <f t="shared" si="41"/>
        <v>43718</v>
      </c>
      <c r="C100" s="2190"/>
      <c r="D100" s="2191" t="s">
        <v>1590</v>
      </c>
      <c r="E100" s="2190"/>
      <c r="F100" s="2207" t="s">
        <v>957</v>
      </c>
      <c r="G100" s="2210" t="s">
        <v>1745</v>
      </c>
      <c r="H100" s="2194" t="s">
        <v>662</v>
      </c>
      <c r="I100" s="2172"/>
      <c r="J100" s="2195">
        <f t="shared" si="42"/>
        <v>43718</v>
      </c>
      <c r="K100" s="2196">
        <f t="shared" si="43"/>
        <v>43721</v>
      </c>
      <c r="L100" s="2172"/>
      <c r="M100" s="2197"/>
      <c r="N100" s="2172"/>
    </row>
    <row r="101">
      <c r="C101" s="2190"/>
      <c r="D101" s="2202" t="s">
        <v>1590</v>
      </c>
      <c r="E101" s="2190"/>
      <c r="F101" s="2207" t="s">
        <v>831</v>
      </c>
      <c r="G101" s="2210" t="s">
        <v>1746</v>
      </c>
      <c r="H101" s="739" t="s">
        <v>1747</v>
      </c>
      <c r="I101" s="2172"/>
      <c r="J101" s="2195">
        <f>B100</f>
        <v>43718</v>
      </c>
      <c r="K101" s="2196">
        <f t="shared" si="43"/>
        <v>43721</v>
      </c>
      <c r="L101" s="2172"/>
      <c r="M101" s="2197"/>
      <c r="N101" s="2172"/>
    </row>
    <row r="102">
      <c r="A102" s="2188" t="s">
        <v>1593</v>
      </c>
      <c r="B102" s="2189">
        <f>B100+1</f>
        <v>43719</v>
      </c>
      <c r="C102" s="2190"/>
      <c r="D102" s="2191" t="s">
        <v>1590</v>
      </c>
      <c r="E102" s="2190"/>
      <c r="F102" s="2207" t="s">
        <v>1748</v>
      </c>
      <c r="G102" s="2210" t="s">
        <v>1749</v>
      </c>
      <c r="H102" s="2194" t="s">
        <v>16</v>
      </c>
      <c r="I102" s="2172"/>
      <c r="J102" s="2195">
        <f t="shared" ref="J102:J103" si="44">B102</f>
        <v>43719</v>
      </c>
      <c r="K102" s="2196">
        <f t="shared" si="43"/>
        <v>43722</v>
      </c>
      <c r="L102" s="2172"/>
      <c r="M102" s="2197"/>
      <c r="N102" s="2172"/>
    </row>
    <row r="103">
      <c r="A103" s="2188" t="s">
        <v>1591</v>
      </c>
      <c r="B103" s="2189">
        <f>B102+1</f>
        <v>43720</v>
      </c>
      <c r="C103" s="2190"/>
      <c r="D103" s="2191" t="s">
        <v>1597</v>
      </c>
      <c r="E103" s="2190"/>
      <c r="F103" s="2207" t="s">
        <v>1750</v>
      </c>
      <c r="G103" s="2210" t="s">
        <v>1751</v>
      </c>
      <c r="H103" s="2228" t="s">
        <v>56</v>
      </c>
      <c r="I103" s="2172"/>
      <c r="J103" s="2195">
        <f t="shared" si="44"/>
        <v>43720</v>
      </c>
      <c r="K103" s="2196">
        <f>J103+7</f>
        <v>43727</v>
      </c>
      <c r="L103" s="2172"/>
      <c r="M103" s="2197"/>
      <c r="N103" s="2172"/>
    </row>
    <row r="104">
      <c r="C104" s="2190"/>
      <c r="D104" s="2191" t="s">
        <v>1590</v>
      </c>
      <c r="E104" s="2190"/>
      <c r="F104" s="2207" t="s">
        <v>706</v>
      </c>
      <c r="G104" s="2210" t="s">
        <v>1752</v>
      </c>
      <c r="H104" s="2194" t="s">
        <v>149</v>
      </c>
      <c r="I104" s="2172"/>
      <c r="J104" s="2195">
        <f>B103</f>
        <v>43720</v>
      </c>
      <c r="K104" s="2196">
        <f t="shared" ref="K104:K105" si="45">J104+3</f>
        <v>43723</v>
      </c>
      <c r="L104" s="2172"/>
      <c r="M104" s="2197"/>
      <c r="N104" s="2172"/>
    </row>
    <row r="105">
      <c r="A105" s="2188" t="s">
        <v>1600</v>
      </c>
      <c r="B105" s="2189">
        <f>B103+1</f>
        <v>43721</v>
      </c>
      <c r="C105" s="2190"/>
      <c r="D105" s="2191" t="s">
        <v>1601</v>
      </c>
      <c r="E105" s="2190"/>
      <c r="F105" s="2207" t="s">
        <v>958</v>
      </c>
      <c r="G105" s="2239" t="s">
        <v>1753</v>
      </c>
      <c r="H105" s="2194" t="s">
        <v>662</v>
      </c>
      <c r="I105" s="2172"/>
      <c r="J105" s="2195">
        <f>B105</f>
        <v>43721</v>
      </c>
      <c r="K105" s="2196">
        <f t="shared" si="45"/>
        <v>43724</v>
      </c>
      <c r="L105" s="2172"/>
      <c r="M105" s="2197"/>
      <c r="N105" s="2172"/>
    </row>
    <row r="106">
      <c r="A106" s="2188" t="s">
        <v>1603</v>
      </c>
      <c r="B106" s="2189">
        <f t="shared" ref="B106:B108" si="46">B105+1</f>
        <v>43722</v>
      </c>
      <c r="C106" s="2190"/>
      <c r="D106" s="2191" t="s">
        <v>1415</v>
      </c>
      <c r="E106" s="2190"/>
      <c r="F106" s="2207" t="s">
        <v>56</v>
      </c>
      <c r="G106" s="2210" t="s">
        <v>56</v>
      </c>
      <c r="H106" s="2211" t="s">
        <v>56</v>
      </c>
      <c r="I106" s="2172"/>
      <c r="J106" s="2212"/>
      <c r="K106" s="2213"/>
      <c r="L106" s="2172"/>
      <c r="M106" s="2197"/>
      <c r="N106" s="2172"/>
    </row>
    <row r="107">
      <c r="A107" s="2214" t="s">
        <v>1603</v>
      </c>
      <c r="B107" s="2215">
        <f t="shared" si="46"/>
        <v>43723</v>
      </c>
      <c r="C107" s="2216"/>
      <c r="D107" s="2217" t="s">
        <v>1604</v>
      </c>
      <c r="E107" s="2216"/>
      <c r="F107" s="2218" t="s">
        <v>56</v>
      </c>
      <c r="G107" s="2219" t="s">
        <v>56</v>
      </c>
      <c r="H107" s="2220" t="s">
        <v>56</v>
      </c>
      <c r="I107" s="2184"/>
      <c r="J107" s="2221"/>
      <c r="K107" s="2222"/>
      <c r="L107" s="2184"/>
      <c r="M107" s="2223"/>
      <c r="N107" s="2184"/>
    </row>
    <row r="108">
      <c r="A108" s="2188" t="s">
        <v>1589</v>
      </c>
      <c r="B108" s="2189">
        <f t="shared" si="46"/>
        <v>43724</v>
      </c>
      <c r="C108" s="2190"/>
      <c r="D108" s="2191" t="s">
        <v>1590</v>
      </c>
      <c r="E108" s="2190"/>
      <c r="F108" s="2207" t="s">
        <v>959</v>
      </c>
      <c r="G108" s="2210" t="s">
        <v>1754</v>
      </c>
      <c r="H108" s="2240" t="s">
        <v>118</v>
      </c>
      <c r="I108" s="2172"/>
      <c r="J108" s="2195">
        <f>B108</f>
        <v>43724</v>
      </c>
      <c r="K108" s="2196">
        <f t="shared" ref="K108:K112" si="47">J108+3</f>
        <v>43727</v>
      </c>
      <c r="L108" s="2172"/>
      <c r="M108" s="2197"/>
      <c r="N108" s="2172"/>
    </row>
    <row r="109">
      <c r="C109" s="2190"/>
      <c r="D109" s="2202" t="s">
        <v>1590</v>
      </c>
      <c r="E109" s="2190"/>
      <c r="F109" s="2207" t="s">
        <v>1755</v>
      </c>
      <c r="G109" s="2210" t="s">
        <v>1756</v>
      </c>
      <c r="H109" s="2194" t="s">
        <v>662</v>
      </c>
      <c r="I109" s="2172"/>
      <c r="J109" s="2195">
        <f>B108</f>
        <v>43724</v>
      </c>
      <c r="K109" s="2196">
        <f t="shared" si="47"/>
        <v>43727</v>
      </c>
      <c r="L109" s="2172"/>
      <c r="M109" s="2197"/>
      <c r="N109" s="2172"/>
    </row>
    <row r="110">
      <c r="A110" s="2188" t="s">
        <v>1591</v>
      </c>
      <c r="B110" s="2189">
        <f>B108+1</f>
        <v>43725</v>
      </c>
      <c r="C110" s="2190"/>
      <c r="D110" s="2191" t="s">
        <v>1590</v>
      </c>
      <c r="E110" s="2190"/>
      <c r="F110" s="2207" t="s">
        <v>708</v>
      </c>
      <c r="G110" s="2210" t="s">
        <v>1757</v>
      </c>
      <c r="H110" s="2194" t="s">
        <v>662</v>
      </c>
      <c r="I110" s="2172"/>
      <c r="J110" s="2195">
        <f t="shared" ref="J110:J111" si="48">B110</f>
        <v>43725</v>
      </c>
      <c r="K110" s="2196">
        <f t="shared" si="47"/>
        <v>43728</v>
      </c>
      <c r="L110" s="2172"/>
      <c r="M110" s="2197"/>
      <c r="N110" s="2172"/>
    </row>
    <row r="111">
      <c r="A111" s="2188" t="s">
        <v>1593</v>
      </c>
      <c r="B111" s="2189">
        <f>B110+1</f>
        <v>43726</v>
      </c>
      <c r="C111" s="2190"/>
      <c r="D111" s="2191" t="s">
        <v>1590</v>
      </c>
      <c r="E111" s="2190"/>
      <c r="F111" s="2207" t="s">
        <v>960</v>
      </c>
      <c r="G111" s="2210" t="s">
        <v>1758</v>
      </c>
      <c r="H111" s="2240" t="s">
        <v>299</v>
      </c>
      <c r="I111" s="2172"/>
      <c r="J111" s="2195">
        <f t="shared" si="48"/>
        <v>43726</v>
      </c>
      <c r="K111" s="2196">
        <f t="shared" si="47"/>
        <v>43729</v>
      </c>
      <c r="L111" s="2172"/>
      <c r="M111" s="2197"/>
      <c r="N111" s="2172"/>
    </row>
    <row r="112">
      <c r="C112" s="2190"/>
      <c r="D112" s="2202" t="s">
        <v>1590</v>
      </c>
      <c r="E112" s="2190"/>
      <c r="F112" s="2207" t="s">
        <v>710</v>
      </c>
      <c r="G112" s="2210" t="s">
        <v>391</v>
      </c>
      <c r="H112" s="2225" t="s">
        <v>122</v>
      </c>
      <c r="I112" s="2172"/>
      <c r="J112" s="2195">
        <f>B111</f>
        <v>43726</v>
      </c>
      <c r="K112" s="2196">
        <f t="shared" si="47"/>
        <v>43729</v>
      </c>
      <c r="L112" s="2172"/>
      <c r="M112" s="2197"/>
      <c r="N112" s="2172"/>
    </row>
    <row r="113">
      <c r="A113" s="2188" t="s">
        <v>1591</v>
      </c>
      <c r="B113" s="2189">
        <f>B111+1</f>
        <v>43727</v>
      </c>
      <c r="C113" s="2190"/>
      <c r="D113" s="2191" t="s">
        <v>1597</v>
      </c>
      <c r="E113" s="2190"/>
      <c r="F113" s="2207" t="s">
        <v>1759</v>
      </c>
      <c r="G113" s="2210" t="s">
        <v>1760</v>
      </c>
      <c r="H113" s="2228" t="s">
        <v>56</v>
      </c>
      <c r="I113" s="2172"/>
      <c r="J113" s="2195">
        <f>B113</f>
        <v>43727</v>
      </c>
      <c r="K113" s="2196">
        <f>J113+7</f>
        <v>43734</v>
      </c>
      <c r="L113" s="2172"/>
      <c r="M113" s="2197"/>
      <c r="N113" s="2172"/>
    </row>
    <row r="114">
      <c r="C114" s="2190"/>
      <c r="D114" s="2191" t="s">
        <v>1590</v>
      </c>
      <c r="E114" s="2190"/>
      <c r="F114" s="2207" t="s">
        <v>833</v>
      </c>
      <c r="G114" s="2210" t="s">
        <v>1761</v>
      </c>
      <c r="H114" s="2194" t="s">
        <v>1762</v>
      </c>
      <c r="I114" s="2172"/>
      <c r="J114" s="2195">
        <f>B113</f>
        <v>43727</v>
      </c>
      <c r="K114" s="2196">
        <f t="shared" ref="K114:K115" si="49">J114+3</f>
        <v>43730</v>
      </c>
      <c r="L114" s="2172"/>
      <c r="M114" s="2197"/>
      <c r="N114" s="2172"/>
    </row>
    <row r="115">
      <c r="A115" s="2188" t="s">
        <v>1600</v>
      </c>
      <c r="B115" s="2189">
        <f>B113+1</f>
        <v>43728</v>
      </c>
      <c r="C115" s="2190"/>
      <c r="D115" s="2191" t="s">
        <v>1601</v>
      </c>
      <c r="E115" s="2190"/>
      <c r="F115" s="2207" t="s">
        <v>961</v>
      </c>
      <c r="G115" s="2210" t="s">
        <v>1763</v>
      </c>
      <c r="H115" s="2229" t="s">
        <v>116</v>
      </c>
      <c r="I115" s="2172"/>
      <c r="J115" s="2195">
        <f>B115</f>
        <v>43728</v>
      </c>
      <c r="K115" s="2196">
        <f t="shared" si="49"/>
        <v>43731</v>
      </c>
      <c r="L115" s="2172"/>
      <c r="M115" s="2197"/>
      <c r="N115" s="2172"/>
    </row>
    <row r="116">
      <c r="A116" s="2188" t="s">
        <v>1603</v>
      </c>
      <c r="B116" s="2189">
        <f t="shared" ref="B116:B118" si="50">B115+1</f>
        <v>43729</v>
      </c>
      <c r="C116" s="2190"/>
      <c r="D116" s="2191" t="s">
        <v>1415</v>
      </c>
      <c r="E116" s="2190"/>
      <c r="F116" s="2207" t="s">
        <v>56</v>
      </c>
      <c r="G116" s="2210" t="s">
        <v>56</v>
      </c>
      <c r="H116" s="2211" t="s">
        <v>56</v>
      </c>
      <c r="I116" s="2172"/>
      <c r="J116" s="2212"/>
      <c r="K116" s="2213"/>
      <c r="L116" s="2172"/>
      <c r="M116" s="2197"/>
      <c r="N116" s="2172"/>
    </row>
    <row r="117">
      <c r="A117" s="2214" t="s">
        <v>1603</v>
      </c>
      <c r="B117" s="2215">
        <f t="shared" si="50"/>
        <v>43730</v>
      </c>
      <c r="C117" s="2216"/>
      <c r="D117" s="2217" t="s">
        <v>1604</v>
      </c>
      <c r="E117" s="2216"/>
      <c r="F117" s="2218" t="s">
        <v>56</v>
      </c>
      <c r="G117" s="2219" t="s">
        <v>56</v>
      </c>
      <c r="H117" s="2220" t="s">
        <v>56</v>
      </c>
      <c r="I117" s="2184"/>
      <c r="J117" s="2221"/>
      <c r="K117" s="2222"/>
      <c r="L117" s="2184"/>
      <c r="M117" s="2223"/>
      <c r="N117" s="2184"/>
    </row>
    <row r="118">
      <c r="A118" s="2188" t="s">
        <v>1589</v>
      </c>
      <c r="B118" s="2189">
        <f t="shared" si="50"/>
        <v>43731</v>
      </c>
      <c r="C118" s="2190"/>
      <c r="D118" s="2191" t="s">
        <v>1590</v>
      </c>
      <c r="E118" s="2190"/>
      <c r="F118" s="2207" t="s">
        <v>835</v>
      </c>
      <c r="G118" s="2210" t="s">
        <v>1764</v>
      </c>
      <c r="H118" s="2240" t="s">
        <v>16</v>
      </c>
      <c r="I118" s="2172"/>
      <c r="J118" s="2195">
        <f>B118</f>
        <v>43731</v>
      </c>
      <c r="K118" s="2196">
        <f t="shared" ref="K118:K122" si="51">J118+3</f>
        <v>43734</v>
      </c>
      <c r="L118" s="2172"/>
      <c r="M118" s="2197"/>
      <c r="N118" s="2172"/>
    </row>
    <row r="119">
      <c r="C119" s="2190"/>
      <c r="D119" s="2202" t="s">
        <v>1590</v>
      </c>
      <c r="E119" s="2190"/>
      <c r="F119" s="2207" t="s">
        <v>711</v>
      </c>
      <c r="G119" s="2210" t="s">
        <v>1765</v>
      </c>
      <c r="H119" s="2198" t="s">
        <v>155</v>
      </c>
      <c r="I119" s="2172"/>
      <c r="J119" s="2195">
        <f>B118</f>
        <v>43731</v>
      </c>
      <c r="K119" s="2196">
        <f t="shared" si="51"/>
        <v>43734</v>
      </c>
      <c r="L119" s="2172"/>
      <c r="M119" s="2197"/>
      <c r="N119" s="2172"/>
    </row>
    <row r="120">
      <c r="A120" s="2188" t="s">
        <v>1591</v>
      </c>
      <c r="B120" s="2189">
        <f>B118+1</f>
        <v>43732</v>
      </c>
      <c r="C120" s="2190"/>
      <c r="D120" s="2191" t="s">
        <v>1590</v>
      </c>
      <c r="E120" s="2190"/>
      <c r="F120" s="2207" t="s">
        <v>712</v>
      </c>
      <c r="G120" s="2210" t="s">
        <v>1766</v>
      </c>
      <c r="H120" s="2241" t="s">
        <v>662</v>
      </c>
      <c r="I120" s="2172"/>
      <c r="J120" s="2195">
        <f>B120</f>
        <v>43732</v>
      </c>
      <c r="K120" s="2196">
        <f t="shared" si="51"/>
        <v>43735</v>
      </c>
      <c r="L120" s="2172"/>
      <c r="M120" s="2197"/>
      <c r="N120" s="2172"/>
    </row>
    <row r="121">
      <c r="C121" s="2190"/>
      <c r="D121" s="2202" t="s">
        <v>1590</v>
      </c>
      <c r="E121" s="2190"/>
      <c r="F121" s="2207" t="s">
        <v>968</v>
      </c>
      <c r="G121" s="2210" t="s">
        <v>1767</v>
      </c>
      <c r="H121" s="2240" t="s">
        <v>154</v>
      </c>
      <c r="I121" s="2172"/>
      <c r="J121" s="2195">
        <f>B120</f>
        <v>43732</v>
      </c>
      <c r="K121" s="2196">
        <f t="shared" si="51"/>
        <v>43735</v>
      </c>
      <c r="L121" s="2172"/>
      <c r="M121" s="2197"/>
      <c r="N121" s="2172"/>
    </row>
    <row r="122">
      <c r="A122" s="2188" t="s">
        <v>1593</v>
      </c>
      <c r="B122" s="2189">
        <f>B120+1</f>
        <v>43733</v>
      </c>
      <c r="C122" s="2190"/>
      <c r="D122" s="2191" t="s">
        <v>1590</v>
      </c>
      <c r="E122" s="2190"/>
      <c r="F122" s="2207" t="s">
        <v>836</v>
      </c>
      <c r="G122" s="2210" t="s">
        <v>1768</v>
      </c>
      <c r="H122" s="2240" t="s">
        <v>578</v>
      </c>
      <c r="I122" s="2172"/>
      <c r="J122" s="2195">
        <f t="shared" ref="J122:J123" si="52">B122</f>
        <v>43733</v>
      </c>
      <c r="K122" s="2196">
        <f t="shared" si="51"/>
        <v>43736</v>
      </c>
      <c r="L122" s="2172"/>
      <c r="M122" s="2197"/>
      <c r="N122" s="2172"/>
    </row>
    <row r="123">
      <c r="A123" s="2188" t="s">
        <v>1591</v>
      </c>
      <c r="B123" s="2189">
        <f>B122+1</f>
        <v>43734</v>
      </c>
      <c r="C123" s="2190"/>
      <c r="D123" s="2191" t="s">
        <v>1597</v>
      </c>
      <c r="E123" s="2190"/>
      <c r="F123" s="2207" t="s">
        <v>1769</v>
      </c>
      <c r="G123" s="2210" t="s">
        <v>1770</v>
      </c>
      <c r="H123" s="2228" t="s">
        <v>56</v>
      </c>
      <c r="I123" s="2172"/>
      <c r="J123" s="2195">
        <f t="shared" si="52"/>
        <v>43734</v>
      </c>
      <c r="K123" s="2196">
        <f>J123+7</f>
        <v>43741</v>
      </c>
      <c r="L123" s="2172"/>
      <c r="M123" s="2197"/>
      <c r="N123" s="2172"/>
    </row>
    <row r="124">
      <c r="C124" s="2190"/>
      <c r="D124" s="2202" t="s">
        <v>1590</v>
      </c>
      <c r="E124" s="2190"/>
      <c r="F124" s="2207" t="s">
        <v>837</v>
      </c>
      <c r="G124" s="2210" t="s">
        <v>1771</v>
      </c>
      <c r="H124" s="739" t="s">
        <v>25</v>
      </c>
      <c r="I124" s="2172"/>
      <c r="J124" s="2195">
        <f>B123</f>
        <v>43734</v>
      </c>
      <c r="K124" s="2196">
        <f t="shared" ref="K124:K125" si="53">J124+3</f>
        <v>43737</v>
      </c>
      <c r="L124" s="2172"/>
      <c r="M124" s="2197"/>
      <c r="N124" s="2172"/>
    </row>
    <row r="125">
      <c r="A125" s="2188" t="s">
        <v>1600</v>
      </c>
      <c r="B125" s="2189">
        <f>B123+1</f>
        <v>43735</v>
      </c>
      <c r="C125" s="2190"/>
      <c r="D125" s="2191" t="s">
        <v>1601</v>
      </c>
      <c r="E125" s="2190"/>
      <c r="F125" s="2207" t="s">
        <v>963</v>
      </c>
      <c r="G125" s="2210" t="s">
        <v>1772</v>
      </c>
      <c r="H125" s="2241" t="s">
        <v>662</v>
      </c>
      <c r="I125" s="2172"/>
      <c r="J125" s="2195">
        <f>B125</f>
        <v>43735</v>
      </c>
      <c r="K125" s="2196">
        <f t="shared" si="53"/>
        <v>43738</v>
      </c>
      <c r="L125" s="2172"/>
      <c r="M125" s="2197"/>
      <c r="N125" s="2172"/>
    </row>
    <row r="126">
      <c r="A126" s="2188" t="s">
        <v>1603</v>
      </c>
      <c r="B126" s="2189">
        <f t="shared" ref="B126:B127" si="54">B125+1</f>
        <v>43736</v>
      </c>
      <c r="C126" s="2190"/>
      <c r="D126" s="2191" t="s">
        <v>1415</v>
      </c>
      <c r="E126" s="2190"/>
      <c r="F126" s="2207" t="s">
        <v>56</v>
      </c>
      <c r="G126" s="2210" t="s">
        <v>56</v>
      </c>
      <c r="H126" s="2211" t="s">
        <v>56</v>
      </c>
      <c r="I126" s="2172"/>
      <c r="J126" s="2212"/>
      <c r="K126" s="2213"/>
      <c r="L126" s="2172"/>
      <c r="M126" s="2197"/>
      <c r="N126" s="2172"/>
    </row>
    <row r="127">
      <c r="A127" s="2214" t="s">
        <v>1603</v>
      </c>
      <c r="B127" s="2215">
        <f t="shared" si="54"/>
        <v>43737</v>
      </c>
      <c r="C127" s="2216"/>
      <c r="D127" s="2217" t="s">
        <v>1604</v>
      </c>
      <c r="E127" s="2216"/>
      <c r="F127" s="2218" t="s">
        <v>56</v>
      </c>
      <c r="G127" s="2219" t="s">
        <v>56</v>
      </c>
      <c r="H127" s="2220" t="s">
        <v>56</v>
      </c>
      <c r="I127" s="2184"/>
      <c r="J127" s="2221"/>
      <c r="K127" s="2222"/>
      <c r="L127" s="2184"/>
      <c r="M127" s="2223"/>
      <c r="N127" s="2184"/>
    </row>
    <row r="128">
      <c r="A128" s="2242"/>
      <c r="N128" s="115"/>
    </row>
    <row r="129">
      <c r="A129" s="2242"/>
      <c r="E129" s="351"/>
      <c r="F129" s="2243" t="s">
        <v>1642</v>
      </c>
      <c r="G129" s="549"/>
      <c r="H129" s="549"/>
      <c r="I129" s="2244"/>
      <c r="N129" s="115"/>
    </row>
    <row r="130">
      <c r="A130" s="2242"/>
      <c r="E130" s="351"/>
      <c r="F130" s="2245" t="s">
        <v>1773</v>
      </c>
      <c r="G130" s="2246" t="s">
        <v>1774</v>
      </c>
      <c r="H130" s="2233" t="s">
        <v>629</v>
      </c>
      <c r="I130" s="2244"/>
      <c r="N130" s="115"/>
    </row>
    <row r="131">
      <c r="A131" s="2242"/>
      <c r="E131" s="351"/>
      <c r="F131" s="2245" t="s">
        <v>1775</v>
      </c>
      <c r="G131" s="2246" t="s">
        <v>1605</v>
      </c>
      <c r="H131" s="739" t="s">
        <v>25</v>
      </c>
      <c r="I131" s="2244"/>
      <c r="N131" s="115"/>
    </row>
    <row r="132">
      <c r="A132" s="2242"/>
      <c r="E132" s="351"/>
      <c r="F132" s="2245" t="s">
        <v>1776</v>
      </c>
      <c r="G132" s="2246" t="s">
        <v>1607</v>
      </c>
      <c r="H132" s="2240" t="s">
        <v>148</v>
      </c>
      <c r="I132" s="2244"/>
      <c r="N132" s="115"/>
    </row>
    <row r="133">
      <c r="A133" s="2242"/>
      <c r="E133" s="351"/>
      <c r="F133" s="2245" t="s">
        <v>1777</v>
      </c>
      <c r="G133" s="2246" t="s">
        <v>1778</v>
      </c>
      <c r="H133" s="2240" t="s">
        <v>148</v>
      </c>
      <c r="I133" s="2244"/>
      <c r="N133" s="115"/>
    </row>
    <row r="134">
      <c r="A134" s="2242"/>
      <c r="E134" s="351"/>
      <c r="F134" s="2245" t="s">
        <v>1779</v>
      </c>
      <c r="G134" s="2246" t="s">
        <v>1595</v>
      </c>
      <c r="H134" s="744" t="s">
        <v>617</v>
      </c>
      <c r="I134" s="2244"/>
      <c r="N134" s="115"/>
    </row>
    <row r="135">
      <c r="A135" s="2242"/>
      <c r="E135" s="351"/>
      <c r="F135" s="2245" t="s">
        <v>1779</v>
      </c>
      <c r="G135" s="2246" t="s">
        <v>1599</v>
      </c>
      <c r="H135" s="907" t="s">
        <v>155</v>
      </c>
      <c r="I135" s="2244"/>
      <c r="N135" s="115"/>
    </row>
    <row r="136">
      <c r="A136" s="2242"/>
      <c r="E136" s="351"/>
      <c r="F136" s="2213"/>
      <c r="G136" s="2247"/>
      <c r="H136" s="2228"/>
      <c r="I136" s="2244"/>
      <c r="N136" s="115"/>
    </row>
    <row r="137">
      <c r="A137" s="2242"/>
      <c r="E137" s="351"/>
      <c r="F137" s="2213"/>
      <c r="G137" s="2247"/>
      <c r="H137" s="2228"/>
      <c r="I137" s="2244"/>
      <c r="N137" s="115"/>
    </row>
    <row r="138">
      <c r="A138" s="2242"/>
      <c r="E138" s="351"/>
      <c r="F138" s="2213"/>
      <c r="G138" s="2247"/>
      <c r="H138" s="2228"/>
      <c r="I138" s="2244"/>
      <c r="N138" s="115"/>
    </row>
    <row r="139">
      <c r="A139" s="2242"/>
      <c r="E139" s="351"/>
      <c r="F139" s="2213"/>
      <c r="G139" s="2247"/>
      <c r="H139" s="2228"/>
      <c r="I139" s="2244"/>
      <c r="N139" s="115"/>
    </row>
    <row r="140">
      <c r="A140" s="2242"/>
      <c r="E140" s="351"/>
      <c r="F140" s="2213"/>
      <c r="G140" s="2247"/>
      <c r="H140" s="2228"/>
      <c r="I140" s="2244"/>
      <c r="N140" s="115"/>
    </row>
    <row r="141">
      <c r="A141" s="2242"/>
      <c r="E141" s="351"/>
      <c r="F141" s="2213"/>
      <c r="G141" s="2247"/>
      <c r="H141" s="2228"/>
      <c r="I141" s="2244"/>
      <c r="N141" s="115"/>
    </row>
    <row r="142">
      <c r="A142" s="2242"/>
      <c r="E142" s="351"/>
      <c r="F142" s="2213"/>
      <c r="G142" s="2247"/>
      <c r="H142" s="2228"/>
      <c r="I142" s="2244"/>
      <c r="N142" s="115"/>
    </row>
    <row r="143">
      <c r="A143" s="2242"/>
      <c r="E143" s="351"/>
      <c r="F143" s="2213"/>
      <c r="G143" s="2247"/>
      <c r="H143" s="2228"/>
      <c r="I143" s="2244"/>
      <c r="N143" s="115"/>
    </row>
    <row r="144">
      <c r="A144" s="2242"/>
      <c r="E144" s="351"/>
      <c r="F144" s="2213"/>
      <c r="G144" s="2247"/>
      <c r="H144" s="2228"/>
      <c r="I144" s="2244"/>
      <c r="N144" s="115"/>
    </row>
    <row r="145">
      <c r="A145" s="2242"/>
      <c r="E145" s="351"/>
      <c r="F145" s="2213"/>
      <c r="G145" s="2247"/>
      <c r="H145" s="2228"/>
      <c r="I145" s="2244"/>
      <c r="N145" s="115"/>
    </row>
    <row r="146">
      <c r="A146" s="2242"/>
      <c r="E146" s="351"/>
      <c r="F146" s="2213"/>
      <c r="G146" s="2247"/>
      <c r="H146" s="2228"/>
      <c r="I146" s="2244"/>
      <c r="N146" s="115"/>
    </row>
    <row r="147">
      <c r="A147" s="2242"/>
      <c r="E147" s="351"/>
      <c r="F147" s="2213"/>
      <c r="G147" s="2247"/>
      <c r="H147" s="2228"/>
      <c r="I147" s="2244"/>
      <c r="N147" s="115"/>
    </row>
    <row r="148">
      <c r="A148" s="2242"/>
      <c r="E148" s="351"/>
      <c r="F148" s="2213"/>
      <c r="G148" s="2247"/>
      <c r="H148" s="2228"/>
      <c r="I148" s="2244"/>
      <c r="N148" s="115"/>
    </row>
    <row r="149">
      <c r="A149" s="2242"/>
      <c r="E149" s="351"/>
      <c r="F149" s="2213"/>
      <c r="G149" s="2247"/>
      <c r="H149" s="2228"/>
      <c r="I149" s="2244"/>
      <c r="N149" s="115"/>
    </row>
    <row r="150">
      <c r="A150" s="2242"/>
      <c r="E150" s="351"/>
      <c r="F150" s="2213"/>
      <c r="G150" s="2247"/>
      <c r="H150" s="2228"/>
      <c r="I150" s="2244"/>
      <c r="N150" s="115"/>
    </row>
    <row r="151">
      <c r="A151" s="2242"/>
      <c r="E151" s="351"/>
      <c r="F151" s="2213"/>
      <c r="G151" s="2247"/>
      <c r="H151" s="2228"/>
      <c r="I151" s="2244"/>
      <c r="N151" s="115"/>
    </row>
  </sheetData>
  <mergeCells count="115">
    <mergeCell ref="A1:E2"/>
    <mergeCell ref="F1:H2"/>
    <mergeCell ref="J1:K2"/>
    <mergeCell ref="M1:M3"/>
    <mergeCell ref="A3:B3"/>
    <mergeCell ref="A5:A6"/>
    <mergeCell ref="B5:B6"/>
    <mergeCell ref="A8:A9"/>
    <mergeCell ref="B8:B9"/>
    <mergeCell ref="A10:A11"/>
    <mergeCell ref="B10:B11"/>
    <mergeCell ref="A15:A16"/>
    <mergeCell ref="B15:B16"/>
    <mergeCell ref="B18:B19"/>
    <mergeCell ref="B20:B21"/>
    <mergeCell ref="A18:A19"/>
    <mergeCell ref="A20:A21"/>
    <mergeCell ref="A25:A26"/>
    <mergeCell ref="B25:B26"/>
    <mergeCell ref="A27:A28"/>
    <mergeCell ref="B27:B28"/>
    <mergeCell ref="B29:B30"/>
    <mergeCell ref="B31:B32"/>
    <mergeCell ref="A29:A30"/>
    <mergeCell ref="A31:A32"/>
    <mergeCell ref="A36:A37"/>
    <mergeCell ref="B36:B37"/>
    <mergeCell ref="A38:A39"/>
    <mergeCell ref="B38:B39"/>
    <mergeCell ref="B41:B42"/>
    <mergeCell ref="A41:A42"/>
    <mergeCell ref="A46:A47"/>
    <mergeCell ref="B46:B47"/>
    <mergeCell ref="A50:A51"/>
    <mergeCell ref="B50:B51"/>
    <mergeCell ref="A58:A59"/>
    <mergeCell ref="B58:B59"/>
    <mergeCell ref="A66:A68"/>
    <mergeCell ref="B66:B68"/>
    <mergeCell ref="A75:A76"/>
    <mergeCell ref="B75:B76"/>
    <mergeCell ref="A80:A81"/>
    <mergeCell ref="B80:B81"/>
    <mergeCell ref="B84:B85"/>
    <mergeCell ref="A84:A85"/>
    <mergeCell ref="A89:A90"/>
    <mergeCell ref="B89:B90"/>
    <mergeCell ref="A91:A92"/>
    <mergeCell ref="B91:B92"/>
    <mergeCell ref="A94:A95"/>
    <mergeCell ref="B94:B95"/>
    <mergeCell ref="I143:N143"/>
    <mergeCell ref="I144:N144"/>
    <mergeCell ref="I136:N136"/>
    <mergeCell ref="I137:N137"/>
    <mergeCell ref="I138:N138"/>
    <mergeCell ref="I139:N139"/>
    <mergeCell ref="I140:N140"/>
    <mergeCell ref="I141:N141"/>
    <mergeCell ref="I142:N142"/>
    <mergeCell ref="I146:N146"/>
    <mergeCell ref="I147:N147"/>
    <mergeCell ref="A142:E142"/>
    <mergeCell ref="A143:E143"/>
    <mergeCell ref="A144:E144"/>
    <mergeCell ref="A145:E145"/>
    <mergeCell ref="I145:N145"/>
    <mergeCell ref="A146:E146"/>
    <mergeCell ref="A147:E147"/>
    <mergeCell ref="A100:A101"/>
    <mergeCell ref="B100:B101"/>
    <mergeCell ref="A103:A104"/>
    <mergeCell ref="B103:B104"/>
    <mergeCell ref="A108:A109"/>
    <mergeCell ref="B108:B109"/>
    <mergeCell ref="B111:B112"/>
    <mergeCell ref="B113:B114"/>
    <mergeCell ref="A111:A112"/>
    <mergeCell ref="A113:A114"/>
    <mergeCell ref="A118:A119"/>
    <mergeCell ref="B118:B119"/>
    <mergeCell ref="A120:A121"/>
    <mergeCell ref="B120:B121"/>
    <mergeCell ref="A123:A124"/>
    <mergeCell ref="I130:N130"/>
    <mergeCell ref="I131:N131"/>
    <mergeCell ref="B123:B124"/>
    <mergeCell ref="A128:N128"/>
    <mergeCell ref="A129:E129"/>
    <mergeCell ref="F129:H129"/>
    <mergeCell ref="I129:N129"/>
    <mergeCell ref="A130:E130"/>
    <mergeCell ref="A131:E131"/>
    <mergeCell ref="A132:E132"/>
    <mergeCell ref="I132:N132"/>
    <mergeCell ref="A133:E133"/>
    <mergeCell ref="I133:N133"/>
    <mergeCell ref="A134:E134"/>
    <mergeCell ref="I134:N134"/>
    <mergeCell ref="I135:N135"/>
    <mergeCell ref="A135:E135"/>
    <mergeCell ref="A136:E136"/>
    <mergeCell ref="A137:E137"/>
    <mergeCell ref="A138:E138"/>
    <mergeCell ref="A139:E139"/>
    <mergeCell ref="A140:E140"/>
    <mergeCell ref="A141:E141"/>
    <mergeCell ref="A148:E148"/>
    <mergeCell ref="I148:N148"/>
    <mergeCell ref="A149:E149"/>
    <mergeCell ref="I149:N149"/>
    <mergeCell ref="A150:E150"/>
    <mergeCell ref="I150:N150"/>
    <mergeCell ref="A151:E151"/>
    <mergeCell ref="I151:N151"/>
  </mergeCells>
  <conditionalFormatting sqref="H27 H37 H51:H52 H57 H64 H74 H90 H115">
    <cfRule type="containsText" dxfId="0" priority="1" operator="containsText" text="voor">
      <formula>NOT(ISERROR(SEARCH(("voor"),(H27))))</formula>
    </cfRule>
  </conditionalFormatting>
  <conditionalFormatting sqref="H27 H37 H51:H52 H57 H64 H74 H90 H115">
    <cfRule type="containsText" dxfId="1" priority="2" operator="containsText" text="tegen">
      <formula>NOT(ISERROR(SEARCH(("tegen"),(H27))))</formula>
    </cfRule>
  </conditionalFormatting>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4125"/>
    <outlinePr summaryBelow="0" summaryRight="0"/>
  </sheetPr>
  <sheetViews>
    <sheetView workbookViewId="0">
      <pane xSplit="3.0" ySplit="6.0" topLeftCell="D7" activePane="bottomRight" state="frozen"/>
      <selection activeCell="D1" sqref="D1" pane="topRight"/>
      <selection activeCell="A7" sqref="A7" pane="bottomLeft"/>
      <selection activeCell="D7" sqref="D7" pane="bottomRight"/>
    </sheetView>
  </sheetViews>
  <sheetFormatPr customHeight="1" defaultColWidth="14.43" defaultRowHeight="15.75"/>
  <cols>
    <col customWidth="1" min="1" max="1" width="10.86"/>
    <col customWidth="1" min="2" max="2" width="11.0"/>
    <col customWidth="1" min="3" max="3" width="26.29"/>
  </cols>
  <sheetData>
    <row r="1" ht="18.75" customHeight="1">
      <c r="A1" s="2248" t="s">
        <v>164</v>
      </c>
      <c r="B1" s="2249"/>
      <c r="C1" s="2249"/>
      <c r="D1" s="2249"/>
      <c r="E1" s="2249"/>
      <c r="F1" s="2249"/>
      <c r="G1" s="2250"/>
      <c r="H1" s="2250"/>
      <c r="I1" s="2250"/>
      <c r="J1" s="2250"/>
      <c r="K1" s="2250"/>
      <c r="L1" s="2250"/>
      <c r="M1" s="2250"/>
      <c r="N1" s="2250"/>
      <c r="O1" s="2251"/>
      <c r="P1" s="2251"/>
      <c r="Q1" s="2251"/>
      <c r="R1" s="2251"/>
      <c r="S1" s="2251"/>
      <c r="T1" s="2251"/>
      <c r="U1" s="2251"/>
      <c r="V1" s="2251"/>
      <c r="W1" s="2251"/>
      <c r="X1" s="2251"/>
      <c r="Y1" s="2251"/>
      <c r="Z1" s="2251"/>
      <c r="AA1" s="2251"/>
      <c r="AB1" s="2251"/>
      <c r="AC1" s="2251"/>
      <c r="AD1" s="2251"/>
      <c r="AE1" s="2251"/>
      <c r="AF1" s="2251"/>
      <c r="AG1" s="2251"/>
      <c r="AH1" s="2251"/>
      <c r="AI1" s="2251"/>
      <c r="AJ1" s="2251"/>
      <c r="AK1" s="2251"/>
      <c r="AL1" s="2251"/>
      <c r="AM1" s="2251"/>
      <c r="AN1" s="2251"/>
      <c r="AO1" s="2251"/>
      <c r="AP1" s="2251"/>
      <c r="AQ1" s="2251"/>
      <c r="AR1" s="2251"/>
      <c r="AS1" s="2251"/>
      <c r="AT1" s="2251"/>
      <c r="AU1" s="2251"/>
      <c r="AV1" s="2251"/>
      <c r="AW1" s="2251"/>
      <c r="AX1" s="2251"/>
      <c r="AY1" s="2251"/>
      <c r="AZ1" s="2251"/>
      <c r="BA1" s="2251"/>
    </row>
    <row r="2" ht="18.75" customHeight="1">
      <c r="A2" s="2252" t="s">
        <v>1013</v>
      </c>
      <c r="B2" s="109"/>
      <c r="C2" s="110"/>
      <c r="D2" s="2253" t="s">
        <v>1571</v>
      </c>
      <c r="E2" s="112"/>
      <c r="F2" s="112"/>
      <c r="G2" s="112"/>
      <c r="H2" s="112"/>
      <c r="I2" s="112"/>
      <c r="J2" s="112"/>
      <c r="K2" s="112"/>
      <c r="L2" s="112"/>
      <c r="M2" s="112"/>
      <c r="N2" s="112"/>
      <c r="O2" s="112"/>
      <c r="P2" s="112"/>
      <c r="Q2" s="112"/>
      <c r="R2" s="112"/>
      <c r="S2" s="112"/>
      <c r="T2" s="112"/>
      <c r="U2" s="112"/>
      <c r="V2" s="112"/>
      <c r="W2" s="112"/>
      <c r="X2" s="112"/>
      <c r="Y2" s="112"/>
      <c r="Z2" s="112"/>
      <c r="AA2" s="112"/>
      <c r="AB2" s="112"/>
      <c r="AC2" s="112"/>
      <c r="AD2" s="112"/>
      <c r="AE2" s="112"/>
      <c r="AF2" s="112"/>
      <c r="AG2" s="112"/>
      <c r="AH2" s="112"/>
      <c r="AI2" s="112"/>
      <c r="AJ2" s="112"/>
      <c r="AK2" s="112"/>
      <c r="AL2" s="112"/>
      <c r="AM2" s="112"/>
      <c r="AN2" s="112"/>
      <c r="AO2" s="112"/>
      <c r="AP2" s="112"/>
      <c r="AQ2" s="112"/>
      <c r="AR2" s="112"/>
      <c r="AS2" s="112"/>
      <c r="AT2" s="112"/>
      <c r="AU2" s="112"/>
      <c r="AV2" s="112"/>
      <c r="AW2" s="112"/>
      <c r="AX2" s="112"/>
      <c r="AY2" s="112"/>
      <c r="AZ2" s="112"/>
      <c r="BA2" s="20"/>
    </row>
    <row r="3" ht="18.75" customHeight="1">
      <c r="A3" s="2254" t="s">
        <v>1780</v>
      </c>
      <c r="C3" s="115"/>
      <c r="D3" s="43"/>
      <c r="BA3" s="44"/>
    </row>
    <row r="4" ht="18.75" customHeight="1">
      <c r="C4" s="115"/>
      <c r="D4" s="26"/>
      <c r="E4" s="504"/>
      <c r="F4" s="504"/>
      <c r="G4" s="504"/>
      <c r="H4" s="504"/>
      <c r="I4" s="504"/>
      <c r="J4" s="504"/>
      <c r="K4" s="504"/>
      <c r="L4" s="504"/>
      <c r="M4" s="504"/>
      <c r="N4" s="504"/>
      <c r="O4" s="504"/>
      <c r="P4" s="504"/>
      <c r="Q4" s="504"/>
      <c r="R4" s="504"/>
      <c r="S4" s="504"/>
      <c r="T4" s="504"/>
      <c r="U4" s="504"/>
      <c r="V4" s="504"/>
      <c r="W4" s="504"/>
      <c r="X4" s="504"/>
      <c r="Y4" s="504"/>
      <c r="Z4" s="504"/>
      <c r="AA4" s="504"/>
      <c r="AB4" s="504"/>
      <c r="AC4" s="504"/>
      <c r="AD4" s="504"/>
      <c r="AE4" s="504"/>
      <c r="AF4" s="504"/>
      <c r="AG4" s="504"/>
      <c r="AH4" s="504"/>
      <c r="AI4" s="504"/>
      <c r="AJ4" s="504"/>
      <c r="AK4" s="504"/>
      <c r="AL4" s="504"/>
      <c r="AM4" s="504"/>
      <c r="AN4" s="504"/>
      <c r="AO4" s="504"/>
      <c r="AP4" s="504"/>
      <c r="AQ4" s="504"/>
      <c r="AR4" s="504"/>
      <c r="AS4" s="504"/>
      <c r="AT4" s="504"/>
      <c r="AU4" s="504"/>
      <c r="AV4" s="504"/>
      <c r="AW4" s="504"/>
      <c r="AX4" s="504"/>
      <c r="AY4" s="504"/>
      <c r="AZ4" s="504"/>
      <c r="BA4" s="27"/>
    </row>
    <row r="5" ht="18.75" customHeight="1">
      <c r="A5" s="2255" t="s">
        <v>82</v>
      </c>
      <c r="B5" s="2256" t="s">
        <v>83</v>
      </c>
      <c r="C5" s="2257" t="s">
        <v>84</v>
      </c>
      <c r="D5" s="2258" t="str">
        <f>HYPERLINK("https://www.reddit.com/r/RMTK/comments/c8d1ja/m0076_motie_tot_uitdelen_oordoppen_bij_festivals/","M0076")</f>
        <v>M0076</v>
      </c>
      <c r="E5" s="2258" t="str">
        <f>HYPERLINK("https://www.reddit.com/r/RMTK/comments/c8rc1h/w0028_wetswijziging_tot_aanvulling_op_de_wet/","W0028")</f>
        <v>W0028</v>
      </c>
      <c r="F5" s="2258" t="str">
        <f>HYPERLINK("https://www.reddit.com/r/RMTK/comments/caneu6/m0077_motie_tot_opstellen_van_klimaatnota/","M0077")</f>
        <v>M0077</v>
      </c>
      <c r="G5" s="2258" t="str">
        <f>HYPERLINK("https://www.reddit.com/r/RMTK/comments/cb3edh/motie_tot_het_aanpakken_van_problemen_rondom_112/","M0078")</f>
        <v>M0078</v>
      </c>
      <c r="H5" s="2258" t="str">
        <f>HYPERLINK("https://www.reddit.com/r/RMTK/comments/cbwf92/m0079_motie_tot_uitvoering_m0050/","M0079")</f>
        <v>M0079</v>
      </c>
      <c r="I5" s="2258" t="str">
        <f>HYPERLINK("https://www.reddit.com/r/RMTK/comments/cbidty/w0029_wijziging_van_het_burgerlijk_wetboek_boek_1/","W0029")</f>
        <v>W0029</v>
      </c>
      <c r="J5" s="2258" t="str">
        <f>HYPERLINK("https://www.reddit.com/r/RMTK/comments/cdkiso/m0080_motie_tot_onderzoek_naar_circulair_maken/","M0080")</f>
        <v>M0080</v>
      </c>
      <c r="K5" s="2258" t="str">
        <f>HYPERLINK("https://www.reddit.com/r/RMTK/comments/cdxunf/m0081_motie_tot_versimpeling_belastingsysteem/","M0081")</f>
        <v>M0081</v>
      </c>
      <c r="L5" s="2258" t="str">
        <f>HYPERLINK("https://www.reddit.com/r/RMTK/comments/cee57r/w0025_tweede_lezingkoepelwet_kerncentrales/","W0025")</f>
        <v>W0025</v>
      </c>
      <c r="M5" s="2258" t="str">
        <f>HYPERLINK("https://www.reddit.com/r/RMTK/comments/cedsei/w0030_wijziging_van_het_burgerlijk_wetboek_boek_1/","W0030")</f>
        <v>W0030</v>
      </c>
      <c r="N5" s="2258" t="str">
        <f>HYPERLINK("https://www.reddit.com/r/RMTK/comments/cev17r/w0031_hernieuwde_klimaatwet_2019/","W0031")</f>
        <v>W0031</v>
      </c>
      <c r="O5" s="2259" t="str">
        <f>HYPERLINK("https://www.reddit.com/r/RMTK/comments/cgeui7/m0082_motie_tot_openbaar_maken_partijlidmaatschap/","M0082")</f>
        <v>M0082</v>
      </c>
      <c r="P5" s="2259" t="str">
        <f>HYPERLINK("https://www.reddit.com/r/RMTK/comments/cgx23i/m0083m0086_moties_ingediend_bij_debat_over_de/","M0083")</f>
        <v>M0083</v>
      </c>
      <c r="Q5" s="2259" t="str">
        <f>HYPERLINK("https://www.reddit.com/r/RMTK/comments/cgx23i/m0083m0086_moties_ingediend_bij_debat_over_de/","M0084")</f>
        <v>M0084</v>
      </c>
      <c r="R5" s="2259" t="str">
        <f>HYPERLINK("https://www.reddit.com/r/RMTK/comments/cgx23i/m0083m0086_moties_ingediend_bij_debat_over_de/","M0085")</f>
        <v>M0085</v>
      </c>
      <c r="S5" s="2259" t="str">
        <f>HYPERLINK("https://www.reddit.com/r/RMTK/comments/cgx23i/m0083m0086_moties_ingediend_bij_debat_over_de/","M0086")</f>
        <v>M0086</v>
      </c>
      <c r="T5" s="2259" t="str">
        <f>HYPERLINK("https://www.reddit.com/r/RMTK/comments/cgx44w/m0087_motie_verduidelijking_en_samenvoeging/","M0087")</f>
        <v>M0087</v>
      </c>
      <c r="U5" s="2259" t="str">
        <f>HYPERLINK("https://www.reddit.com/r/RMTK/comments/chp5na/m0088_motie_tot_verandering_regelgeving_regeling/","M0088")</f>
        <v>M0088</v>
      </c>
      <c r="V5" s="2259" t="str">
        <f>HYPERLINK("https://www.reddit.com/r/RMTK/comments/cgethq/wetsvoorstel_tot_budgettaire_begroting/","W0032")</f>
        <v>W0032</v>
      </c>
      <c r="W5" s="2259" t="str">
        <f>HYPERLINK("https://www.reddit.com/r/RMTK/comments/cj9vrz/m0089_motie_met_het_verzoek_om_informatie_over/","M0089")</f>
        <v>M0089</v>
      </c>
      <c r="X5" s="2259" t="str">
        <f>HYPERLINK("https://www.reddit.com/r/RMTK/comments/ckamkr/m0090_motie_tot_organisatie_van_een_diplomatieke/","M0090")</f>
        <v>M0090</v>
      </c>
      <c r="Y5" s="2259" t="str">
        <f>HYPERLINK("https://www.reddit.com/r/RMTK/comments/ckpx42/m0091_motie_tot_erkenning_van_een_derde_geslacht/","M0091")</f>
        <v>M0091</v>
      </c>
      <c r="Z5" s="2259" t="str">
        <f>HYPERLINK("https://www.reddit.com/r/RMTK/comments/cjbw7f/w0033i_amendement_op_wet_erkenning_recht_op/","W0033-I")</f>
        <v>W0033-I</v>
      </c>
      <c r="AA5" s="2259" t="str">
        <f>HYPERLINK("https://www.reddit.com/r/RMTK/comments/ciktf7/w0034_wet_lobbyverbod/","W0034")</f>
        <v>W0034</v>
      </c>
      <c r="AB5" s="2259" t="str">
        <f>HYPERLINK("https://www.reddit.com/r/RMTK/comments/cn3gr4/m0092_motie_tot_het_cre%C3%ABren_van_beschutte/","M0092")</f>
        <v>M0092</v>
      </c>
      <c r="AC5" s="2259" t="str">
        <f>HYPERLINK("https://www.reddit.com/r/RMTK/comments/cn3hgk/m0093_motie_tot_verdere_privatisering_abn_amro/","M0093")</f>
        <v>M0093</v>
      </c>
      <c r="AD5" s="2259" t="str">
        <f>HYPERLINK("https://www.reddit.com/r/RMTK/comments/ch9l69/w0033_wet_erkenning_recht_op_voltooid_leven/","W0033")</f>
        <v>W0033</v>
      </c>
      <c r="AE5" s="2259" t="str">
        <f>HYPERLINK("https://www.reddit.com/r/RMTK/comments/clxgpr/w0035i_amendement_op_wet_belasting_op_grote/","W0035-I")</f>
        <v>W0035-I</v>
      </c>
      <c r="AF5" s="2259" t="str">
        <f>HYPERLINK("https://www.reddit.com/r/RMTK/comments/cpw0f0/m0094_motie_vrijgezellenbelasting/","M0094")</f>
        <v>M0094</v>
      </c>
      <c r="AG5" s="2259" t="str">
        <f>HYPERLINK("https://www.reddit.com/r/RMTK/comments/cqh410/m0095m0096_moties_over_datalek_rdw/","M0095")</f>
        <v>M0095</v>
      </c>
      <c r="AH5" s="2259" t="str">
        <f>HYPERLINK("https://www.reddit.com/r/RMTK/comments/cqh410/m0095m0096_moties_over_datalek_rdw/","M0096")</f>
        <v>M0096</v>
      </c>
      <c r="AI5" s="2259" t="str">
        <f>HYPERLINK("https://www.reddit.com/r/RMTK/comments/cr3z5o/m0097_motie_tot_evaluatie_van/","M0097")</f>
        <v>M0097</v>
      </c>
      <c r="AJ5" s="2259" t="str">
        <f>HYPERLINK("https://www.reddit.com/r/RMTK/comments/csznc1/m0098_motie_tot_onderzoek_doen_naar_een/","M0098")</f>
        <v>M0098</v>
      </c>
      <c r="AK5" s="2259" t="str">
        <f>HYPERLINK("https://www.reddit.com/r/RMTK/comments/ctxz1e/m0099_motie_tot_reductie_verdrinkingsdoden/","M0099")</f>
        <v>M0099</v>
      </c>
      <c r="AL5" s="2259" t="str">
        <f>HYPERLINK("https://www.reddit.com/r/RMTK/comments/cvous8/m0100_motie_tot_cre%C3%ABren_vergunning_voor_bezit/","M0100")</f>
        <v>M0100</v>
      </c>
      <c r="AM5" s="2259" t="str">
        <f>HYPERLINK("https://www.reddit.com/r/RMTK/comments/cw5pmx/m0101_motie_tot_boycot_van_fout_vlees_en_foute/","M0101")</f>
        <v>M0101</v>
      </c>
      <c r="AN5" s="2259" t="str">
        <f>HYPERLINK("https://www.reddit.com/r/RMTK/comments/cwp79y/w0036_wet_ter_erkenning_van_de_nederlandse/","W0036")</f>
        <v>W0036</v>
      </c>
      <c r="AO5" s="2259" t="str">
        <f>HYPERLINK("https://www.reddit.com/r/RMTK/comments/cx11b8/w0037_wetswijziging_wet_op_de_omzetbelasting_1968/","W0037")</f>
        <v>W0037</v>
      </c>
      <c r="AP5" s="2259" t="str">
        <f>HYPERLINK("https://www.reddit.com/r/RMTK/comments/cz88o9/m0102_motie_tot_gratis_maken_ov/","M0102")</f>
        <v>M0102</v>
      </c>
      <c r="AQ5" s="2259" t="str">
        <f>HYPERLINK("https://www.reddit.com/r/RMTK/comments/czpknp/m0103_motie_tot_herbenoeming_burgemeester_van/","M0103")</f>
        <v>M0103</v>
      </c>
      <c r="AR5" s="2259" t="str">
        <f>HYPERLINK("https://www.reddit.com/r/RMTK/comments/cyt6r7/w0038_wetsvoorstel_tot_wijziging_van_de_wet_op_de/","W0038")</f>
        <v>W0038</v>
      </c>
      <c r="AS5" s="2259" t="str">
        <f>HYPERLINK("https://www.reddit.com/r/RMTK/comments/d0it9u/m0104_motie_ter_bevordering_van_het_frysk_en/","M0104")</f>
        <v>M0104</v>
      </c>
      <c r="AT5" s="2259" t="str">
        <f>HYPERLINK("https://www.reddit.com/r/RMTK/comments/d2x07x/m0105_motie_tot_europese_samenwerking_op_het/","M0105")</f>
        <v>M0105</v>
      </c>
      <c r="AU5" s="2259" t="str">
        <f>HYPERLINK("https://www.reddit.com/r/RMTK/comments/d2x1rb/m0106_motie_tot_verbeteren_voedselveiligheid/","M0106")</f>
        <v>M0106</v>
      </c>
      <c r="AV5" s="2259" t="str">
        <f>HYPERLINK("https://www.reddit.com/r/RMTK/comments/d37gxt/m0107_motie_tot_gelijk_visumbeleid_door_de/","M0107")</f>
        <v>M0107</v>
      </c>
      <c r="AW5" s="2259" t="str">
        <f>HYPERLINK("https://www.reddit.com/r/RMTK/comments/d55568/m0108_voorwaardelijke_motie_van_wantrouwen_jegens/","M0108")</f>
        <v>M0108</v>
      </c>
      <c r="AX5" s="2259" t="str">
        <f>HYPERLINK("https://www.reddit.com/r/RMTK/comments/d5jbj5/m0109_motie_tot_gelijkstelling_vrijstelling_op/","M0109")</f>
        <v>M0109</v>
      </c>
      <c r="AY5" s="2259" t="str">
        <f>HYPERLINK("https://www.reddit.com/r/RMTK/comments/d6jhpf/m0110_motie_tot_aanpassing_van_het_vuurwerkbesluit/","M0110")</f>
        <v>M0110</v>
      </c>
      <c r="AZ5" s="2259" t="str">
        <f>HYPERLINK("https://www.reddit.com/r/RMTK/comments/d57042/w0039i_amendement_wetsvoorstel_versoepeling/","W0039-I")</f>
        <v>W0039-I</v>
      </c>
      <c r="BA5" s="2259" t="str">
        <f>HYPERLINK("https://www.reddit.com/r/RMTK/comments/d6jji7/w0040_wet_register_openbare_hygi%C3%ABne_en/","W0040")</f>
        <v>W0040</v>
      </c>
    </row>
    <row r="6" ht="6.0" customHeight="1">
      <c r="A6" s="2260"/>
      <c r="B6" s="2260"/>
      <c r="C6" s="2261"/>
      <c r="D6" s="2262"/>
      <c r="E6" s="2263"/>
      <c r="F6" s="2260"/>
      <c r="G6" s="2260"/>
      <c r="H6" s="2260"/>
      <c r="I6" s="2263"/>
      <c r="J6" s="2260"/>
      <c r="K6" s="2260"/>
      <c r="L6" s="2260"/>
      <c r="M6" s="2260"/>
      <c r="N6" s="2263"/>
      <c r="O6" s="2264"/>
      <c r="P6" s="2264"/>
      <c r="Q6" s="2264"/>
      <c r="R6" s="2264"/>
      <c r="S6" s="2264"/>
      <c r="T6" s="2264"/>
      <c r="U6" s="2264"/>
      <c r="V6" s="2265"/>
      <c r="W6" s="2264"/>
      <c r="X6" s="2264"/>
      <c r="Y6" s="2264"/>
      <c r="Z6" s="2264"/>
      <c r="AA6" s="2265"/>
      <c r="AB6" s="2264"/>
      <c r="AC6" s="2264"/>
      <c r="AD6" s="2264"/>
      <c r="AE6" s="2265"/>
      <c r="AF6" s="2264"/>
      <c r="AG6" s="2264"/>
      <c r="AH6" s="2264"/>
      <c r="AI6" s="2265"/>
      <c r="AJ6" s="2264"/>
      <c r="AK6" s="2265"/>
      <c r="AL6" s="2264"/>
      <c r="AM6" s="2264"/>
      <c r="AN6" s="2264"/>
      <c r="AO6" s="2265"/>
      <c r="AP6" s="2264"/>
      <c r="AQ6" s="2264"/>
      <c r="AR6" s="2265"/>
      <c r="AS6" s="2264"/>
      <c r="AT6" s="2264"/>
      <c r="AU6" s="2264"/>
      <c r="AV6" s="2265"/>
      <c r="AW6" s="2264"/>
      <c r="AX6" s="2264"/>
      <c r="AY6" s="2264"/>
      <c r="AZ6" s="2264"/>
      <c r="BA6" s="2264"/>
    </row>
    <row r="7" ht="18.75" customHeight="1">
      <c r="A7" s="2266" t="s">
        <v>1781</v>
      </c>
      <c r="B7" s="2267" t="s">
        <v>31</v>
      </c>
      <c r="C7" s="2268" t="s">
        <v>148</v>
      </c>
      <c r="D7" s="2269" t="s">
        <v>110</v>
      </c>
      <c r="E7" s="2270" t="s">
        <v>110</v>
      </c>
      <c r="F7" s="2269" t="s">
        <v>109</v>
      </c>
      <c r="G7" s="2269" t="s">
        <v>110</v>
      </c>
      <c r="H7" s="2269" t="s">
        <v>109</v>
      </c>
      <c r="I7" s="2270" t="s">
        <v>109</v>
      </c>
      <c r="J7" s="2269" t="s">
        <v>110</v>
      </c>
      <c r="K7" s="2269" t="s">
        <v>110</v>
      </c>
      <c r="L7" s="2269" t="s">
        <v>110</v>
      </c>
      <c r="M7" s="2269" t="s">
        <v>110</v>
      </c>
      <c r="N7" s="2270" t="s">
        <v>110</v>
      </c>
      <c r="O7" s="2269" t="s">
        <v>109</v>
      </c>
      <c r="P7" s="2269" t="s">
        <v>110</v>
      </c>
      <c r="Q7" s="2269" t="s">
        <v>110</v>
      </c>
      <c r="R7" s="2269" t="s">
        <v>110</v>
      </c>
      <c r="S7" s="2269" t="s">
        <v>110</v>
      </c>
      <c r="T7" s="2269" t="s">
        <v>110</v>
      </c>
      <c r="U7" s="2269" t="s">
        <v>110</v>
      </c>
      <c r="V7" s="2270" t="s">
        <v>110</v>
      </c>
      <c r="W7" s="2269" t="s">
        <v>109</v>
      </c>
      <c r="X7" s="2269" t="s">
        <v>109</v>
      </c>
      <c r="Y7" s="2269" t="s">
        <v>110</v>
      </c>
      <c r="Z7" s="2269" t="s">
        <v>109</v>
      </c>
      <c r="AA7" s="2270" t="s">
        <v>109</v>
      </c>
      <c r="AB7" s="2269" t="s">
        <v>110</v>
      </c>
      <c r="AC7" s="2269" t="s">
        <v>109</v>
      </c>
      <c r="AD7" s="2269" t="s">
        <v>110</v>
      </c>
      <c r="AE7" s="2270" t="s">
        <v>110</v>
      </c>
      <c r="AF7" s="2269" t="s">
        <v>109</v>
      </c>
      <c r="AG7" s="2269" t="s">
        <v>110</v>
      </c>
      <c r="AH7" s="2269" t="s">
        <v>110</v>
      </c>
      <c r="AI7" s="2270" t="s">
        <v>110</v>
      </c>
      <c r="AJ7" s="2271" t="s">
        <v>110</v>
      </c>
      <c r="AK7" s="2272" t="s">
        <v>110</v>
      </c>
      <c r="AL7" s="2269" t="s">
        <v>109</v>
      </c>
      <c r="AM7" s="2269" t="s">
        <v>110</v>
      </c>
      <c r="AN7" s="2269" t="s">
        <v>110</v>
      </c>
      <c r="AO7" s="2270" t="s">
        <v>109</v>
      </c>
      <c r="AP7" s="2269" t="s">
        <v>117</v>
      </c>
      <c r="AQ7" s="2269" t="s">
        <v>109</v>
      </c>
      <c r="AR7" s="2270" t="s">
        <v>110</v>
      </c>
      <c r="AS7" s="2269" t="s">
        <v>110</v>
      </c>
      <c r="AT7" s="2269" t="s">
        <v>110</v>
      </c>
      <c r="AU7" s="2269" t="s">
        <v>110</v>
      </c>
      <c r="AV7" s="2270" t="s">
        <v>110</v>
      </c>
      <c r="AW7" s="2269" t="s">
        <v>109</v>
      </c>
      <c r="AX7" s="2269" t="s">
        <v>109</v>
      </c>
      <c r="AY7" s="2269" t="s">
        <v>110</v>
      </c>
      <c r="AZ7" s="2269" t="s">
        <v>110</v>
      </c>
      <c r="BA7" s="2269" t="s">
        <v>110</v>
      </c>
    </row>
    <row r="8" ht="18.75" customHeight="1">
      <c r="A8" s="147"/>
      <c r="B8" s="644"/>
      <c r="C8" s="2273" t="s">
        <v>650</v>
      </c>
      <c r="D8" s="2269" t="s">
        <v>110</v>
      </c>
      <c r="E8" s="2270" t="s">
        <v>110</v>
      </c>
      <c r="F8" s="2269" t="s">
        <v>109</v>
      </c>
      <c r="G8" s="2269" t="s">
        <v>110</v>
      </c>
      <c r="H8" s="2269" t="s">
        <v>109</v>
      </c>
      <c r="I8" s="2270" t="s">
        <v>109</v>
      </c>
      <c r="J8" s="2269" t="s">
        <v>110</v>
      </c>
      <c r="K8" s="2269" t="s">
        <v>110</v>
      </c>
      <c r="L8" s="2269" t="s">
        <v>110</v>
      </c>
      <c r="M8" s="2269" t="s">
        <v>110</v>
      </c>
      <c r="N8" s="2270" t="s">
        <v>110</v>
      </c>
      <c r="O8" s="2269" t="s">
        <v>109</v>
      </c>
      <c r="P8" s="2269" t="s">
        <v>110</v>
      </c>
      <c r="Q8" s="2269" t="s">
        <v>110</v>
      </c>
      <c r="R8" s="2269" t="s">
        <v>110</v>
      </c>
      <c r="S8" s="2269" t="s">
        <v>110</v>
      </c>
      <c r="T8" s="2269" t="s">
        <v>110</v>
      </c>
      <c r="U8" s="2269" t="s">
        <v>110</v>
      </c>
      <c r="V8" s="2270" t="s">
        <v>110</v>
      </c>
      <c r="W8" s="2269" t="s">
        <v>109</v>
      </c>
      <c r="X8" s="2269" t="s">
        <v>110</v>
      </c>
      <c r="Y8" s="2269" t="s">
        <v>110</v>
      </c>
      <c r="Z8" s="2269" t="s">
        <v>110</v>
      </c>
      <c r="AA8" s="2270" t="s">
        <v>109</v>
      </c>
      <c r="AB8" s="2269" t="s">
        <v>110</v>
      </c>
      <c r="AC8" s="2269" t="s">
        <v>109</v>
      </c>
      <c r="AD8" s="2269" t="s">
        <v>110</v>
      </c>
      <c r="AE8" s="2270" t="s">
        <v>109</v>
      </c>
      <c r="AF8" s="2269" t="s">
        <v>109</v>
      </c>
      <c r="AG8" s="2269" t="s">
        <v>110</v>
      </c>
      <c r="AH8" s="2269" t="s">
        <v>110</v>
      </c>
      <c r="AI8" s="2270" t="s">
        <v>110</v>
      </c>
      <c r="AJ8" s="2274" t="s">
        <v>108</v>
      </c>
      <c r="AK8" s="2275" t="s">
        <v>108</v>
      </c>
      <c r="AL8" s="2269" t="s">
        <v>109</v>
      </c>
      <c r="AM8" s="2269" t="s">
        <v>110</v>
      </c>
      <c r="AN8" s="2269" t="s">
        <v>110</v>
      </c>
      <c r="AO8" s="2270" t="s">
        <v>109</v>
      </c>
      <c r="AP8" s="2269" t="s">
        <v>110</v>
      </c>
      <c r="AQ8" s="2269" t="s">
        <v>109</v>
      </c>
      <c r="AR8" s="2270" t="s">
        <v>110</v>
      </c>
      <c r="AS8" s="2269" t="s">
        <v>108</v>
      </c>
      <c r="AT8" s="2269" t="s">
        <v>108</v>
      </c>
      <c r="AU8" s="2269" t="s">
        <v>108</v>
      </c>
      <c r="AV8" s="2270" t="s">
        <v>108</v>
      </c>
      <c r="AW8" s="2269" t="s">
        <v>109</v>
      </c>
      <c r="AX8" s="2269" t="s">
        <v>109</v>
      </c>
      <c r="AY8" s="2269" t="s">
        <v>110</v>
      </c>
      <c r="AZ8" s="2269" t="s">
        <v>110</v>
      </c>
      <c r="BA8" s="2269" t="s">
        <v>110</v>
      </c>
    </row>
    <row r="9" ht="18.75" customHeight="1">
      <c r="A9" s="147"/>
      <c r="B9" s="644"/>
      <c r="C9" s="2273" t="s">
        <v>1279</v>
      </c>
      <c r="D9" s="2269" t="s">
        <v>110</v>
      </c>
      <c r="E9" s="2270" t="s">
        <v>110</v>
      </c>
      <c r="F9" s="2269" t="s">
        <v>109</v>
      </c>
      <c r="G9" s="2269" t="s">
        <v>110</v>
      </c>
      <c r="H9" s="2269" t="s">
        <v>109</v>
      </c>
      <c r="I9" s="2270" t="s">
        <v>109</v>
      </c>
      <c r="J9" s="2269" t="s">
        <v>110</v>
      </c>
      <c r="K9" s="2269" t="s">
        <v>110</v>
      </c>
      <c r="L9" s="2269" t="s">
        <v>110</v>
      </c>
      <c r="M9" s="2269" t="s">
        <v>110</v>
      </c>
      <c r="N9" s="2270" t="s">
        <v>110</v>
      </c>
      <c r="O9" s="2269" t="s">
        <v>109</v>
      </c>
      <c r="P9" s="2269" t="s">
        <v>110</v>
      </c>
      <c r="Q9" s="2269" t="s">
        <v>110</v>
      </c>
      <c r="R9" s="2269" t="s">
        <v>110</v>
      </c>
      <c r="S9" s="2269" t="s">
        <v>110</v>
      </c>
      <c r="T9" s="2269" t="s">
        <v>110</v>
      </c>
      <c r="U9" s="2269" t="s">
        <v>110</v>
      </c>
      <c r="V9" s="2270" t="s">
        <v>110</v>
      </c>
      <c r="W9" s="2269" t="s">
        <v>109</v>
      </c>
      <c r="X9" s="2269" t="s">
        <v>109</v>
      </c>
      <c r="Y9" s="2269" t="s">
        <v>110</v>
      </c>
      <c r="Z9" s="2269" t="s">
        <v>110</v>
      </c>
      <c r="AA9" s="2270" t="s">
        <v>109</v>
      </c>
      <c r="AB9" s="2269" t="s">
        <v>110</v>
      </c>
      <c r="AC9" s="2269" t="s">
        <v>109</v>
      </c>
      <c r="AD9" s="2269" t="s">
        <v>110</v>
      </c>
      <c r="AE9" s="2270" t="s">
        <v>110</v>
      </c>
      <c r="AF9" s="2269" t="s">
        <v>109</v>
      </c>
      <c r="AG9" s="2269" t="s">
        <v>110</v>
      </c>
      <c r="AH9" s="2269" t="s">
        <v>110</v>
      </c>
      <c r="AI9" s="2270" t="s">
        <v>110</v>
      </c>
      <c r="AJ9" s="2274" t="s">
        <v>108</v>
      </c>
      <c r="AK9" s="2275" t="s">
        <v>108</v>
      </c>
      <c r="AL9" s="2269" t="s">
        <v>109</v>
      </c>
      <c r="AM9" s="2269" t="s">
        <v>110</v>
      </c>
      <c r="AN9" s="2269" t="s">
        <v>110</v>
      </c>
      <c r="AO9" s="2270" t="s">
        <v>109</v>
      </c>
      <c r="AP9" s="2269" t="s">
        <v>117</v>
      </c>
      <c r="AQ9" s="2269" t="s">
        <v>109</v>
      </c>
      <c r="AR9" s="2270" t="s">
        <v>110</v>
      </c>
      <c r="AS9" s="2269" t="s">
        <v>110</v>
      </c>
      <c r="AT9" s="2269" t="s">
        <v>110</v>
      </c>
      <c r="AU9" s="2269" t="s">
        <v>110</v>
      </c>
      <c r="AV9" s="2270" t="s">
        <v>110</v>
      </c>
      <c r="AW9" s="2269" t="s">
        <v>109</v>
      </c>
      <c r="AX9" s="2269" t="s">
        <v>109</v>
      </c>
      <c r="AY9" s="2269" t="s">
        <v>110</v>
      </c>
      <c r="AZ9" s="2269" t="s">
        <v>110</v>
      </c>
      <c r="BA9" s="2269" t="s">
        <v>110</v>
      </c>
    </row>
    <row r="10" ht="18.75" customHeight="1">
      <c r="A10" s="147"/>
      <c r="B10" s="644"/>
      <c r="C10" s="2276" t="s">
        <v>629</v>
      </c>
      <c r="D10" s="2269" t="s">
        <v>109</v>
      </c>
      <c r="E10" s="2270" t="s">
        <v>110</v>
      </c>
      <c r="F10" s="2269" t="s">
        <v>109</v>
      </c>
      <c r="G10" s="2269" t="s">
        <v>110</v>
      </c>
      <c r="H10" s="2269" t="s">
        <v>109</v>
      </c>
      <c r="I10" s="2270" t="s">
        <v>110</v>
      </c>
      <c r="J10" s="2269" t="s">
        <v>110</v>
      </c>
      <c r="K10" s="2269" t="s">
        <v>110</v>
      </c>
      <c r="L10" s="2269" t="s">
        <v>110</v>
      </c>
      <c r="M10" s="2269" t="s">
        <v>110</v>
      </c>
      <c r="N10" s="2270" t="s">
        <v>110</v>
      </c>
      <c r="O10" s="2269" t="s">
        <v>119</v>
      </c>
      <c r="P10" s="2269" t="s">
        <v>119</v>
      </c>
      <c r="Q10" s="2269" t="s">
        <v>119</v>
      </c>
      <c r="R10" s="2269" t="s">
        <v>119</v>
      </c>
      <c r="S10" s="2269" t="s">
        <v>119</v>
      </c>
      <c r="T10" s="2269" t="s">
        <v>119</v>
      </c>
      <c r="U10" s="2269" t="s">
        <v>119</v>
      </c>
      <c r="V10" s="2270" t="s">
        <v>119</v>
      </c>
      <c r="W10" s="2269" t="s">
        <v>119</v>
      </c>
      <c r="X10" s="2269" t="s">
        <v>119</v>
      </c>
      <c r="Y10" s="2269" t="s">
        <v>119</v>
      </c>
      <c r="Z10" s="2269" t="s">
        <v>119</v>
      </c>
      <c r="AA10" s="2270" t="s">
        <v>119</v>
      </c>
      <c r="AB10" s="2269" t="s">
        <v>119</v>
      </c>
      <c r="AC10" s="2269" t="s">
        <v>119</v>
      </c>
      <c r="AD10" s="2269" t="s">
        <v>119</v>
      </c>
      <c r="AE10" s="2270" t="s">
        <v>119</v>
      </c>
      <c r="AF10" s="2269" t="s">
        <v>119</v>
      </c>
      <c r="AG10" s="2269" t="s">
        <v>119</v>
      </c>
      <c r="AH10" s="2269" t="s">
        <v>119</v>
      </c>
      <c r="AI10" s="2270" t="s">
        <v>119</v>
      </c>
      <c r="AJ10" s="2277" t="s">
        <v>119</v>
      </c>
      <c r="AK10" s="2278" t="s">
        <v>119</v>
      </c>
      <c r="AL10" s="2269" t="s">
        <v>119</v>
      </c>
      <c r="AM10" s="2269" t="s">
        <v>119</v>
      </c>
      <c r="AN10" s="2269" t="s">
        <v>119</v>
      </c>
      <c r="AO10" s="2270" t="s">
        <v>119</v>
      </c>
      <c r="AP10" s="2269" t="s">
        <v>119</v>
      </c>
      <c r="AQ10" s="2269" t="s">
        <v>119</v>
      </c>
      <c r="AR10" s="2270" t="s">
        <v>119</v>
      </c>
      <c r="AS10" s="2269" t="s">
        <v>119</v>
      </c>
      <c r="AT10" s="2269" t="s">
        <v>119</v>
      </c>
      <c r="AU10" s="2269" t="s">
        <v>119</v>
      </c>
      <c r="AV10" s="2270" t="s">
        <v>119</v>
      </c>
      <c r="AW10" s="2269" t="s">
        <v>119</v>
      </c>
      <c r="AX10" s="2269" t="s">
        <v>119</v>
      </c>
      <c r="AY10" s="2269" t="s">
        <v>119</v>
      </c>
      <c r="AZ10" s="2269" t="s">
        <v>119</v>
      </c>
      <c r="BA10" s="2269" t="s">
        <v>119</v>
      </c>
    </row>
    <row r="11" ht="18.75" customHeight="1">
      <c r="A11" s="147"/>
      <c r="B11" s="644"/>
      <c r="C11" s="2279" t="s">
        <v>1284</v>
      </c>
      <c r="D11" s="2269" t="s">
        <v>119</v>
      </c>
      <c r="E11" s="2270" t="s">
        <v>119</v>
      </c>
      <c r="F11" s="2269" t="s">
        <v>119</v>
      </c>
      <c r="G11" s="2269" t="s">
        <v>119</v>
      </c>
      <c r="H11" s="2269" t="s">
        <v>119</v>
      </c>
      <c r="I11" s="2270" t="s">
        <v>119</v>
      </c>
      <c r="J11" s="2269" t="s">
        <v>119</v>
      </c>
      <c r="K11" s="2269" t="s">
        <v>119</v>
      </c>
      <c r="L11" s="2269" t="s">
        <v>119</v>
      </c>
      <c r="M11" s="2269" t="s">
        <v>119</v>
      </c>
      <c r="N11" s="2270" t="s">
        <v>119</v>
      </c>
      <c r="O11" s="2280" t="s">
        <v>109</v>
      </c>
      <c r="P11" s="2281" t="s">
        <v>110</v>
      </c>
      <c r="Q11" s="2281" t="s">
        <v>110</v>
      </c>
      <c r="R11" s="2281" t="s">
        <v>110</v>
      </c>
      <c r="S11" s="2281" t="s">
        <v>110</v>
      </c>
      <c r="T11" s="2281" t="s">
        <v>110</v>
      </c>
      <c r="U11" s="2281" t="s">
        <v>110</v>
      </c>
      <c r="V11" s="2282" t="s">
        <v>110</v>
      </c>
      <c r="W11" s="2269" t="s">
        <v>109</v>
      </c>
      <c r="X11" s="2269" t="s">
        <v>110</v>
      </c>
      <c r="Y11" s="2269" t="s">
        <v>110</v>
      </c>
      <c r="Z11" s="2269" t="s">
        <v>110</v>
      </c>
      <c r="AA11" s="2270" t="s">
        <v>109</v>
      </c>
      <c r="AB11" s="2269" t="s">
        <v>110</v>
      </c>
      <c r="AC11" s="2269" t="s">
        <v>109</v>
      </c>
      <c r="AD11" s="2269" t="s">
        <v>110</v>
      </c>
      <c r="AE11" s="2270" t="s">
        <v>110</v>
      </c>
      <c r="AF11" s="2269" t="s">
        <v>109</v>
      </c>
      <c r="AG11" s="2269" t="s">
        <v>110</v>
      </c>
      <c r="AH11" s="2269" t="s">
        <v>110</v>
      </c>
      <c r="AI11" s="2270" t="s">
        <v>110</v>
      </c>
      <c r="AJ11" s="2283" t="s">
        <v>110</v>
      </c>
      <c r="AK11" s="2284" t="s">
        <v>110</v>
      </c>
      <c r="AL11" s="2269" t="s">
        <v>109</v>
      </c>
      <c r="AM11" s="2269" t="s">
        <v>110</v>
      </c>
      <c r="AN11" s="2269" t="s">
        <v>110</v>
      </c>
      <c r="AO11" s="2270" t="s">
        <v>109</v>
      </c>
      <c r="AP11" s="2269" t="s">
        <v>109</v>
      </c>
      <c r="AQ11" s="2269" t="s">
        <v>109</v>
      </c>
      <c r="AR11" s="2270" t="s">
        <v>110</v>
      </c>
      <c r="AS11" s="2269" t="s">
        <v>110</v>
      </c>
      <c r="AT11" s="2269" t="s">
        <v>110</v>
      </c>
      <c r="AU11" s="2269" t="s">
        <v>110</v>
      </c>
      <c r="AV11" s="2270" t="s">
        <v>110</v>
      </c>
      <c r="AW11" s="2269" t="s">
        <v>109</v>
      </c>
      <c r="AX11" s="2269" t="s">
        <v>109</v>
      </c>
      <c r="AY11" s="2269" t="s">
        <v>110</v>
      </c>
      <c r="AZ11" s="2269" t="s">
        <v>110</v>
      </c>
      <c r="BA11" s="2269" t="s">
        <v>110</v>
      </c>
    </row>
    <row r="12" ht="18.75" customHeight="1">
      <c r="A12" s="147"/>
      <c r="B12" s="644"/>
      <c r="C12" s="2276" t="s">
        <v>25</v>
      </c>
      <c r="D12" s="2269" t="s">
        <v>110</v>
      </c>
      <c r="E12" s="2270" t="s">
        <v>110</v>
      </c>
      <c r="F12" s="2269" t="s">
        <v>109</v>
      </c>
      <c r="G12" s="2269" t="s">
        <v>110</v>
      </c>
      <c r="H12" s="2269" t="s">
        <v>109</v>
      </c>
      <c r="I12" s="2270" t="s">
        <v>109</v>
      </c>
      <c r="J12" s="2269" t="s">
        <v>110</v>
      </c>
      <c r="K12" s="2269" t="s">
        <v>110</v>
      </c>
      <c r="L12" s="2269" t="s">
        <v>110</v>
      </c>
      <c r="M12" s="2269" t="s">
        <v>110</v>
      </c>
      <c r="N12" s="2270" t="s">
        <v>110</v>
      </c>
      <c r="O12" s="2269" t="s">
        <v>109</v>
      </c>
      <c r="P12" s="2269" t="s">
        <v>110</v>
      </c>
      <c r="Q12" s="2269" t="s">
        <v>110</v>
      </c>
      <c r="R12" s="2269" t="s">
        <v>110</v>
      </c>
      <c r="S12" s="2269" t="s">
        <v>110</v>
      </c>
      <c r="T12" s="2269" t="s">
        <v>110</v>
      </c>
      <c r="U12" s="2269" t="s">
        <v>110</v>
      </c>
      <c r="V12" s="2270" t="s">
        <v>110</v>
      </c>
      <c r="W12" s="2269" t="s">
        <v>109</v>
      </c>
      <c r="X12" s="2269" t="s">
        <v>110</v>
      </c>
      <c r="Y12" s="2269" t="s">
        <v>110</v>
      </c>
      <c r="Z12" s="2269" t="s">
        <v>109</v>
      </c>
      <c r="AA12" s="2270" t="s">
        <v>109</v>
      </c>
      <c r="AB12" s="2269" t="s">
        <v>110</v>
      </c>
      <c r="AC12" s="2269" t="s">
        <v>109</v>
      </c>
      <c r="AD12" s="2269" t="s">
        <v>110</v>
      </c>
      <c r="AE12" s="2270" t="s">
        <v>110</v>
      </c>
      <c r="AF12" s="2269" t="s">
        <v>109</v>
      </c>
      <c r="AG12" s="2269" t="s">
        <v>110</v>
      </c>
      <c r="AH12" s="2269" t="s">
        <v>110</v>
      </c>
      <c r="AI12" s="2270" t="s">
        <v>110</v>
      </c>
      <c r="AJ12" s="2277" t="s">
        <v>119</v>
      </c>
      <c r="AK12" s="2278" t="s">
        <v>119</v>
      </c>
      <c r="AL12" s="2269" t="s">
        <v>119</v>
      </c>
      <c r="AM12" s="2269" t="s">
        <v>119</v>
      </c>
      <c r="AN12" s="2269" t="s">
        <v>119</v>
      </c>
      <c r="AO12" s="2270" t="s">
        <v>119</v>
      </c>
      <c r="AP12" s="2269" t="s">
        <v>119</v>
      </c>
      <c r="AQ12" s="2269" t="s">
        <v>119</v>
      </c>
      <c r="AR12" s="2270" t="s">
        <v>119</v>
      </c>
      <c r="AS12" s="2269" t="s">
        <v>119</v>
      </c>
      <c r="AT12" s="2269" t="s">
        <v>119</v>
      </c>
      <c r="AU12" s="2269" t="s">
        <v>119</v>
      </c>
      <c r="AV12" s="2270" t="s">
        <v>119</v>
      </c>
      <c r="AW12" s="2269" t="s">
        <v>119</v>
      </c>
      <c r="AX12" s="2269" t="s">
        <v>119</v>
      </c>
      <c r="AY12" s="2269" t="s">
        <v>119</v>
      </c>
      <c r="AZ12" s="2269" t="s">
        <v>119</v>
      </c>
      <c r="BA12" s="2269" t="s">
        <v>119</v>
      </c>
    </row>
    <row r="13" ht="18.75" customHeight="1">
      <c r="A13" s="147"/>
      <c r="B13" s="644"/>
      <c r="C13" s="2279" t="s">
        <v>16</v>
      </c>
      <c r="D13" s="2269" t="s">
        <v>119</v>
      </c>
      <c r="E13" s="2270" t="s">
        <v>119</v>
      </c>
      <c r="F13" s="2269" t="s">
        <v>119</v>
      </c>
      <c r="G13" s="2269" t="s">
        <v>119</v>
      </c>
      <c r="H13" s="2269" t="s">
        <v>119</v>
      </c>
      <c r="I13" s="2270" t="s">
        <v>119</v>
      </c>
      <c r="J13" s="2269" t="s">
        <v>119</v>
      </c>
      <c r="K13" s="2269" t="s">
        <v>119</v>
      </c>
      <c r="L13" s="2269" t="s">
        <v>119</v>
      </c>
      <c r="M13" s="2269" t="s">
        <v>119</v>
      </c>
      <c r="N13" s="2270" t="s">
        <v>119</v>
      </c>
      <c r="O13" s="2269" t="s">
        <v>119</v>
      </c>
      <c r="P13" s="2269" t="s">
        <v>119</v>
      </c>
      <c r="Q13" s="2269" t="s">
        <v>119</v>
      </c>
      <c r="R13" s="2269" t="s">
        <v>119</v>
      </c>
      <c r="S13" s="2269" t="s">
        <v>119</v>
      </c>
      <c r="T13" s="2269" t="s">
        <v>119</v>
      </c>
      <c r="U13" s="2269" t="s">
        <v>119</v>
      </c>
      <c r="V13" s="2270" t="s">
        <v>119</v>
      </c>
      <c r="W13" s="2269" t="s">
        <v>119</v>
      </c>
      <c r="X13" s="2269" t="s">
        <v>119</v>
      </c>
      <c r="Y13" s="2269" t="s">
        <v>119</v>
      </c>
      <c r="Z13" s="2269" t="s">
        <v>119</v>
      </c>
      <c r="AA13" s="2270" t="s">
        <v>119</v>
      </c>
      <c r="AB13" s="2269" t="s">
        <v>119</v>
      </c>
      <c r="AC13" s="2269" t="s">
        <v>119</v>
      </c>
      <c r="AD13" s="2269" t="s">
        <v>119</v>
      </c>
      <c r="AE13" s="2270" t="s">
        <v>119</v>
      </c>
      <c r="AF13" s="2269" t="s">
        <v>119</v>
      </c>
      <c r="AG13" s="2269" t="s">
        <v>119</v>
      </c>
      <c r="AH13" s="2269" t="s">
        <v>119</v>
      </c>
      <c r="AI13" s="2270" t="s">
        <v>119</v>
      </c>
      <c r="AJ13" s="2283" t="s">
        <v>110</v>
      </c>
      <c r="AK13" s="2284" t="s">
        <v>110</v>
      </c>
      <c r="AL13" s="2269" t="s">
        <v>109</v>
      </c>
      <c r="AM13" s="2269" t="s">
        <v>110</v>
      </c>
      <c r="AN13" s="2269" t="s">
        <v>110</v>
      </c>
      <c r="AO13" s="2270" t="s">
        <v>109</v>
      </c>
      <c r="AP13" s="2269" t="s">
        <v>109</v>
      </c>
      <c r="AQ13" s="2269" t="s">
        <v>109</v>
      </c>
      <c r="AR13" s="2270" t="s">
        <v>110</v>
      </c>
      <c r="AS13" s="2269" t="s">
        <v>110</v>
      </c>
      <c r="AT13" s="2269" t="s">
        <v>110</v>
      </c>
      <c r="AU13" s="2269" t="s">
        <v>110</v>
      </c>
      <c r="AV13" s="2270" t="s">
        <v>110</v>
      </c>
      <c r="AW13" s="2269" t="s">
        <v>117</v>
      </c>
      <c r="AX13" s="2269" t="s">
        <v>109</v>
      </c>
      <c r="AY13" s="2269" t="s">
        <v>110</v>
      </c>
      <c r="AZ13" s="2269" t="s">
        <v>110</v>
      </c>
      <c r="BA13" s="2269" t="s">
        <v>110</v>
      </c>
    </row>
    <row r="14" ht="18.75" customHeight="1">
      <c r="A14" s="147"/>
      <c r="B14" s="644"/>
      <c r="C14" s="2285" t="s">
        <v>1285</v>
      </c>
      <c r="D14" s="2269" t="s">
        <v>110</v>
      </c>
      <c r="E14" s="2270" t="s">
        <v>110</v>
      </c>
      <c r="F14" s="2269" t="s">
        <v>109</v>
      </c>
      <c r="G14" s="2269" t="s">
        <v>110</v>
      </c>
      <c r="H14" s="2269" t="s">
        <v>109</v>
      </c>
      <c r="I14" s="2270" t="s">
        <v>109</v>
      </c>
      <c r="J14" s="2269" t="s">
        <v>110</v>
      </c>
      <c r="K14" s="2269" t="s">
        <v>110</v>
      </c>
      <c r="L14" s="2269" t="s">
        <v>110</v>
      </c>
      <c r="M14" s="2269" t="s">
        <v>110</v>
      </c>
      <c r="N14" s="2270" t="s">
        <v>110</v>
      </c>
      <c r="O14" s="2269" t="s">
        <v>109</v>
      </c>
      <c r="P14" s="2269" t="s">
        <v>110</v>
      </c>
      <c r="Q14" s="2269" t="s">
        <v>110</v>
      </c>
      <c r="R14" s="2269" t="s">
        <v>110</v>
      </c>
      <c r="S14" s="2269" t="s">
        <v>110</v>
      </c>
      <c r="T14" s="2269" t="s">
        <v>110</v>
      </c>
      <c r="U14" s="2269" t="s">
        <v>110</v>
      </c>
      <c r="V14" s="2270" t="s">
        <v>110</v>
      </c>
      <c r="W14" s="2269" t="s">
        <v>109</v>
      </c>
      <c r="X14" s="2269" t="s">
        <v>110</v>
      </c>
      <c r="Y14" s="2269" t="s">
        <v>110</v>
      </c>
      <c r="Z14" s="2269" t="s">
        <v>109</v>
      </c>
      <c r="AA14" s="2270" t="s">
        <v>109</v>
      </c>
      <c r="AB14" s="2269" t="s">
        <v>110</v>
      </c>
      <c r="AC14" s="2269" t="s">
        <v>109</v>
      </c>
      <c r="AD14" s="2269" t="s">
        <v>110</v>
      </c>
      <c r="AE14" s="2270" t="s">
        <v>110</v>
      </c>
      <c r="AF14" s="2269" t="s">
        <v>109</v>
      </c>
      <c r="AG14" s="2269" t="s">
        <v>110</v>
      </c>
      <c r="AH14" s="2269" t="s">
        <v>110</v>
      </c>
      <c r="AI14" s="2270" t="s">
        <v>110</v>
      </c>
      <c r="AJ14" s="2283" t="s">
        <v>110</v>
      </c>
      <c r="AK14" s="2284" t="s">
        <v>110</v>
      </c>
      <c r="AL14" s="2269" t="s">
        <v>109</v>
      </c>
      <c r="AM14" s="2269" t="s">
        <v>110</v>
      </c>
      <c r="AN14" s="2269" t="s">
        <v>110</v>
      </c>
      <c r="AO14" s="2270" t="s">
        <v>109</v>
      </c>
      <c r="AP14" s="2269" t="s">
        <v>117</v>
      </c>
      <c r="AQ14" s="2269" t="s">
        <v>109</v>
      </c>
      <c r="AR14" s="2270" t="s">
        <v>110</v>
      </c>
      <c r="AS14" s="2269" t="s">
        <v>110</v>
      </c>
      <c r="AT14" s="2269" t="s">
        <v>110</v>
      </c>
      <c r="AU14" s="2269" t="s">
        <v>110</v>
      </c>
      <c r="AV14" s="2270" t="s">
        <v>110</v>
      </c>
      <c r="AW14" s="2269" t="s">
        <v>117</v>
      </c>
      <c r="AX14" s="2269" t="s">
        <v>109</v>
      </c>
      <c r="AY14" s="2269" t="s">
        <v>110</v>
      </c>
      <c r="AZ14" s="2269" t="s">
        <v>110</v>
      </c>
      <c r="BA14" s="2269" t="s">
        <v>110</v>
      </c>
    </row>
    <row r="15" ht="18.75" customHeight="1">
      <c r="A15" s="147"/>
      <c r="B15" s="658"/>
      <c r="C15" s="2286" t="s">
        <v>662</v>
      </c>
      <c r="D15" s="2269" t="s">
        <v>110</v>
      </c>
      <c r="E15" s="2270" t="s">
        <v>110</v>
      </c>
      <c r="F15" s="2269" t="s">
        <v>109</v>
      </c>
      <c r="G15" s="2269" t="s">
        <v>110</v>
      </c>
      <c r="H15" s="2269" t="s">
        <v>109</v>
      </c>
      <c r="I15" s="2270" t="s">
        <v>109</v>
      </c>
      <c r="J15" s="2269" t="s">
        <v>110</v>
      </c>
      <c r="K15" s="2269" t="s">
        <v>110</v>
      </c>
      <c r="L15" s="2269" t="s">
        <v>110</v>
      </c>
      <c r="M15" s="2269" t="s">
        <v>110</v>
      </c>
      <c r="N15" s="2270" t="s">
        <v>110</v>
      </c>
      <c r="O15" s="2269" t="s">
        <v>109</v>
      </c>
      <c r="P15" s="2269" t="s">
        <v>110</v>
      </c>
      <c r="Q15" s="2269" t="s">
        <v>110</v>
      </c>
      <c r="R15" s="2269" t="s">
        <v>110</v>
      </c>
      <c r="S15" s="2269" t="s">
        <v>110</v>
      </c>
      <c r="T15" s="2269" t="s">
        <v>110</v>
      </c>
      <c r="U15" s="2269" t="s">
        <v>110</v>
      </c>
      <c r="V15" s="2270" t="s">
        <v>110</v>
      </c>
      <c r="W15" s="2269" t="s">
        <v>109</v>
      </c>
      <c r="X15" s="2269" t="s">
        <v>110</v>
      </c>
      <c r="Y15" s="2269" t="s">
        <v>110</v>
      </c>
      <c r="Z15" s="2269" t="s">
        <v>110</v>
      </c>
      <c r="AA15" s="2270" t="s">
        <v>109</v>
      </c>
      <c r="AB15" s="2269" t="s">
        <v>110</v>
      </c>
      <c r="AC15" s="2269" t="s">
        <v>109</v>
      </c>
      <c r="AD15" s="2269" t="s">
        <v>110</v>
      </c>
      <c r="AE15" s="2270" t="s">
        <v>109</v>
      </c>
      <c r="AF15" s="2269" t="s">
        <v>109</v>
      </c>
      <c r="AG15" s="2269" t="s">
        <v>110</v>
      </c>
      <c r="AH15" s="2269" t="s">
        <v>110</v>
      </c>
      <c r="AI15" s="2270" t="s">
        <v>110</v>
      </c>
      <c r="AJ15" s="2283" t="s">
        <v>110</v>
      </c>
      <c r="AK15" s="2284" t="s">
        <v>110</v>
      </c>
      <c r="AL15" s="2269" t="s">
        <v>109</v>
      </c>
      <c r="AM15" s="2269" t="s">
        <v>110</v>
      </c>
      <c r="AN15" s="2269" t="s">
        <v>110</v>
      </c>
      <c r="AO15" s="2270" t="s">
        <v>110</v>
      </c>
      <c r="AP15" s="2269" t="s">
        <v>109</v>
      </c>
      <c r="AQ15" s="2269" t="s">
        <v>109</v>
      </c>
      <c r="AR15" s="2270" t="s">
        <v>110</v>
      </c>
      <c r="AS15" s="2269" t="s">
        <v>110</v>
      </c>
      <c r="AT15" s="2269" t="s">
        <v>110</v>
      </c>
      <c r="AU15" s="2269" t="s">
        <v>109</v>
      </c>
      <c r="AV15" s="2270" t="s">
        <v>110</v>
      </c>
      <c r="AW15" s="2269" t="s">
        <v>119</v>
      </c>
      <c r="AX15" s="2269" t="s">
        <v>119</v>
      </c>
      <c r="AY15" s="2269" t="s">
        <v>119</v>
      </c>
      <c r="AZ15" s="2269" t="s">
        <v>119</v>
      </c>
      <c r="BA15" s="2269" t="s">
        <v>119</v>
      </c>
    </row>
    <row r="16" ht="18.75" customHeight="1">
      <c r="A16" s="147"/>
      <c r="B16" s="2287" t="s">
        <v>440</v>
      </c>
      <c r="C16" s="2288" t="s">
        <v>1782</v>
      </c>
      <c r="D16" s="2269" t="s">
        <v>109</v>
      </c>
      <c r="E16" s="2270" t="s">
        <v>110</v>
      </c>
      <c r="F16" s="2269" t="s">
        <v>108</v>
      </c>
      <c r="G16" s="2269" t="s">
        <v>108</v>
      </c>
      <c r="H16" s="2269" t="s">
        <v>108</v>
      </c>
      <c r="I16" s="2270" t="s">
        <v>108</v>
      </c>
      <c r="J16" s="2269" t="s">
        <v>108</v>
      </c>
      <c r="K16" s="2269" t="s">
        <v>108</v>
      </c>
      <c r="L16" s="2269" t="s">
        <v>108</v>
      </c>
      <c r="M16" s="2269" t="s">
        <v>108</v>
      </c>
      <c r="N16" s="2270" t="s">
        <v>108</v>
      </c>
      <c r="O16" s="2269" t="s">
        <v>110</v>
      </c>
      <c r="P16" s="2269" t="s">
        <v>110</v>
      </c>
      <c r="Q16" s="2269" t="s">
        <v>110</v>
      </c>
      <c r="R16" s="2269" t="s">
        <v>110</v>
      </c>
      <c r="S16" s="2269" t="s">
        <v>109</v>
      </c>
      <c r="T16" s="2269" t="s">
        <v>110</v>
      </c>
      <c r="U16" s="2269" t="s">
        <v>109</v>
      </c>
      <c r="V16" s="2270" t="s">
        <v>110</v>
      </c>
      <c r="W16" s="2269" t="s">
        <v>109</v>
      </c>
      <c r="X16" s="2269" t="s">
        <v>110</v>
      </c>
      <c r="Y16" s="2269" t="s">
        <v>110</v>
      </c>
      <c r="Z16" s="2269" t="s">
        <v>117</v>
      </c>
      <c r="AA16" s="2270" t="s">
        <v>110</v>
      </c>
      <c r="AB16" s="2269" t="s">
        <v>108</v>
      </c>
      <c r="AC16" s="2269" t="s">
        <v>108</v>
      </c>
      <c r="AD16" s="2269" t="s">
        <v>108</v>
      </c>
      <c r="AE16" s="2270" t="s">
        <v>108</v>
      </c>
      <c r="AF16" s="2269" t="s">
        <v>108</v>
      </c>
      <c r="AG16" s="2269" t="s">
        <v>108</v>
      </c>
      <c r="AH16" s="2269" t="s">
        <v>108</v>
      </c>
      <c r="AI16" s="2270" t="s">
        <v>108</v>
      </c>
      <c r="AJ16" s="2274" t="s">
        <v>108</v>
      </c>
      <c r="AK16" s="2275" t="s">
        <v>108</v>
      </c>
      <c r="AL16" s="2269" t="s">
        <v>108</v>
      </c>
      <c r="AM16" s="2269" t="s">
        <v>108</v>
      </c>
      <c r="AN16" s="2269" t="s">
        <v>108</v>
      </c>
      <c r="AO16" s="2270" t="s">
        <v>108</v>
      </c>
      <c r="AP16" s="2269" t="s">
        <v>109</v>
      </c>
      <c r="AQ16" s="2269" t="s">
        <v>109</v>
      </c>
      <c r="AR16" s="2270" t="s">
        <v>110</v>
      </c>
      <c r="AS16" s="2269" t="s">
        <v>110</v>
      </c>
      <c r="AT16" s="2269" t="s">
        <v>110</v>
      </c>
      <c r="AU16" s="2269" t="s">
        <v>110</v>
      </c>
      <c r="AV16" s="2270" t="s">
        <v>110</v>
      </c>
      <c r="AW16" s="2269" t="s">
        <v>109</v>
      </c>
      <c r="AX16" s="2269" t="s">
        <v>110</v>
      </c>
      <c r="AY16" s="2269" t="s">
        <v>110</v>
      </c>
      <c r="AZ16" s="2269" t="s">
        <v>110</v>
      </c>
      <c r="BA16" s="2269" t="s">
        <v>110</v>
      </c>
    </row>
    <row r="17" ht="18.75" customHeight="1">
      <c r="A17" s="147"/>
      <c r="B17" s="644"/>
      <c r="C17" s="2289" t="s">
        <v>120</v>
      </c>
      <c r="D17" s="2269" t="s">
        <v>109</v>
      </c>
      <c r="E17" s="2270" t="s">
        <v>110</v>
      </c>
      <c r="F17" s="2269" t="s">
        <v>109</v>
      </c>
      <c r="G17" s="2269" t="s">
        <v>109</v>
      </c>
      <c r="H17" s="2269" t="s">
        <v>109</v>
      </c>
      <c r="I17" s="2270" t="s">
        <v>110</v>
      </c>
      <c r="J17" s="2269" t="s">
        <v>109</v>
      </c>
      <c r="K17" s="2269" t="s">
        <v>109</v>
      </c>
      <c r="L17" s="2269" t="s">
        <v>110</v>
      </c>
      <c r="M17" s="2269" t="s">
        <v>110</v>
      </c>
      <c r="N17" s="2270" t="s">
        <v>109</v>
      </c>
      <c r="O17" s="2269" t="s">
        <v>110</v>
      </c>
      <c r="P17" s="2269" t="s">
        <v>110</v>
      </c>
      <c r="Q17" s="2269" t="s">
        <v>110</v>
      </c>
      <c r="R17" s="2269" t="s">
        <v>110</v>
      </c>
      <c r="S17" s="2269" t="s">
        <v>109</v>
      </c>
      <c r="T17" s="2269" t="s">
        <v>110</v>
      </c>
      <c r="U17" s="2269" t="s">
        <v>109</v>
      </c>
      <c r="V17" s="2270" t="s">
        <v>109</v>
      </c>
      <c r="W17" s="2269" t="s">
        <v>109</v>
      </c>
      <c r="X17" s="2269" t="s">
        <v>110</v>
      </c>
      <c r="Y17" s="2269" t="s">
        <v>110</v>
      </c>
      <c r="Z17" s="2269" t="s">
        <v>110</v>
      </c>
      <c r="AA17" s="2270" t="s">
        <v>109</v>
      </c>
      <c r="AB17" s="2269" t="s">
        <v>109</v>
      </c>
      <c r="AC17" s="2269" t="s">
        <v>110</v>
      </c>
      <c r="AD17" s="2269" t="s">
        <v>110</v>
      </c>
      <c r="AE17" s="2270" t="s">
        <v>110</v>
      </c>
      <c r="AF17" s="2269" t="s">
        <v>109</v>
      </c>
      <c r="AG17" s="2269" t="s">
        <v>109</v>
      </c>
      <c r="AH17" s="2269" t="s">
        <v>110</v>
      </c>
      <c r="AI17" s="2270" t="s">
        <v>109</v>
      </c>
      <c r="AJ17" s="2283" t="s">
        <v>110</v>
      </c>
      <c r="AK17" s="2284" t="s">
        <v>110</v>
      </c>
      <c r="AL17" s="2269" t="s">
        <v>109</v>
      </c>
      <c r="AM17" s="2269" t="s">
        <v>109</v>
      </c>
      <c r="AN17" s="2269" t="s">
        <v>110</v>
      </c>
      <c r="AO17" s="2270" t="s">
        <v>109</v>
      </c>
      <c r="AP17" s="2269" t="s">
        <v>108</v>
      </c>
      <c r="AQ17" s="2269" t="s">
        <v>108</v>
      </c>
      <c r="AR17" s="2270" t="s">
        <v>108</v>
      </c>
      <c r="AS17" s="2269" t="s">
        <v>109</v>
      </c>
      <c r="AT17" s="2269" t="s">
        <v>110</v>
      </c>
      <c r="AU17" s="2269" t="s">
        <v>109</v>
      </c>
      <c r="AV17" s="2270" t="s">
        <v>110</v>
      </c>
      <c r="AW17" s="2269" t="s">
        <v>109</v>
      </c>
      <c r="AX17" s="2269" t="s">
        <v>110</v>
      </c>
      <c r="AY17" s="2269" t="s">
        <v>117</v>
      </c>
      <c r="AZ17" s="2269" t="s">
        <v>110</v>
      </c>
      <c r="BA17" s="2269" t="s">
        <v>110</v>
      </c>
    </row>
    <row r="18" ht="18.75" customHeight="1">
      <c r="A18" s="147"/>
      <c r="B18" s="644"/>
      <c r="C18" s="2290" t="s">
        <v>116</v>
      </c>
      <c r="D18" s="2269" t="s">
        <v>109</v>
      </c>
      <c r="E18" s="2270" t="s">
        <v>110</v>
      </c>
      <c r="F18" s="2269" t="s">
        <v>110</v>
      </c>
      <c r="G18" s="2269" t="s">
        <v>110</v>
      </c>
      <c r="H18" s="2269" t="s">
        <v>109</v>
      </c>
      <c r="I18" s="2270" t="s">
        <v>110</v>
      </c>
      <c r="J18" s="2269" t="s">
        <v>110</v>
      </c>
      <c r="K18" s="2269" t="s">
        <v>110</v>
      </c>
      <c r="L18" s="2269" t="s">
        <v>110</v>
      </c>
      <c r="M18" s="2269" t="s">
        <v>110</v>
      </c>
      <c r="N18" s="2270" t="s">
        <v>110</v>
      </c>
      <c r="O18" s="2269" t="s">
        <v>110</v>
      </c>
      <c r="P18" s="2269" t="s">
        <v>110</v>
      </c>
      <c r="Q18" s="2269" t="s">
        <v>109</v>
      </c>
      <c r="R18" s="2269" t="s">
        <v>110</v>
      </c>
      <c r="S18" s="2269" t="s">
        <v>110</v>
      </c>
      <c r="T18" s="2269" t="s">
        <v>110</v>
      </c>
      <c r="U18" s="2269" t="s">
        <v>109</v>
      </c>
      <c r="V18" s="2270" t="s">
        <v>110</v>
      </c>
      <c r="W18" s="2269" t="s">
        <v>109</v>
      </c>
      <c r="X18" s="2269" t="s">
        <v>110</v>
      </c>
      <c r="Y18" s="2269" t="s">
        <v>110</v>
      </c>
      <c r="Z18" s="2269" t="s">
        <v>117</v>
      </c>
      <c r="AA18" s="2270" t="s">
        <v>109</v>
      </c>
      <c r="AB18" s="2269" t="s">
        <v>108</v>
      </c>
      <c r="AC18" s="2269" t="s">
        <v>108</v>
      </c>
      <c r="AD18" s="2269" t="s">
        <v>108</v>
      </c>
      <c r="AE18" s="2270" t="s">
        <v>108</v>
      </c>
      <c r="AF18" s="2269" t="s">
        <v>109</v>
      </c>
      <c r="AG18" s="2269" t="s">
        <v>110</v>
      </c>
      <c r="AH18" s="2269" t="s">
        <v>110</v>
      </c>
      <c r="AI18" s="2270" t="s">
        <v>110</v>
      </c>
      <c r="AJ18" s="2283" t="s">
        <v>110</v>
      </c>
      <c r="AK18" s="2284" t="s">
        <v>110</v>
      </c>
      <c r="AL18" s="2269" t="s">
        <v>109</v>
      </c>
      <c r="AM18" s="2269" t="s">
        <v>110</v>
      </c>
      <c r="AN18" s="2269" t="s">
        <v>110</v>
      </c>
      <c r="AO18" s="2270" t="s">
        <v>109</v>
      </c>
      <c r="AP18" s="2269" t="s">
        <v>109</v>
      </c>
      <c r="AQ18" s="2269" t="s">
        <v>109</v>
      </c>
      <c r="AR18" s="2270" t="s">
        <v>110</v>
      </c>
      <c r="AS18" s="2269" t="s">
        <v>110</v>
      </c>
      <c r="AT18" s="2269" t="s">
        <v>110</v>
      </c>
      <c r="AU18" s="2269" t="s">
        <v>109</v>
      </c>
      <c r="AV18" s="2270" t="s">
        <v>110</v>
      </c>
      <c r="AW18" s="2269" t="s">
        <v>119</v>
      </c>
      <c r="AX18" s="2269" t="s">
        <v>119</v>
      </c>
      <c r="AY18" s="2269" t="s">
        <v>119</v>
      </c>
      <c r="AZ18" s="2269" t="s">
        <v>119</v>
      </c>
      <c r="BA18" s="2269" t="s">
        <v>119</v>
      </c>
    </row>
    <row r="19" ht="18.75" customHeight="1">
      <c r="A19" s="147"/>
      <c r="B19" s="644"/>
      <c r="C19" s="2291" t="s">
        <v>1354</v>
      </c>
      <c r="D19" s="2269" t="s">
        <v>119</v>
      </c>
      <c r="E19" s="2270" t="s">
        <v>119</v>
      </c>
      <c r="F19" s="2269" t="s">
        <v>119</v>
      </c>
      <c r="G19" s="2269" t="s">
        <v>119</v>
      </c>
      <c r="H19" s="2269" t="s">
        <v>119</v>
      </c>
      <c r="I19" s="2270" t="s">
        <v>119</v>
      </c>
      <c r="J19" s="2269" t="s">
        <v>119</v>
      </c>
      <c r="K19" s="2269" t="s">
        <v>119</v>
      </c>
      <c r="L19" s="2269" t="s">
        <v>119</v>
      </c>
      <c r="M19" s="2269" t="s">
        <v>119</v>
      </c>
      <c r="N19" s="2270" t="s">
        <v>119</v>
      </c>
      <c r="O19" s="2269" t="s">
        <v>119</v>
      </c>
      <c r="P19" s="2269" t="s">
        <v>119</v>
      </c>
      <c r="Q19" s="2269" t="s">
        <v>119</v>
      </c>
      <c r="R19" s="2269" t="s">
        <v>119</v>
      </c>
      <c r="S19" s="2269" t="s">
        <v>119</v>
      </c>
      <c r="T19" s="2269" t="s">
        <v>119</v>
      </c>
      <c r="U19" s="2269" t="s">
        <v>119</v>
      </c>
      <c r="V19" s="2270" t="s">
        <v>119</v>
      </c>
      <c r="W19" s="2269" t="s">
        <v>119</v>
      </c>
      <c r="X19" s="2269" t="s">
        <v>119</v>
      </c>
      <c r="Y19" s="2269" t="s">
        <v>119</v>
      </c>
      <c r="Z19" s="2269" t="s">
        <v>119</v>
      </c>
      <c r="AA19" s="2270" t="s">
        <v>119</v>
      </c>
      <c r="AB19" s="2269" t="s">
        <v>119</v>
      </c>
      <c r="AC19" s="2269" t="s">
        <v>119</v>
      </c>
      <c r="AD19" s="2269" t="s">
        <v>119</v>
      </c>
      <c r="AE19" s="2270" t="s">
        <v>119</v>
      </c>
      <c r="AF19" s="2269" t="s">
        <v>119</v>
      </c>
      <c r="AG19" s="2269" t="s">
        <v>119</v>
      </c>
      <c r="AH19" s="2269" t="s">
        <v>119</v>
      </c>
      <c r="AI19" s="2270" t="s">
        <v>119</v>
      </c>
      <c r="AJ19" s="2277" t="s">
        <v>119</v>
      </c>
      <c r="AK19" s="2278" t="s">
        <v>119</v>
      </c>
      <c r="AL19" s="2269" t="s">
        <v>119</v>
      </c>
      <c r="AM19" s="2269" t="s">
        <v>119</v>
      </c>
      <c r="AN19" s="2269" t="s">
        <v>119</v>
      </c>
      <c r="AO19" s="2270" t="s">
        <v>119</v>
      </c>
      <c r="AP19" s="2269" t="s">
        <v>119</v>
      </c>
      <c r="AQ19" s="2269" t="s">
        <v>119</v>
      </c>
      <c r="AR19" s="2270" t="s">
        <v>119</v>
      </c>
      <c r="AS19" s="2269" t="s">
        <v>119</v>
      </c>
      <c r="AT19" s="2269" t="s">
        <v>119</v>
      </c>
      <c r="AU19" s="2269" t="s">
        <v>119</v>
      </c>
      <c r="AV19" s="2270" t="s">
        <v>119</v>
      </c>
      <c r="AW19" s="2269" t="s">
        <v>109</v>
      </c>
      <c r="AX19" s="2269" t="s">
        <v>110</v>
      </c>
      <c r="AY19" s="2269" t="s">
        <v>110</v>
      </c>
      <c r="AZ19" s="2269" t="s">
        <v>110</v>
      </c>
      <c r="BA19" s="2269" t="s">
        <v>110</v>
      </c>
    </row>
    <row r="20" ht="18.75" customHeight="1">
      <c r="A20" s="147"/>
      <c r="B20" s="644"/>
      <c r="C20" s="2289" t="s">
        <v>1269</v>
      </c>
      <c r="D20" s="2269" t="s">
        <v>109</v>
      </c>
      <c r="E20" s="2270" t="s">
        <v>110</v>
      </c>
      <c r="F20" s="2269" t="s">
        <v>109</v>
      </c>
      <c r="G20" s="2269" t="s">
        <v>109</v>
      </c>
      <c r="H20" s="2269" t="s">
        <v>109</v>
      </c>
      <c r="I20" s="2270" t="s">
        <v>110</v>
      </c>
      <c r="J20" s="2269" t="s">
        <v>110</v>
      </c>
      <c r="K20" s="2269" t="s">
        <v>110</v>
      </c>
      <c r="L20" s="2269" t="s">
        <v>110</v>
      </c>
      <c r="M20" s="2269" t="s">
        <v>110</v>
      </c>
      <c r="N20" s="2270" t="s">
        <v>110</v>
      </c>
      <c r="O20" s="2269" t="s">
        <v>108</v>
      </c>
      <c r="P20" s="2269" t="s">
        <v>108</v>
      </c>
      <c r="Q20" s="2269" t="s">
        <v>108</v>
      </c>
      <c r="R20" s="2269" t="s">
        <v>108</v>
      </c>
      <c r="S20" s="2269" t="s">
        <v>108</v>
      </c>
      <c r="T20" s="2269" t="s">
        <v>108</v>
      </c>
      <c r="U20" s="2269" t="s">
        <v>108</v>
      </c>
      <c r="V20" s="2270" t="s">
        <v>108</v>
      </c>
      <c r="W20" s="2269" t="s">
        <v>109</v>
      </c>
      <c r="X20" s="2269" t="s">
        <v>110</v>
      </c>
      <c r="Y20" s="2269" t="s">
        <v>110</v>
      </c>
      <c r="Z20" s="2269" t="s">
        <v>110</v>
      </c>
      <c r="AA20" s="2270" t="s">
        <v>109</v>
      </c>
      <c r="AB20" s="2269" t="s">
        <v>109</v>
      </c>
      <c r="AC20" s="2269" t="s">
        <v>110</v>
      </c>
      <c r="AD20" s="2269" t="s">
        <v>110</v>
      </c>
      <c r="AE20" s="2270" t="s">
        <v>110</v>
      </c>
      <c r="AF20" s="2269" t="s">
        <v>109</v>
      </c>
      <c r="AG20" s="2269" t="s">
        <v>110</v>
      </c>
      <c r="AH20" s="2269" t="s">
        <v>110</v>
      </c>
      <c r="AI20" s="2270" t="s">
        <v>110</v>
      </c>
      <c r="AJ20" s="2283" t="s">
        <v>110</v>
      </c>
      <c r="AK20" s="2284" t="s">
        <v>110</v>
      </c>
      <c r="AL20" s="2269" t="s">
        <v>109</v>
      </c>
      <c r="AM20" s="2269" t="s">
        <v>109</v>
      </c>
      <c r="AN20" s="2269" t="s">
        <v>110</v>
      </c>
      <c r="AO20" s="2270" t="s">
        <v>109</v>
      </c>
      <c r="AP20" s="2269" t="s">
        <v>109</v>
      </c>
      <c r="AQ20" s="2269" t="s">
        <v>109</v>
      </c>
      <c r="AR20" s="2270" t="s">
        <v>110</v>
      </c>
      <c r="AS20" s="2269" t="s">
        <v>109</v>
      </c>
      <c r="AT20" s="2269" t="s">
        <v>110</v>
      </c>
      <c r="AU20" s="2269" t="s">
        <v>109</v>
      </c>
      <c r="AV20" s="2270" t="s">
        <v>110</v>
      </c>
      <c r="AW20" s="2269" t="s">
        <v>109</v>
      </c>
      <c r="AX20" s="2269" t="s">
        <v>110</v>
      </c>
      <c r="AY20" s="2269" t="s">
        <v>110</v>
      </c>
      <c r="AZ20" s="2269" t="s">
        <v>110</v>
      </c>
      <c r="BA20" s="2269" t="s">
        <v>110</v>
      </c>
    </row>
    <row r="21" ht="18.75" customHeight="1">
      <c r="A21" s="147"/>
      <c r="B21" s="644"/>
      <c r="C21" s="2290" t="s">
        <v>1128</v>
      </c>
      <c r="D21" s="2269" t="s">
        <v>109</v>
      </c>
      <c r="E21" s="2270" t="s">
        <v>110</v>
      </c>
      <c r="F21" s="2269" t="s">
        <v>110</v>
      </c>
      <c r="G21" s="2269" t="s">
        <v>110</v>
      </c>
      <c r="H21" s="2269" t="s">
        <v>109</v>
      </c>
      <c r="I21" s="2270" t="s">
        <v>110</v>
      </c>
      <c r="J21" s="2269" t="s">
        <v>109</v>
      </c>
      <c r="K21" s="2269" t="s">
        <v>110</v>
      </c>
      <c r="L21" s="2269" t="s">
        <v>110</v>
      </c>
      <c r="M21" s="2269" t="s">
        <v>109</v>
      </c>
      <c r="N21" s="2270" t="s">
        <v>110</v>
      </c>
      <c r="O21" s="2269" t="s">
        <v>110</v>
      </c>
      <c r="P21" s="2269" t="s">
        <v>110</v>
      </c>
      <c r="Q21" s="2269" t="s">
        <v>109</v>
      </c>
      <c r="R21" s="2269" t="s">
        <v>110</v>
      </c>
      <c r="S21" s="2269" t="s">
        <v>110</v>
      </c>
      <c r="T21" s="2269" t="s">
        <v>110</v>
      </c>
      <c r="U21" s="2269" t="s">
        <v>117</v>
      </c>
      <c r="V21" s="2270" t="s">
        <v>110</v>
      </c>
      <c r="W21" s="2269" t="s">
        <v>108</v>
      </c>
      <c r="X21" s="2269" t="s">
        <v>108</v>
      </c>
      <c r="Y21" s="2269" t="s">
        <v>108</v>
      </c>
      <c r="Z21" s="2269" t="s">
        <v>108</v>
      </c>
      <c r="AA21" s="2270" t="s">
        <v>108</v>
      </c>
      <c r="AB21" s="2269" t="s">
        <v>110</v>
      </c>
      <c r="AC21" s="2269" t="s">
        <v>109</v>
      </c>
      <c r="AD21" s="2269" t="s">
        <v>110</v>
      </c>
      <c r="AE21" s="2270" t="s">
        <v>110</v>
      </c>
      <c r="AF21" s="2269" t="s">
        <v>110</v>
      </c>
      <c r="AG21" s="2269" t="s">
        <v>109</v>
      </c>
      <c r="AH21" s="2269" t="s">
        <v>110</v>
      </c>
      <c r="AI21" s="2270" t="s">
        <v>110</v>
      </c>
      <c r="AJ21" s="2283" t="s">
        <v>110</v>
      </c>
      <c r="AK21" s="2284" t="s">
        <v>110</v>
      </c>
      <c r="AL21" s="2269" t="s">
        <v>110</v>
      </c>
      <c r="AM21" s="2269" t="s">
        <v>109</v>
      </c>
      <c r="AN21" s="2269" t="s">
        <v>109</v>
      </c>
      <c r="AO21" s="2270" t="s">
        <v>110</v>
      </c>
      <c r="AP21" s="2269" t="s">
        <v>119</v>
      </c>
      <c r="AQ21" s="2269" t="s">
        <v>119</v>
      </c>
      <c r="AR21" s="2270" t="s">
        <v>119</v>
      </c>
      <c r="AS21" s="2269" t="s">
        <v>119</v>
      </c>
      <c r="AT21" s="2269" t="s">
        <v>119</v>
      </c>
      <c r="AU21" s="2269" t="s">
        <v>119</v>
      </c>
      <c r="AV21" s="2270" t="s">
        <v>119</v>
      </c>
      <c r="AW21" s="2269" t="s">
        <v>119</v>
      </c>
      <c r="AX21" s="2269" t="s">
        <v>119</v>
      </c>
      <c r="AY21" s="2269" t="s">
        <v>119</v>
      </c>
      <c r="AZ21" s="2269" t="s">
        <v>119</v>
      </c>
      <c r="BA21" s="2269" t="s">
        <v>119</v>
      </c>
    </row>
    <row r="22" ht="18.75" customHeight="1">
      <c r="A22" s="147"/>
      <c r="B22" s="644"/>
      <c r="C22" s="2289" t="s">
        <v>1272</v>
      </c>
      <c r="D22" s="2269" t="s">
        <v>119</v>
      </c>
      <c r="E22" s="2270" t="s">
        <v>119</v>
      </c>
      <c r="F22" s="2269" t="s">
        <v>119</v>
      </c>
      <c r="G22" s="2269" t="s">
        <v>119</v>
      </c>
      <c r="H22" s="2269" t="s">
        <v>119</v>
      </c>
      <c r="I22" s="2270" t="s">
        <v>119</v>
      </c>
      <c r="J22" s="2269" t="s">
        <v>119</v>
      </c>
      <c r="K22" s="2269" t="s">
        <v>119</v>
      </c>
      <c r="L22" s="2269" t="s">
        <v>119</v>
      </c>
      <c r="M22" s="2269" t="s">
        <v>119</v>
      </c>
      <c r="N22" s="2270" t="s">
        <v>119</v>
      </c>
      <c r="O22" s="2269" t="s">
        <v>119</v>
      </c>
      <c r="P22" s="2269" t="s">
        <v>119</v>
      </c>
      <c r="Q22" s="2269" t="s">
        <v>119</v>
      </c>
      <c r="R22" s="2269" t="s">
        <v>119</v>
      </c>
      <c r="S22" s="2269" t="s">
        <v>119</v>
      </c>
      <c r="T22" s="2269" t="s">
        <v>119</v>
      </c>
      <c r="U22" s="2269" t="s">
        <v>119</v>
      </c>
      <c r="V22" s="2270" t="s">
        <v>119</v>
      </c>
      <c r="W22" s="2269" t="s">
        <v>119</v>
      </c>
      <c r="X22" s="2269" t="s">
        <v>119</v>
      </c>
      <c r="Y22" s="2269" t="s">
        <v>119</v>
      </c>
      <c r="Z22" s="2269" t="s">
        <v>119</v>
      </c>
      <c r="AA22" s="2270" t="s">
        <v>119</v>
      </c>
      <c r="AB22" s="2269" t="s">
        <v>119</v>
      </c>
      <c r="AC22" s="2269" t="s">
        <v>119</v>
      </c>
      <c r="AD22" s="2269" t="s">
        <v>119</v>
      </c>
      <c r="AE22" s="2270" t="s">
        <v>119</v>
      </c>
      <c r="AF22" s="2269" t="s">
        <v>119</v>
      </c>
      <c r="AG22" s="2269" t="s">
        <v>119</v>
      </c>
      <c r="AH22" s="2269" t="s">
        <v>119</v>
      </c>
      <c r="AI22" s="2270" t="s">
        <v>119</v>
      </c>
      <c r="AJ22" s="2277" t="s">
        <v>119</v>
      </c>
      <c r="AK22" s="2278" t="s">
        <v>119</v>
      </c>
      <c r="AL22" s="2269" t="s">
        <v>119</v>
      </c>
      <c r="AM22" s="2269" t="s">
        <v>119</v>
      </c>
      <c r="AN22" s="2269" t="s">
        <v>119</v>
      </c>
      <c r="AO22" s="2270" t="s">
        <v>119</v>
      </c>
      <c r="AP22" s="2269" t="s">
        <v>109</v>
      </c>
      <c r="AQ22" s="2269" t="s">
        <v>109</v>
      </c>
      <c r="AR22" s="2270" t="s">
        <v>110</v>
      </c>
      <c r="AS22" s="2269" t="s">
        <v>110</v>
      </c>
      <c r="AT22" s="2269" t="s">
        <v>110</v>
      </c>
      <c r="AU22" s="2269" t="s">
        <v>110</v>
      </c>
      <c r="AV22" s="2270" t="s">
        <v>110</v>
      </c>
      <c r="AW22" s="2269" t="s">
        <v>109</v>
      </c>
      <c r="AX22" s="2269" t="s">
        <v>110</v>
      </c>
      <c r="AY22" s="2269" t="s">
        <v>110</v>
      </c>
      <c r="AZ22" s="2269" t="s">
        <v>110</v>
      </c>
      <c r="BA22" s="2269" t="s">
        <v>110</v>
      </c>
    </row>
    <row r="23" ht="18.75" customHeight="1">
      <c r="A23" s="147"/>
      <c r="B23" s="644"/>
      <c r="C23" s="2289" t="s">
        <v>157</v>
      </c>
      <c r="D23" s="2269" t="s">
        <v>109</v>
      </c>
      <c r="E23" s="2270" t="s">
        <v>110</v>
      </c>
      <c r="F23" s="2269" t="s">
        <v>109</v>
      </c>
      <c r="G23" s="2269" t="s">
        <v>110</v>
      </c>
      <c r="H23" s="2269" t="s">
        <v>109</v>
      </c>
      <c r="I23" s="2270" t="s">
        <v>110</v>
      </c>
      <c r="J23" s="2269" t="s">
        <v>110</v>
      </c>
      <c r="K23" s="2269" t="s">
        <v>110</v>
      </c>
      <c r="L23" s="2269" t="s">
        <v>110</v>
      </c>
      <c r="M23" s="2269" t="s">
        <v>110</v>
      </c>
      <c r="N23" s="2270" t="s">
        <v>110</v>
      </c>
      <c r="O23" s="2269" t="s">
        <v>110</v>
      </c>
      <c r="P23" s="2269" t="s">
        <v>110</v>
      </c>
      <c r="Q23" s="2269" t="s">
        <v>110</v>
      </c>
      <c r="R23" s="2269" t="s">
        <v>110</v>
      </c>
      <c r="S23" s="2269" t="s">
        <v>109</v>
      </c>
      <c r="T23" s="2269" t="s">
        <v>110</v>
      </c>
      <c r="U23" s="2269" t="s">
        <v>109</v>
      </c>
      <c r="V23" s="2270" t="s">
        <v>110</v>
      </c>
      <c r="W23" s="2269" t="s">
        <v>109</v>
      </c>
      <c r="X23" s="2269" t="s">
        <v>110</v>
      </c>
      <c r="Y23" s="2269" t="s">
        <v>110</v>
      </c>
      <c r="Z23" s="2269" t="s">
        <v>117</v>
      </c>
      <c r="AA23" s="2270" t="s">
        <v>110</v>
      </c>
      <c r="AB23" s="2269" t="s">
        <v>110</v>
      </c>
      <c r="AC23" s="2269" t="s">
        <v>110</v>
      </c>
      <c r="AD23" s="2269" t="s">
        <v>117</v>
      </c>
      <c r="AE23" s="2270" t="s">
        <v>110</v>
      </c>
      <c r="AF23" s="2269" t="s">
        <v>110</v>
      </c>
      <c r="AG23" s="2269" t="s">
        <v>110</v>
      </c>
      <c r="AH23" s="2269" t="s">
        <v>110</v>
      </c>
      <c r="AI23" s="2270" t="s">
        <v>110</v>
      </c>
      <c r="AJ23" s="2283" t="s">
        <v>110</v>
      </c>
      <c r="AK23" s="2284" t="s">
        <v>110</v>
      </c>
      <c r="AL23" s="2269" t="s">
        <v>109</v>
      </c>
      <c r="AM23" s="2269" t="s">
        <v>110</v>
      </c>
      <c r="AN23" s="2269" t="s">
        <v>110</v>
      </c>
      <c r="AO23" s="2270" t="s">
        <v>109</v>
      </c>
      <c r="AP23" s="2269" t="s">
        <v>109</v>
      </c>
      <c r="AQ23" s="2269" t="s">
        <v>109</v>
      </c>
      <c r="AR23" s="2270" t="s">
        <v>110</v>
      </c>
      <c r="AS23" s="2269" t="s">
        <v>108</v>
      </c>
      <c r="AT23" s="2269" t="s">
        <v>108</v>
      </c>
      <c r="AU23" s="2269" t="s">
        <v>108</v>
      </c>
      <c r="AV23" s="2270" t="s">
        <v>108</v>
      </c>
      <c r="AW23" s="2269" t="s">
        <v>109</v>
      </c>
      <c r="AX23" s="2269" t="s">
        <v>110</v>
      </c>
      <c r="AY23" s="2269" t="s">
        <v>110</v>
      </c>
      <c r="AZ23" s="2269" t="s">
        <v>110</v>
      </c>
      <c r="BA23" s="2269" t="s">
        <v>110</v>
      </c>
    </row>
    <row r="24" ht="18.75" customHeight="1">
      <c r="A24" s="147"/>
      <c r="B24" s="644"/>
      <c r="C24" s="2291" t="s">
        <v>1783</v>
      </c>
      <c r="D24" s="2269" t="s">
        <v>119</v>
      </c>
      <c r="E24" s="2270" t="s">
        <v>119</v>
      </c>
      <c r="F24" s="2269" t="s">
        <v>119</v>
      </c>
      <c r="G24" s="2269" t="s">
        <v>119</v>
      </c>
      <c r="H24" s="2269" t="s">
        <v>119</v>
      </c>
      <c r="I24" s="2270" t="s">
        <v>119</v>
      </c>
      <c r="J24" s="2269" t="s">
        <v>119</v>
      </c>
      <c r="K24" s="2269" t="s">
        <v>119</v>
      </c>
      <c r="L24" s="2269" t="s">
        <v>119</v>
      </c>
      <c r="M24" s="2269" t="s">
        <v>119</v>
      </c>
      <c r="N24" s="2270" t="s">
        <v>119</v>
      </c>
      <c r="O24" s="2269" t="s">
        <v>119</v>
      </c>
      <c r="P24" s="2269" t="s">
        <v>119</v>
      </c>
      <c r="Q24" s="2269" t="s">
        <v>119</v>
      </c>
      <c r="R24" s="2269" t="s">
        <v>119</v>
      </c>
      <c r="S24" s="2269" t="s">
        <v>119</v>
      </c>
      <c r="T24" s="2269" t="s">
        <v>119</v>
      </c>
      <c r="U24" s="2269" t="s">
        <v>119</v>
      </c>
      <c r="V24" s="2270" t="s">
        <v>119</v>
      </c>
      <c r="W24" s="2269" t="s">
        <v>119</v>
      </c>
      <c r="X24" s="2269" t="s">
        <v>119</v>
      </c>
      <c r="Y24" s="2269" t="s">
        <v>119</v>
      </c>
      <c r="Z24" s="2269" t="s">
        <v>119</v>
      </c>
      <c r="AA24" s="2270" t="s">
        <v>119</v>
      </c>
      <c r="AB24" s="2269" t="s">
        <v>119</v>
      </c>
      <c r="AC24" s="2269" t="s">
        <v>119</v>
      </c>
      <c r="AD24" s="2269" t="s">
        <v>119</v>
      </c>
      <c r="AE24" s="2270" t="s">
        <v>119</v>
      </c>
      <c r="AF24" s="2269" t="s">
        <v>119</v>
      </c>
      <c r="AG24" s="2269" t="s">
        <v>119</v>
      </c>
      <c r="AH24" s="2269" t="s">
        <v>119</v>
      </c>
      <c r="AI24" s="2270" t="s">
        <v>119</v>
      </c>
      <c r="AJ24" s="2277" t="s">
        <v>119</v>
      </c>
      <c r="AK24" s="2278" t="s">
        <v>119</v>
      </c>
      <c r="AL24" s="2269" t="s">
        <v>119</v>
      </c>
      <c r="AM24" s="2269" t="s">
        <v>119</v>
      </c>
      <c r="AN24" s="2269" t="s">
        <v>119</v>
      </c>
      <c r="AO24" s="2270" t="s">
        <v>119</v>
      </c>
      <c r="AP24" s="2269" t="s">
        <v>119</v>
      </c>
      <c r="AQ24" s="2269" t="s">
        <v>119</v>
      </c>
      <c r="AR24" s="2270" t="s">
        <v>119</v>
      </c>
      <c r="AS24" s="2269" t="s">
        <v>119</v>
      </c>
      <c r="AT24" s="2269" t="s">
        <v>119</v>
      </c>
      <c r="AU24" s="2269" t="s">
        <v>119</v>
      </c>
      <c r="AV24" s="2270" t="s">
        <v>119</v>
      </c>
      <c r="AW24" s="2269" t="s">
        <v>109</v>
      </c>
      <c r="AX24" s="2269" t="s">
        <v>110</v>
      </c>
      <c r="AY24" s="2269" t="s">
        <v>110</v>
      </c>
      <c r="AZ24" s="2269" t="s">
        <v>110</v>
      </c>
      <c r="BA24" s="2269" t="s">
        <v>110</v>
      </c>
    </row>
    <row r="25" ht="18.75" customHeight="1">
      <c r="A25" s="147"/>
      <c r="B25" s="658"/>
      <c r="C25" s="2292" t="s">
        <v>1784</v>
      </c>
      <c r="D25" s="2269" t="s">
        <v>109</v>
      </c>
      <c r="E25" s="2270" t="s">
        <v>110</v>
      </c>
      <c r="F25" s="2269" t="s">
        <v>109</v>
      </c>
      <c r="G25" s="2269" t="s">
        <v>110</v>
      </c>
      <c r="H25" s="2269" t="s">
        <v>109</v>
      </c>
      <c r="I25" s="2270" t="s">
        <v>110</v>
      </c>
      <c r="J25" s="2269" t="s">
        <v>108</v>
      </c>
      <c r="K25" s="2269" t="s">
        <v>108</v>
      </c>
      <c r="L25" s="2269" t="s">
        <v>108</v>
      </c>
      <c r="M25" s="2269" t="s">
        <v>108</v>
      </c>
      <c r="N25" s="2270" t="s">
        <v>108</v>
      </c>
      <c r="O25" s="2269" t="s">
        <v>110</v>
      </c>
      <c r="P25" s="2269" t="s">
        <v>110</v>
      </c>
      <c r="Q25" s="2269" t="s">
        <v>110</v>
      </c>
      <c r="R25" s="2269" t="s">
        <v>110</v>
      </c>
      <c r="S25" s="2269" t="s">
        <v>109</v>
      </c>
      <c r="T25" s="2269" t="s">
        <v>110</v>
      </c>
      <c r="U25" s="2269" t="s">
        <v>109</v>
      </c>
      <c r="V25" s="2270" t="s">
        <v>110</v>
      </c>
      <c r="W25" s="2269" t="s">
        <v>109</v>
      </c>
      <c r="X25" s="2269" t="s">
        <v>110</v>
      </c>
      <c r="Y25" s="2269" t="s">
        <v>110</v>
      </c>
      <c r="Z25" s="2269" t="s">
        <v>117</v>
      </c>
      <c r="AA25" s="2270" t="s">
        <v>109</v>
      </c>
      <c r="AB25" s="2269" t="s">
        <v>110</v>
      </c>
      <c r="AC25" s="2269" t="s">
        <v>110</v>
      </c>
      <c r="AD25" s="2269" t="s">
        <v>117</v>
      </c>
      <c r="AE25" s="2270" t="s">
        <v>110</v>
      </c>
      <c r="AF25" s="2269" t="s">
        <v>109</v>
      </c>
      <c r="AG25" s="2269" t="s">
        <v>110</v>
      </c>
      <c r="AH25" s="2269" t="s">
        <v>110</v>
      </c>
      <c r="AI25" s="2270" t="s">
        <v>110</v>
      </c>
      <c r="AJ25" s="2283" t="s">
        <v>110</v>
      </c>
      <c r="AK25" s="2284" t="s">
        <v>110</v>
      </c>
      <c r="AL25" s="2269" t="s">
        <v>109</v>
      </c>
      <c r="AM25" s="2269" t="s">
        <v>110</v>
      </c>
      <c r="AN25" s="2269" t="s">
        <v>110</v>
      </c>
      <c r="AO25" s="2270" t="s">
        <v>110</v>
      </c>
      <c r="AP25" s="2269" t="s">
        <v>109</v>
      </c>
      <c r="AQ25" s="2269" t="s">
        <v>109</v>
      </c>
      <c r="AR25" s="2270" t="s">
        <v>110</v>
      </c>
      <c r="AS25" s="2269" t="s">
        <v>110</v>
      </c>
      <c r="AT25" s="2269" t="s">
        <v>110</v>
      </c>
      <c r="AU25" s="2269" t="s">
        <v>110</v>
      </c>
      <c r="AV25" s="2270" t="s">
        <v>110</v>
      </c>
      <c r="AW25" s="2269" t="s">
        <v>119</v>
      </c>
      <c r="AX25" s="2269" t="s">
        <v>119</v>
      </c>
      <c r="AY25" s="2269" t="s">
        <v>119</v>
      </c>
      <c r="AZ25" s="2269" t="s">
        <v>119</v>
      </c>
      <c r="BA25" s="2269" t="s">
        <v>119</v>
      </c>
    </row>
    <row r="26" ht="18.75" customHeight="1">
      <c r="A26" s="147"/>
      <c r="B26" s="2293" t="s">
        <v>449</v>
      </c>
      <c r="C26" s="2294" t="s">
        <v>299</v>
      </c>
      <c r="D26" s="2269" t="s">
        <v>109</v>
      </c>
      <c r="E26" s="2270" t="s">
        <v>110</v>
      </c>
      <c r="F26" s="2269" t="s">
        <v>110</v>
      </c>
      <c r="G26" s="2269" t="s">
        <v>110</v>
      </c>
      <c r="H26" s="2269" t="s">
        <v>110</v>
      </c>
      <c r="I26" s="2270" t="s">
        <v>109</v>
      </c>
      <c r="J26" s="2269" t="s">
        <v>109</v>
      </c>
      <c r="K26" s="2269" t="s">
        <v>110</v>
      </c>
      <c r="L26" s="2269" t="s">
        <v>110</v>
      </c>
      <c r="M26" s="2269" t="s">
        <v>109</v>
      </c>
      <c r="N26" s="2270" t="s">
        <v>110</v>
      </c>
      <c r="O26" s="2269" t="s">
        <v>109</v>
      </c>
      <c r="P26" s="2269" t="s">
        <v>117</v>
      </c>
      <c r="Q26" s="2269" t="s">
        <v>109</v>
      </c>
      <c r="R26" s="2269" t="s">
        <v>109</v>
      </c>
      <c r="S26" s="2269" t="s">
        <v>117</v>
      </c>
      <c r="T26" s="2269" t="s">
        <v>117</v>
      </c>
      <c r="U26" s="2269" t="s">
        <v>109</v>
      </c>
      <c r="V26" s="2270" t="s">
        <v>110</v>
      </c>
      <c r="W26" s="2269" t="s">
        <v>109</v>
      </c>
      <c r="X26" s="2269" t="s">
        <v>110</v>
      </c>
      <c r="Y26" s="2269" t="s">
        <v>117</v>
      </c>
      <c r="Z26" s="2269" t="s">
        <v>109</v>
      </c>
      <c r="AA26" s="2270" t="s">
        <v>109</v>
      </c>
      <c r="AB26" s="2269" t="s">
        <v>108</v>
      </c>
      <c r="AC26" s="2269" t="s">
        <v>108</v>
      </c>
      <c r="AD26" s="2269" t="s">
        <v>108</v>
      </c>
      <c r="AE26" s="2270" t="s">
        <v>108</v>
      </c>
      <c r="AF26" s="2269" t="s">
        <v>108</v>
      </c>
      <c r="AG26" s="2269" t="s">
        <v>108</v>
      </c>
      <c r="AH26" s="2269" t="s">
        <v>108</v>
      </c>
      <c r="AI26" s="2270" t="s">
        <v>108</v>
      </c>
      <c r="AJ26" s="2283" t="s">
        <v>110</v>
      </c>
      <c r="AK26" s="2284" t="s">
        <v>110</v>
      </c>
      <c r="AL26" s="2269" t="s">
        <v>109</v>
      </c>
      <c r="AM26" s="2269" t="s">
        <v>109</v>
      </c>
      <c r="AN26" s="2269" t="s">
        <v>110</v>
      </c>
      <c r="AO26" s="2270" t="s">
        <v>109</v>
      </c>
      <c r="AP26" s="2269" t="s">
        <v>109</v>
      </c>
      <c r="AQ26" s="2269" t="s">
        <v>109</v>
      </c>
      <c r="AR26" s="2270" t="s">
        <v>110</v>
      </c>
      <c r="AS26" s="2269" t="s">
        <v>109</v>
      </c>
      <c r="AT26" s="2269" t="s">
        <v>110</v>
      </c>
      <c r="AU26" s="2269" t="s">
        <v>110</v>
      </c>
      <c r="AV26" s="2270" t="s">
        <v>110</v>
      </c>
      <c r="AW26" s="2269" t="s">
        <v>109</v>
      </c>
      <c r="AX26" s="2269" t="s">
        <v>110</v>
      </c>
      <c r="AY26" s="2269" t="s">
        <v>109</v>
      </c>
      <c r="AZ26" s="2269" t="s">
        <v>109</v>
      </c>
      <c r="BA26" s="2269" t="s">
        <v>109</v>
      </c>
    </row>
    <row r="27" ht="18.75" customHeight="1">
      <c r="A27" s="147"/>
      <c r="B27" s="147"/>
      <c r="C27" s="2295" t="s">
        <v>154</v>
      </c>
      <c r="D27" s="2269" t="s">
        <v>108</v>
      </c>
      <c r="E27" s="2270" t="s">
        <v>108</v>
      </c>
      <c r="F27" s="2269" t="s">
        <v>110</v>
      </c>
      <c r="G27" s="2269" t="s">
        <v>110</v>
      </c>
      <c r="H27" s="2269" t="s">
        <v>109</v>
      </c>
      <c r="I27" s="2270" t="s">
        <v>109</v>
      </c>
      <c r="J27" s="2269" t="s">
        <v>109</v>
      </c>
      <c r="K27" s="2269" t="s">
        <v>110</v>
      </c>
      <c r="L27" s="2269" t="s">
        <v>110</v>
      </c>
      <c r="M27" s="2269" t="s">
        <v>117</v>
      </c>
      <c r="N27" s="2270" t="s">
        <v>110</v>
      </c>
      <c r="O27" s="2269" t="s">
        <v>108</v>
      </c>
      <c r="P27" s="2269" t="s">
        <v>108</v>
      </c>
      <c r="Q27" s="2269" t="s">
        <v>108</v>
      </c>
      <c r="R27" s="2269" t="s">
        <v>108</v>
      </c>
      <c r="S27" s="2269" t="s">
        <v>108</v>
      </c>
      <c r="T27" s="2269" t="s">
        <v>108</v>
      </c>
      <c r="U27" s="2269" t="s">
        <v>108</v>
      </c>
      <c r="V27" s="2270" t="s">
        <v>108</v>
      </c>
      <c r="W27" s="2269" t="s">
        <v>108</v>
      </c>
      <c r="X27" s="2269" t="s">
        <v>108</v>
      </c>
      <c r="Y27" s="2269" t="s">
        <v>108</v>
      </c>
      <c r="Z27" s="2269" t="s">
        <v>108</v>
      </c>
      <c r="AA27" s="2270" t="s">
        <v>108</v>
      </c>
      <c r="AB27" s="2269" t="s">
        <v>109</v>
      </c>
      <c r="AC27" s="2269" t="s">
        <v>110</v>
      </c>
      <c r="AD27" s="2269" t="s">
        <v>109</v>
      </c>
      <c r="AE27" s="2270" t="s">
        <v>110</v>
      </c>
      <c r="AF27" s="2269" t="s">
        <v>108</v>
      </c>
      <c r="AG27" s="2269" t="s">
        <v>108</v>
      </c>
      <c r="AH27" s="2269" t="s">
        <v>108</v>
      </c>
      <c r="AI27" s="2270" t="s">
        <v>108</v>
      </c>
      <c r="AJ27" s="2283" t="s">
        <v>110</v>
      </c>
      <c r="AK27" s="2284" t="s">
        <v>110</v>
      </c>
      <c r="AL27" s="2269" t="s">
        <v>109</v>
      </c>
      <c r="AM27" s="2269" t="s">
        <v>109</v>
      </c>
      <c r="AN27" s="2269" t="s">
        <v>110</v>
      </c>
      <c r="AO27" s="2270" t="s">
        <v>109</v>
      </c>
      <c r="AP27" s="2269" t="s">
        <v>108</v>
      </c>
      <c r="AQ27" s="2269" t="s">
        <v>108</v>
      </c>
      <c r="AR27" s="2270" t="s">
        <v>108</v>
      </c>
      <c r="AS27" s="2269" t="s">
        <v>108</v>
      </c>
      <c r="AT27" s="2269" t="s">
        <v>108</v>
      </c>
      <c r="AU27" s="2269" t="s">
        <v>108</v>
      </c>
      <c r="AV27" s="2270" t="s">
        <v>108</v>
      </c>
      <c r="AW27" s="2269" t="s">
        <v>109</v>
      </c>
      <c r="AX27" s="2269" t="s">
        <v>109</v>
      </c>
      <c r="AY27" s="2269" t="s">
        <v>109</v>
      </c>
      <c r="AZ27" s="2269" t="s">
        <v>109</v>
      </c>
      <c r="BA27" s="2269" t="s">
        <v>109</v>
      </c>
    </row>
    <row r="28" ht="18.75" customHeight="1">
      <c r="A28" s="147"/>
      <c r="B28" s="159"/>
      <c r="C28" s="2295" t="s">
        <v>44</v>
      </c>
      <c r="D28" s="2269" t="s">
        <v>109</v>
      </c>
      <c r="E28" s="2270" t="s">
        <v>110</v>
      </c>
      <c r="F28" s="2269" t="s">
        <v>110</v>
      </c>
      <c r="G28" s="2269" t="s">
        <v>110</v>
      </c>
      <c r="H28" s="2269" t="s">
        <v>109</v>
      </c>
      <c r="I28" s="2270" t="s">
        <v>109</v>
      </c>
      <c r="J28" s="2269" t="s">
        <v>108</v>
      </c>
      <c r="K28" s="2269" t="s">
        <v>108</v>
      </c>
      <c r="L28" s="2269" t="s">
        <v>108</v>
      </c>
      <c r="M28" s="2269" t="s">
        <v>108</v>
      </c>
      <c r="N28" s="2270" t="s">
        <v>108</v>
      </c>
      <c r="O28" s="2269" t="s">
        <v>108</v>
      </c>
      <c r="P28" s="2269" t="s">
        <v>108</v>
      </c>
      <c r="Q28" s="2269" t="s">
        <v>108</v>
      </c>
      <c r="R28" s="2269" t="s">
        <v>108</v>
      </c>
      <c r="S28" s="2269" t="s">
        <v>108</v>
      </c>
      <c r="T28" s="2269" t="s">
        <v>108</v>
      </c>
      <c r="U28" s="2269" t="s">
        <v>108</v>
      </c>
      <c r="V28" s="2270" t="s">
        <v>108</v>
      </c>
      <c r="W28" s="2269" t="s">
        <v>110</v>
      </c>
      <c r="X28" s="2269" t="s">
        <v>110</v>
      </c>
      <c r="Y28" s="2269" t="s">
        <v>109</v>
      </c>
      <c r="Z28" s="2269" t="s">
        <v>109</v>
      </c>
      <c r="AA28" s="2270" t="s">
        <v>109</v>
      </c>
      <c r="AB28" s="2269" t="s">
        <v>109</v>
      </c>
      <c r="AC28" s="2269" t="s">
        <v>110</v>
      </c>
      <c r="AD28" s="2269" t="s">
        <v>110</v>
      </c>
      <c r="AE28" s="2270" t="s">
        <v>110</v>
      </c>
      <c r="AF28" s="2269" t="s">
        <v>109</v>
      </c>
      <c r="AG28" s="2269" t="s">
        <v>110</v>
      </c>
      <c r="AH28" s="2269" t="s">
        <v>110</v>
      </c>
      <c r="AI28" s="2270" t="s">
        <v>109</v>
      </c>
      <c r="AJ28" s="2283" t="s">
        <v>110</v>
      </c>
      <c r="AK28" s="2284" t="s">
        <v>110</v>
      </c>
      <c r="AL28" s="2269" t="s">
        <v>108</v>
      </c>
      <c r="AM28" s="2269" t="s">
        <v>108</v>
      </c>
      <c r="AN28" s="2269" t="s">
        <v>108</v>
      </c>
      <c r="AO28" s="2270" t="s">
        <v>108</v>
      </c>
      <c r="AP28" s="2269" t="s">
        <v>109</v>
      </c>
      <c r="AQ28" s="2269" t="s">
        <v>110</v>
      </c>
      <c r="AR28" s="2270" t="s">
        <v>109</v>
      </c>
      <c r="AS28" s="2269" t="s">
        <v>108</v>
      </c>
      <c r="AT28" s="2269" t="s">
        <v>108</v>
      </c>
      <c r="AU28" s="2269" t="s">
        <v>108</v>
      </c>
      <c r="AV28" s="2270" t="s">
        <v>108</v>
      </c>
      <c r="AW28" s="2269" t="s">
        <v>109</v>
      </c>
      <c r="AX28" s="2269" t="s">
        <v>110</v>
      </c>
      <c r="AY28" s="2269" t="s">
        <v>109</v>
      </c>
      <c r="AZ28" s="2269" t="s">
        <v>109</v>
      </c>
      <c r="BA28" s="2269" t="s">
        <v>109</v>
      </c>
    </row>
    <row r="29" ht="18.75" customHeight="1">
      <c r="A29" s="159"/>
      <c r="B29" s="2296" t="s">
        <v>456</v>
      </c>
      <c r="C29" s="2297" t="s">
        <v>118</v>
      </c>
      <c r="D29" s="2269" t="s">
        <v>117</v>
      </c>
      <c r="E29" s="2270" t="s">
        <v>110</v>
      </c>
      <c r="F29" s="2269" t="s">
        <v>109</v>
      </c>
      <c r="G29" s="2269" t="s">
        <v>110</v>
      </c>
      <c r="H29" s="2269" t="s">
        <v>109</v>
      </c>
      <c r="I29" s="2270" t="s">
        <v>117</v>
      </c>
      <c r="J29" s="2269" t="s">
        <v>110</v>
      </c>
      <c r="K29" s="2269" t="s">
        <v>110</v>
      </c>
      <c r="L29" s="2269" t="s">
        <v>110</v>
      </c>
      <c r="M29" s="2269" t="s">
        <v>110</v>
      </c>
      <c r="N29" s="2270" t="s">
        <v>110</v>
      </c>
      <c r="O29" s="2269" t="s">
        <v>109</v>
      </c>
      <c r="P29" s="2269" t="s">
        <v>110</v>
      </c>
      <c r="Q29" s="2269" t="s">
        <v>110</v>
      </c>
      <c r="R29" s="2269" t="s">
        <v>109</v>
      </c>
      <c r="S29" s="2269" t="s">
        <v>110</v>
      </c>
      <c r="T29" s="2269" t="s">
        <v>110</v>
      </c>
      <c r="U29" s="2269" t="s">
        <v>110</v>
      </c>
      <c r="V29" s="2270" t="s">
        <v>110</v>
      </c>
      <c r="W29" s="2269" t="s">
        <v>109</v>
      </c>
      <c r="X29" s="2269" t="s">
        <v>110</v>
      </c>
      <c r="Y29" s="2269" t="s">
        <v>110</v>
      </c>
      <c r="Z29" s="2269" t="s">
        <v>110</v>
      </c>
      <c r="AA29" s="2270" t="s">
        <v>117</v>
      </c>
      <c r="AB29" s="2269" t="s">
        <v>110</v>
      </c>
      <c r="AC29" s="2269" t="s">
        <v>109</v>
      </c>
      <c r="AD29" s="2269" t="s">
        <v>110</v>
      </c>
      <c r="AE29" s="2270" t="s">
        <v>110</v>
      </c>
      <c r="AF29" s="2269" t="s">
        <v>109</v>
      </c>
      <c r="AG29" s="2269" t="s">
        <v>110</v>
      </c>
      <c r="AH29" s="2269" t="s">
        <v>110</v>
      </c>
      <c r="AI29" s="2270" t="s">
        <v>110</v>
      </c>
      <c r="AJ29" s="2298" t="s">
        <v>110</v>
      </c>
      <c r="AK29" s="2299" t="s">
        <v>110</v>
      </c>
      <c r="AL29" s="2269" t="s">
        <v>110</v>
      </c>
      <c r="AM29" s="2269" t="s">
        <v>110</v>
      </c>
      <c r="AN29" s="2269" t="s">
        <v>110</v>
      </c>
      <c r="AO29" s="2270" t="s">
        <v>110</v>
      </c>
      <c r="AP29" s="2269" t="s">
        <v>110</v>
      </c>
      <c r="AQ29" s="2269" t="s">
        <v>109</v>
      </c>
      <c r="AR29" s="2270" t="s">
        <v>110</v>
      </c>
      <c r="AS29" s="2269" t="s">
        <v>110</v>
      </c>
      <c r="AT29" s="2269" t="s">
        <v>110</v>
      </c>
      <c r="AU29" s="2269" t="s">
        <v>117</v>
      </c>
      <c r="AV29" s="2270" t="s">
        <v>110</v>
      </c>
      <c r="AW29" s="2269" t="s">
        <v>117</v>
      </c>
      <c r="AX29" s="2269" t="s">
        <v>117</v>
      </c>
      <c r="AY29" s="2269" t="s">
        <v>109</v>
      </c>
      <c r="AZ29" s="2269" t="s">
        <v>117</v>
      </c>
      <c r="BA29" s="2269" t="s">
        <v>117</v>
      </c>
    </row>
    <row r="30" ht="9.75" customHeight="1">
      <c r="A30" s="2300"/>
      <c r="B30" s="2301"/>
      <c r="C30" s="2301"/>
      <c r="D30" s="1988" t="str">
        <f t="shared" ref="D30:BA30" si="1">LINKURL(D5)</f>
        <v>https://www.reddit.com/r/RMTK/comments/c8d1ja/m0076_motie_tot_uitdelen_oordoppen_bij_festivals/</v>
      </c>
      <c r="E30" s="2103" t="str">
        <f t="shared" si="1"/>
        <v>https://www.reddit.com/r/RMTK/comments/c8rc1h/w0028_wetswijziging_tot_aanvulling_op_de_wet/</v>
      </c>
      <c r="F30" s="2103" t="str">
        <f t="shared" si="1"/>
        <v>https://www.reddit.com/r/RMTK/comments/caneu6/m0077_motie_tot_opstellen_van_klimaatnota/</v>
      </c>
      <c r="G30" s="1988" t="str">
        <f t="shared" si="1"/>
        <v>https://www.reddit.com/r/RMTK/comments/cb3edh/motie_tot_het_aanpakken_van_problemen_rondom_112/</v>
      </c>
      <c r="H30" s="1988" t="str">
        <f t="shared" si="1"/>
        <v>https://www.reddit.com/r/RMTK/comments/cbwf92/m0079_motie_tot_uitvoering_m0050/</v>
      </c>
      <c r="I30" s="2103" t="str">
        <f t="shared" si="1"/>
        <v>https://www.reddit.com/r/RMTK/comments/cbidty/w0029_wijziging_van_het_burgerlijk_wetboek_boek_1/</v>
      </c>
      <c r="J30" s="1989" t="str">
        <f t="shared" si="1"/>
        <v>https://www.reddit.com/r/RMTK/comments/cdkiso/m0080_motie_tot_onderzoek_naar_circulair_maken/</v>
      </c>
      <c r="K30" s="1988" t="str">
        <f t="shared" si="1"/>
        <v>https://www.reddit.com/r/RMTK/comments/cdxunf/m0081_motie_tot_versimpeling_belastingsysteem/</v>
      </c>
      <c r="L30" s="1988" t="str">
        <f t="shared" si="1"/>
        <v>https://www.reddit.com/r/RMTK/comments/cee57r/w0025_tweede_lezingkoepelwet_kerncentrales/</v>
      </c>
      <c r="M30" s="1988" t="str">
        <f t="shared" si="1"/>
        <v>https://www.reddit.com/r/RMTK/comments/cedsei/w0030_wijziging_van_het_burgerlijk_wetboek_boek_1/</v>
      </c>
      <c r="N30" s="2302" t="str">
        <f t="shared" si="1"/>
        <v>https://www.reddit.com/r/RMTK/comments/cev17r/w0031_hernieuwde_klimaatwet_2019/</v>
      </c>
      <c r="O30" s="2303" t="str">
        <f t="shared" si="1"/>
        <v>https://www.reddit.com/r/RMTK/comments/cgeui7/m0082_motie_tot_openbaar_maken_partijlidmaatschap/</v>
      </c>
      <c r="P30" s="2303" t="str">
        <f t="shared" si="1"/>
        <v>https://www.reddit.com/r/RMTK/comments/cgx23i/m0083m0086_moties_ingediend_bij_debat_over_de/</v>
      </c>
      <c r="Q30" s="2303" t="str">
        <f t="shared" si="1"/>
        <v>https://www.reddit.com/r/RMTK/comments/cgx23i/m0083m0086_moties_ingediend_bij_debat_over_de/</v>
      </c>
      <c r="R30" s="2303" t="str">
        <f t="shared" si="1"/>
        <v>https://www.reddit.com/r/RMTK/comments/cgx23i/m0083m0086_moties_ingediend_bij_debat_over_de/</v>
      </c>
      <c r="S30" s="2303" t="str">
        <f t="shared" si="1"/>
        <v>https://www.reddit.com/r/RMTK/comments/cgx23i/m0083m0086_moties_ingediend_bij_debat_over_de/</v>
      </c>
      <c r="T30" s="2303" t="str">
        <f t="shared" si="1"/>
        <v>https://www.reddit.com/r/RMTK/comments/cgx44w/m0087_motie_verduidelijking_en_samenvoeging/</v>
      </c>
      <c r="U30" s="2303" t="str">
        <f t="shared" si="1"/>
        <v>https://www.reddit.com/r/RMTK/comments/chp5na/m0088_motie_tot_verandering_regelgeving_regeling/</v>
      </c>
      <c r="V30" s="1991" t="str">
        <f t="shared" si="1"/>
        <v>https://www.reddit.com/r/RMTK/comments/cgethq/wetsvoorstel_tot_budgettaire_begroting/</v>
      </c>
      <c r="W30" s="2303" t="str">
        <f t="shared" si="1"/>
        <v>https://www.reddit.com/r/RMTK/comments/cj9vrz/m0089_motie_met_het_verzoek_om_informatie_over/</v>
      </c>
      <c r="X30" s="2303" t="str">
        <f t="shared" si="1"/>
        <v>https://www.reddit.com/r/RMTK/comments/ckamkr/m0090_motie_tot_organisatie_van_een_diplomatieke/</v>
      </c>
      <c r="Y30" s="2303" t="str">
        <f t="shared" si="1"/>
        <v>https://www.reddit.com/r/RMTK/comments/ckpx42/m0091_motie_tot_erkenning_van_een_derde_geslacht/</v>
      </c>
      <c r="Z30" s="2303" t="str">
        <f t="shared" si="1"/>
        <v>https://www.reddit.com/r/RMTK/comments/cjbw7f/w0033i_amendement_op_wet_erkenning_recht_op/</v>
      </c>
      <c r="AA30" s="2304" t="str">
        <f t="shared" si="1"/>
        <v>https://www.reddit.com/r/RMTK/comments/ciktf7/w0034_wet_lobbyverbod/</v>
      </c>
      <c r="AB30" s="2303" t="str">
        <f t="shared" si="1"/>
        <v>https://www.reddit.com/r/RMTK/comments/cn3gr4/m0092_motie_tot_het_cre%C3%ABren_van_beschutte/</v>
      </c>
      <c r="AC30" s="2303" t="str">
        <f t="shared" si="1"/>
        <v>https://www.reddit.com/r/RMTK/comments/cn3hgk/m0093_motie_tot_verdere_privatisering_abn_amro/</v>
      </c>
      <c r="AD30" s="2303" t="str">
        <f t="shared" si="1"/>
        <v>https://www.reddit.com/r/RMTK/comments/ch9l69/w0033_wet_erkenning_recht_op_voltooid_leven/</v>
      </c>
      <c r="AE30" s="2304" t="str">
        <f t="shared" si="1"/>
        <v>https://www.reddit.com/r/RMTK/comments/clxgpr/w0035i_amendement_op_wet_belasting_op_grote/</v>
      </c>
      <c r="AF30" s="2303" t="str">
        <f t="shared" si="1"/>
        <v>https://www.reddit.com/r/RMTK/comments/cpw0f0/m0094_motie_vrijgezellenbelasting/</v>
      </c>
      <c r="AG30" s="2303" t="str">
        <f t="shared" si="1"/>
        <v>https://www.reddit.com/r/RMTK/comments/cqh410/m0095m0096_moties_over_datalek_rdw/</v>
      </c>
      <c r="AH30" s="2303" t="str">
        <f t="shared" si="1"/>
        <v>https://www.reddit.com/r/RMTK/comments/cqh410/m0095m0096_moties_over_datalek_rdw/</v>
      </c>
      <c r="AI30" s="2304" t="str">
        <f t="shared" si="1"/>
        <v>https://www.reddit.com/r/RMTK/comments/cr3z5o/m0097_motie_tot_evaluatie_van/</v>
      </c>
      <c r="AJ30" s="2305" t="str">
        <f t="shared" si="1"/>
        <v>https://www.reddit.com/r/RMTK/comments/csznc1/m0098_motie_tot_onderzoek_doen_naar_een/</v>
      </c>
      <c r="AK30" s="2306" t="str">
        <f t="shared" si="1"/>
        <v>https://www.reddit.com/r/RMTK/comments/ctxz1e/m0099_motie_tot_reductie_verdrinkingsdoden/</v>
      </c>
      <c r="AL30" s="1989" t="str">
        <f t="shared" si="1"/>
        <v>https://www.reddit.com/r/RMTK/comments/cvous8/m0100_motie_tot_cre%C3%ABren_vergunning_voor_bezit/</v>
      </c>
      <c r="AM30" s="2303" t="str">
        <f t="shared" si="1"/>
        <v>https://www.reddit.com/r/RMTK/comments/cw5pmx/m0101_motie_tot_boycot_van_fout_vlees_en_foute/</v>
      </c>
      <c r="AN30" s="2303" t="str">
        <f t="shared" si="1"/>
        <v>https://www.reddit.com/r/RMTK/comments/cwp79y/w0036_wet_ter_erkenning_van_de_nederlandse/</v>
      </c>
      <c r="AO30" s="2304" t="str">
        <f t="shared" si="1"/>
        <v>https://www.reddit.com/r/RMTK/comments/cx11b8/w0037_wetswijziging_wet_op_de_omzetbelasting_1968/</v>
      </c>
      <c r="AP30" s="2303" t="str">
        <f t="shared" si="1"/>
        <v>https://www.reddit.com/r/RMTK/comments/cz88o9/m0102_motie_tot_gratis_maken_ov/</v>
      </c>
      <c r="AQ30" s="2303" t="str">
        <f t="shared" si="1"/>
        <v>https://www.reddit.com/r/RMTK/comments/czpknp/m0103_motie_tot_herbenoeming_burgemeester_van/</v>
      </c>
      <c r="AR30" s="1989" t="str">
        <f t="shared" si="1"/>
        <v>https://www.reddit.com/r/RMTK/comments/cyt6r7/w0038_wetsvoorstel_tot_wijziging_van_de_wet_op_de/</v>
      </c>
      <c r="AS30" s="2303" t="str">
        <f t="shared" si="1"/>
        <v>https://www.reddit.com/r/RMTK/comments/d0it9u/m0104_motie_ter_bevordering_van_het_frysk_en/</v>
      </c>
      <c r="AT30" s="2303" t="str">
        <f t="shared" si="1"/>
        <v>https://www.reddit.com/r/RMTK/comments/d2x07x/m0105_motie_tot_europese_samenwerking_op_het/</v>
      </c>
      <c r="AU30" s="2303" t="str">
        <f t="shared" si="1"/>
        <v>https://www.reddit.com/r/RMTK/comments/d2x1rb/m0106_motie_tot_verbeteren_voedselveiligheid/</v>
      </c>
      <c r="AV30" s="2304" t="str">
        <f t="shared" si="1"/>
        <v>https://www.reddit.com/r/RMTK/comments/d37gxt/m0107_motie_tot_gelijk_visumbeleid_door_de/</v>
      </c>
      <c r="AW30" s="1989" t="str">
        <f t="shared" si="1"/>
        <v>https://www.reddit.com/r/RMTK/comments/d55568/m0108_voorwaardelijke_motie_van_wantrouwen_jegens/</v>
      </c>
      <c r="AX30" s="1989" t="str">
        <f t="shared" si="1"/>
        <v>https://www.reddit.com/r/RMTK/comments/d5jbj5/m0109_motie_tot_gelijkstelling_vrijstelling_op/</v>
      </c>
      <c r="AY30" s="1989" t="str">
        <f t="shared" si="1"/>
        <v>https://www.reddit.com/r/RMTK/comments/d6jhpf/m0110_motie_tot_aanpassing_van_het_vuurwerkbesluit/</v>
      </c>
      <c r="AZ30" s="1989" t="str">
        <f t="shared" si="1"/>
        <v>https://www.reddit.com/r/RMTK/comments/d57042/w0039i_amendement_wetsvoorstel_versoepeling/</v>
      </c>
      <c r="BA30" s="1989" t="str">
        <f t="shared" si="1"/>
        <v>https://www.reddit.com/r/RMTK/comments/d6jji7/w0040_wet_register_openbare_hygi%C3%ABne_en/</v>
      </c>
    </row>
    <row r="31" ht="18.75" customHeight="1">
      <c r="A31" s="2307" t="s">
        <v>1785</v>
      </c>
      <c r="B31" s="2308" t="s">
        <v>446</v>
      </c>
      <c r="C31" s="2309" t="s">
        <v>153</v>
      </c>
      <c r="D31" s="2269" t="s">
        <v>109</v>
      </c>
      <c r="E31" s="2270" t="s">
        <v>110</v>
      </c>
      <c r="F31" s="2269" t="s">
        <v>110</v>
      </c>
      <c r="G31" s="2269" t="s">
        <v>110</v>
      </c>
      <c r="H31" s="2269" t="s">
        <v>110</v>
      </c>
      <c r="I31" s="2270" t="s">
        <v>110</v>
      </c>
      <c r="J31" s="2269" t="s">
        <v>119</v>
      </c>
      <c r="K31" s="2269" t="s">
        <v>119</v>
      </c>
      <c r="L31" s="2269" t="s">
        <v>119</v>
      </c>
      <c r="M31" s="2269" t="s">
        <v>119</v>
      </c>
      <c r="N31" s="2270" t="s">
        <v>119</v>
      </c>
      <c r="O31" s="2269" t="s">
        <v>119</v>
      </c>
      <c r="P31" s="2269" t="s">
        <v>119</v>
      </c>
      <c r="Q31" s="2269" t="s">
        <v>119</v>
      </c>
      <c r="R31" s="2269" t="s">
        <v>119</v>
      </c>
      <c r="S31" s="2269" t="s">
        <v>119</v>
      </c>
      <c r="T31" s="2269" t="s">
        <v>119</v>
      </c>
      <c r="U31" s="2269" t="s">
        <v>119</v>
      </c>
      <c r="V31" s="2270" t="s">
        <v>119</v>
      </c>
      <c r="W31" s="2269" t="s">
        <v>119</v>
      </c>
      <c r="X31" s="2269" t="s">
        <v>119</v>
      </c>
      <c r="Y31" s="2269" t="s">
        <v>119</v>
      </c>
      <c r="Z31" s="2269" t="s">
        <v>119</v>
      </c>
      <c r="AA31" s="2270" t="s">
        <v>119</v>
      </c>
      <c r="AB31" s="2269" t="s">
        <v>119</v>
      </c>
      <c r="AC31" s="2269" t="s">
        <v>119</v>
      </c>
      <c r="AD31" s="2269" t="s">
        <v>119</v>
      </c>
      <c r="AE31" s="2270" t="s">
        <v>119</v>
      </c>
      <c r="AF31" s="2269" t="s">
        <v>119</v>
      </c>
      <c r="AG31" s="2269" t="s">
        <v>119</v>
      </c>
      <c r="AH31" s="2269" t="s">
        <v>119</v>
      </c>
      <c r="AI31" s="2270" t="s">
        <v>119</v>
      </c>
      <c r="AJ31" s="2277" t="s">
        <v>119</v>
      </c>
      <c r="AK31" s="2278" t="s">
        <v>119</v>
      </c>
      <c r="AL31" s="2269" t="s">
        <v>119</v>
      </c>
      <c r="AM31" s="2269" t="s">
        <v>119</v>
      </c>
      <c r="AN31" s="2269" t="s">
        <v>119</v>
      </c>
      <c r="AO31" s="2270" t="s">
        <v>119</v>
      </c>
      <c r="AP31" s="2269" t="s">
        <v>119</v>
      </c>
      <c r="AQ31" s="2269" t="s">
        <v>119</v>
      </c>
      <c r="AR31" s="2270" t="s">
        <v>119</v>
      </c>
      <c r="AS31" s="2269" t="s">
        <v>119</v>
      </c>
      <c r="AT31" s="2269" t="s">
        <v>119</v>
      </c>
      <c r="AU31" s="2269" t="s">
        <v>119</v>
      </c>
      <c r="AV31" s="2270" t="s">
        <v>119</v>
      </c>
      <c r="AW31" s="2269" t="s">
        <v>119</v>
      </c>
      <c r="AX31" s="2269" t="s">
        <v>119</v>
      </c>
      <c r="AY31" s="2269" t="s">
        <v>119</v>
      </c>
      <c r="AZ31" s="2269" t="s">
        <v>119</v>
      </c>
      <c r="BA31" s="2269" t="s">
        <v>119</v>
      </c>
    </row>
    <row r="32" ht="18.75" customHeight="1">
      <c r="A32" s="147"/>
      <c r="B32" s="644"/>
      <c r="C32" s="2310" t="s">
        <v>515</v>
      </c>
      <c r="D32" s="2269" t="s">
        <v>109</v>
      </c>
      <c r="E32" s="2270" t="s">
        <v>110</v>
      </c>
      <c r="F32" s="2269" t="s">
        <v>110</v>
      </c>
      <c r="G32" s="2269" t="s">
        <v>110</v>
      </c>
      <c r="H32" s="2269" t="s">
        <v>110</v>
      </c>
      <c r="I32" s="2270" t="s">
        <v>110</v>
      </c>
      <c r="J32" s="2269" t="s">
        <v>108</v>
      </c>
      <c r="K32" s="2269" t="s">
        <v>108</v>
      </c>
      <c r="L32" s="2269" t="s">
        <v>108</v>
      </c>
      <c r="M32" s="2269" t="s">
        <v>108</v>
      </c>
      <c r="N32" s="2270" t="s">
        <v>108</v>
      </c>
      <c r="O32" s="2269" t="s">
        <v>108</v>
      </c>
      <c r="P32" s="2269" t="s">
        <v>108</v>
      </c>
      <c r="Q32" s="2269" t="s">
        <v>108</v>
      </c>
      <c r="R32" s="2269" t="s">
        <v>108</v>
      </c>
      <c r="S32" s="2269" t="s">
        <v>108</v>
      </c>
      <c r="T32" s="2269" t="s">
        <v>108</v>
      </c>
      <c r="U32" s="2269" t="s">
        <v>108</v>
      </c>
      <c r="V32" s="2270" t="s">
        <v>108</v>
      </c>
      <c r="W32" s="2269" t="s">
        <v>110</v>
      </c>
      <c r="X32" s="2269" t="s">
        <v>110</v>
      </c>
      <c r="Y32" s="2269" t="s">
        <v>110</v>
      </c>
      <c r="Z32" s="2269" t="s">
        <v>109</v>
      </c>
      <c r="AA32" s="2270" t="s">
        <v>109</v>
      </c>
      <c r="AB32" s="2269" t="s">
        <v>108</v>
      </c>
      <c r="AC32" s="2269" t="s">
        <v>108</v>
      </c>
      <c r="AD32" s="2269" t="s">
        <v>108</v>
      </c>
      <c r="AE32" s="2270" t="s">
        <v>108</v>
      </c>
      <c r="AF32" s="2269" t="s">
        <v>108</v>
      </c>
      <c r="AG32" s="2269" t="s">
        <v>108</v>
      </c>
      <c r="AH32" s="2269" t="s">
        <v>108</v>
      </c>
      <c r="AI32" s="2270" t="s">
        <v>108</v>
      </c>
      <c r="AJ32" s="2283" t="s">
        <v>110</v>
      </c>
      <c r="AK32" s="2284" t="s">
        <v>110</v>
      </c>
      <c r="AL32" s="2269" t="s">
        <v>108</v>
      </c>
      <c r="AM32" s="2269" t="s">
        <v>108</v>
      </c>
      <c r="AN32" s="2269" t="s">
        <v>108</v>
      </c>
      <c r="AO32" s="2270" t="s">
        <v>108</v>
      </c>
      <c r="AP32" s="2269" t="s">
        <v>108</v>
      </c>
      <c r="AQ32" s="2269" t="s">
        <v>108</v>
      </c>
      <c r="AR32" s="2270" t="s">
        <v>108</v>
      </c>
      <c r="AS32" s="2269" t="s">
        <v>108</v>
      </c>
      <c r="AT32" s="2269" t="s">
        <v>108</v>
      </c>
      <c r="AU32" s="2269" t="s">
        <v>108</v>
      </c>
      <c r="AV32" s="2270" t="s">
        <v>108</v>
      </c>
      <c r="AW32" s="2269" t="s">
        <v>108</v>
      </c>
      <c r="AX32" s="2269" t="s">
        <v>108</v>
      </c>
      <c r="AY32" s="2269" t="s">
        <v>108</v>
      </c>
      <c r="AZ32" s="2269" t="s">
        <v>108</v>
      </c>
      <c r="BA32" s="2269" t="s">
        <v>108</v>
      </c>
    </row>
    <row r="33" ht="18.75" customHeight="1">
      <c r="A33" s="147"/>
      <c r="B33" s="644"/>
      <c r="C33" s="2311" t="s">
        <v>621</v>
      </c>
      <c r="D33" s="2269" t="s">
        <v>109</v>
      </c>
      <c r="E33" s="2270" t="s">
        <v>110</v>
      </c>
      <c r="F33" s="2269" t="s">
        <v>110</v>
      </c>
      <c r="G33" s="2269" t="s">
        <v>110</v>
      </c>
      <c r="H33" s="2269" t="s">
        <v>110</v>
      </c>
      <c r="I33" s="2270" t="s">
        <v>110</v>
      </c>
      <c r="J33" s="2269" t="s">
        <v>110</v>
      </c>
      <c r="K33" s="2269" t="s">
        <v>110</v>
      </c>
      <c r="L33" s="2269" t="s">
        <v>110</v>
      </c>
      <c r="M33" s="2269" t="s">
        <v>110</v>
      </c>
      <c r="N33" s="2270" t="s">
        <v>110</v>
      </c>
      <c r="O33" s="2269" t="s">
        <v>109</v>
      </c>
      <c r="P33" s="2269" t="s">
        <v>110</v>
      </c>
      <c r="Q33" s="2269" t="s">
        <v>109</v>
      </c>
      <c r="R33" s="2269" t="s">
        <v>110</v>
      </c>
      <c r="S33" s="2269" t="s">
        <v>110</v>
      </c>
      <c r="T33" s="2269" t="s">
        <v>110</v>
      </c>
      <c r="U33" s="2269" t="s">
        <v>110</v>
      </c>
      <c r="V33" s="2270" t="s">
        <v>110</v>
      </c>
      <c r="W33" s="2269" t="s">
        <v>110</v>
      </c>
      <c r="X33" s="2269" t="s">
        <v>110</v>
      </c>
      <c r="Y33" s="2269" t="s">
        <v>110</v>
      </c>
      <c r="Z33" s="2269" t="s">
        <v>109</v>
      </c>
      <c r="AA33" s="2270" t="s">
        <v>109</v>
      </c>
      <c r="AB33" s="2269" t="s">
        <v>110</v>
      </c>
      <c r="AC33" s="2269" t="s">
        <v>109</v>
      </c>
      <c r="AD33" s="2269" t="s">
        <v>109</v>
      </c>
      <c r="AE33" s="2270" t="s">
        <v>110</v>
      </c>
      <c r="AF33" s="2269" t="s">
        <v>109</v>
      </c>
      <c r="AG33" s="2269" t="s">
        <v>110</v>
      </c>
      <c r="AH33" s="2269" t="s">
        <v>110</v>
      </c>
      <c r="AI33" s="2270" t="s">
        <v>110</v>
      </c>
      <c r="AJ33" s="2283" t="s">
        <v>110</v>
      </c>
      <c r="AK33" s="2284" t="s">
        <v>110</v>
      </c>
      <c r="AL33" s="2269" t="s">
        <v>108</v>
      </c>
      <c r="AM33" s="2269" t="s">
        <v>108</v>
      </c>
      <c r="AN33" s="2269" t="s">
        <v>108</v>
      </c>
      <c r="AO33" s="2270" t="s">
        <v>108</v>
      </c>
      <c r="AP33" s="2269" t="s">
        <v>108</v>
      </c>
      <c r="AQ33" s="2269" t="s">
        <v>108</v>
      </c>
      <c r="AR33" s="2270" t="s">
        <v>108</v>
      </c>
      <c r="AS33" s="2269" t="s">
        <v>108</v>
      </c>
      <c r="AT33" s="2269" t="s">
        <v>108</v>
      </c>
      <c r="AU33" s="2269" t="s">
        <v>108</v>
      </c>
      <c r="AV33" s="2270" t="s">
        <v>108</v>
      </c>
      <c r="AW33" s="2269" t="s">
        <v>108</v>
      </c>
      <c r="AX33" s="2269" t="s">
        <v>108</v>
      </c>
      <c r="AY33" s="2269" t="s">
        <v>108</v>
      </c>
      <c r="AZ33" s="2269" t="s">
        <v>108</v>
      </c>
      <c r="BA33" s="2269" t="s">
        <v>108</v>
      </c>
    </row>
    <row r="34" ht="18.75" customHeight="1">
      <c r="A34" s="147"/>
      <c r="B34" s="644"/>
      <c r="C34" s="2312" t="s">
        <v>1293</v>
      </c>
      <c r="D34" s="2269" t="s">
        <v>110</v>
      </c>
      <c r="E34" s="2270" t="s">
        <v>110</v>
      </c>
      <c r="F34" s="2269" t="s">
        <v>110</v>
      </c>
      <c r="G34" s="2269" t="s">
        <v>110</v>
      </c>
      <c r="H34" s="2269" t="s">
        <v>110</v>
      </c>
      <c r="I34" s="2270" t="s">
        <v>110</v>
      </c>
      <c r="J34" s="2269" t="s">
        <v>108</v>
      </c>
      <c r="K34" s="2269" t="s">
        <v>108</v>
      </c>
      <c r="L34" s="2269" t="s">
        <v>108</v>
      </c>
      <c r="M34" s="2269" t="s">
        <v>108</v>
      </c>
      <c r="N34" s="2270" t="s">
        <v>108</v>
      </c>
      <c r="O34" s="2269" t="s">
        <v>119</v>
      </c>
      <c r="P34" s="2269" t="s">
        <v>119</v>
      </c>
      <c r="Q34" s="2269" t="s">
        <v>119</v>
      </c>
      <c r="R34" s="2269" t="s">
        <v>119</v>
      </c>
      <c r="S34" s="2269" t="s">
        <v>119</v>
      </c>
      <c r="T34" s="2269" t="s">
        <v>119</v>
      </c>
      <c r="U34" s="2269" t="s">
        <v>119</v>
      </c>
      <c r="V34" s="2270" t="s">
        <v>119</v>
      </c>
      <c r="W34" s="2269" t="s">
        <v>119</v>
      </c>
      <c r="X34" s="2269" t="s">
        <v>119</v>
      </c>
      <c r="Y34" s="2269" t="s">
        <v>119</v>
      </c>
      <c r="Z34" s="2269" t="s">
        <v>119</v>
      </c>
      <c r="AA34" s="2270" t="s">
        <v>119</v>
      </c>
      <c r="AB34" s="2269" t="s">
        <v>119</v>
      </c>
      <c r="AC34" s="2269" t="s">
        <v>119</v>
      </c>
      <c r="AD34" s="2269" t="s">
        <v>119</v>
      </c>
      <c r="AE34" s="2270" t="s">
        <v>119</v>
      </c>
      <c r="AF34" s="2269" t="s">
        <v>119</v>
      </c>
      <c r="AG34" s="2269" t="s">
        <v>119</v>
      </c>
      <c r="AH34" s="2269" t="s">
        <v>119</v>
      </c>
      <c r="AI34" s="2270" t="s">
        <v>119</v>
      </c>
      <c r="AJ34" s="2277" t="s">
        <v>119</v>
      </c>
      <c r="AK34" s="2278" t="s">
        <v>119</v>
      </c>
      <c r="AL34" s="2269" t="s">
        <v>119</v>
      </c>
      <c r="AM34" s="2269" t="s">
        <v>119</v>
      </c>
      <c r="AN34" s="2269" t="s">
        <v>119</v>
      </c>
      <c r="AO34" s="2270" t="s">
        <v>119</v>
      </c>
      <c r="AP34" s="2269" t="s">
        <v>119</v>
      </c>
      <c r="AQ34" s="2269" t="s">
        <v>119</v>
      </c>
      <c r="AR34" s="2270" t="s">
        <v>119</v>
      </c>
      <c r="AS34" s="2269" t="s">
        <v>119</v>
      </c>
      <c r="AT34" s="2269" t="s">
        <v>119</v>
      </c>
      <c r="AU34" s="2269" t="s">
        <v>119</v>
      </c>
      <c r="AV34" s="2270" t="s">
        <v>119</v>
      </c>
      <c r="AW34" s="2269" t="s">
        <v>119</v>
      </c>
      <c r="AX34" s="2269" t="s">
        <v>119</v>
      </c>
      <c r="AY34" s="2269" t="s">
        <v>119</v>
      </c>
      <c r="AZ34" s="2269" t="s">
        <v>119</v>
      </c>
      <c r="BA34" s="2269" t="s">
        <v>119</v>
      </c>
    </row>
    <row r="35" ht="18.75" customHeight="1">
      <c r="A35" s="147"/>
      <c r="B35" s="644"/>
      <c r="C35" s="2313" t="s">
        <v>691</v>
      </c>
      <c r="D35" s="2269" t="s">
        <v>119</v>
      </c>
      <c r="E35" s="2270" t="s">
        <v>119</v>
      </c>
      <c r="F35" s="2269" t="s">
        <v>119</v>
      </c>
      <c r="G35" s="2269" t="s">
        <v>119</v>
      </c>
      <c r="H35" s="2269" t="s">
        <v>119</v>
      </c>
      <c r="I35" s="2270" t="s">
        <v>119</v>
      </c>
      <c r="J35" s="2269" t="s">
        <v>119</v>
      </c>
      <c r="K35" s="2269" t="s">
        <v>119</v>
      </c>
      <c r="L35" s="2269" t="s">
        <v>119</v>
      </c>
      <c r="M35" s="2269" t="s">
        <v>119</v>
      </c>
      <c r="N35" s="2270" t="s">
        <v>119</v>
      </c>
      <c r="O35" s="2269" t="s">
        <v>109</v>
      </c>
      <c r="P35" s="2269" t="s">
        <v>110</v>
      </c>
      <c r="Q35" s="2269" t="s">
        <v>109</v>
      </c>
      <c r="R35" s="2269" t="s">
        <v>110</v>
      </c>
      <c r="S35" s="2269" t="s">
        <v>110</v>
      </c>
      <c r="T35" s="2269" t="s">
        <v>110</v>
      </c>
      <c r="U35" s="2269" t="s">
        <v>110</v>
      </c>
      <c r="V35" s="2270" t="s">
        <v>110</v>
      </c>
      <c r="W35" s="2269" t="s">
        <v>110</v>
      </c>
      <c r="X35" s="2269" t="s">
        <v>110</v>
      </c>
      <c r="Y35" s="2269" t="s">
        <v>110</v>
      </c>
      <c r="Z35" s="2269" t="s">
        <v>109</v>
      </c>
      <c r="AA35" s="2270" t="s">
        <v>109</v>
      </c>
      <c r="AB35" s="2269" t="s">
        <v>108</v>
      </c>
      <c r="AC35" s="2269" t="s">
        <v>108</v>
      </c>
      <c r="AD35" s="2269" t="s">
        <v>108</v>
      </c>
      <c r="AE35" s="2270" t="s">
        <v>108</v>
      </c>
      <c r="AF35" s="2269" t="s">
        <v>108</v>
      </c>
      <c r="AG35" s="2269" t="s">
        <v>108</v>
      </c>
      <c r="AH35" s="2269" t="s">
        <v>108</v>
      </c>
      <c r="AI35" s="2270" t="s">
        <v>108</v>
      </c>
      <c r="AJ35" s="2274" t="s">
        <v>108</v>
      </c>
      <c r="AK35" s="2275" t="s">
        <v>108</v>
      </c>
      <c r="AL35" s="2269" t="s">
        <v>109</v>
      </c>
      <c r="AM35" s="2269" t="s">
        <v>110</v>
      </c>
      <c r="AN35" s="2269" t="s">
        <v>110</v>
      </c>
      <c r="AO35" s="2270" t="s">
        <v>109</v>
      </c>
      <c r="AP35" s="2269" t="s">
        <v>108</v>
      </c>
      <c r="AQ35" s="2269" t="s">
        <v>108</v>
      </c>
      <c r="AR35" s="2270" t="s">
        <v>108</v>
      </c>
      <c r="AS35" s="2269" t="s">
        <v>108</v>
      </c>
      <c r="AT35" s="2269" t="s">
        <v>108</v>
      </c>
      <c r="AU35" s="2269" t="s">
        <v>108</v>
      </c>
      <c r="AV35" s="2270" t="s">
        <v>108</v>
      </c>
      <c r="AW35" s="2269" t="s">
        <v>108</v>
      </c>
      <c r="AX35" s="2269" t="s">
        <v>108</v>
      </c>
      <c r="AY35" s="2269" t="s">
        <v>108</v>
      </c>
      <c r="AZ35" s="2269" t="s">
        <v>108</v>
      </c>
      <c r="BA35" s="2269" t="s">
        <v>108</v>
      </c>
    </row>
    <row r="36" ht="18.75" customHeight="1">
      <c r="A36" s="147"/>
      <c r="B36" s="644"/>
      <c r="C36" s="2314" t="s">
        <v>122</v>
      </c>
      <c r="D36" s="2269" t="s">
        <v>109</v>
      </c>
      <c r="E36" s="2270" t="s">
        <v>110</v>
      </c>
      <c r="F36" s="2269" t="s">
        <v>110</v>
      </c>
      <c r="G36" s="2269" t="s">
        <v>110</v>
      </c>
      <c r="H36" s="2269" t="s">
        <v>110</v>
      </c>
      <c r="I36" s="2270" t="s">
        <v>110</v>
      </c>
      <c r="J36" s="2269" t="s">
        <v>110</v>
      </c>
      <c r="K36" s="2269" t="s">
        <v>110</v>
      </c>
      <c r="L36" s="2269" t="s">
        <v>110</v>
      </c>
      <c r="M36" s="2269" t="s">
        <v>110</v>
      </c>
      <c r="N36" s="2270" t="s">
        <v>110</v>
      </c>
      <c r="O36" s="2269" t="s">
        <v>109</v>
      </c>
      <c r="P36" s="2269" t="s">
        <v>110</v>
      </c>
      <c r="Q36" s="2269" t="s">
        <v>109</v>
      </c>
      <c r="R36" s="2269" t="s">
        <v>110</v>
      </c>
      <c r="S36" s="2269" t="s">
        <v>110</v>
      </c>
      <c r="T36" s="2269" t="s">
        <v>110</v>
      </c>
      <c r="U36" s="2269" t="s">
        <v>110</v>
      </c>
      <c r="V36" s="2270" t="s">
        <v>110</v>
      </c>
      <c r="W36" s="2269" t="s">
        <v>110</v>
      </c>
      <c r="X36" s="2269" t="s">
        <v>110</v>
      </c>
      <c r="Y36" s="2269" t="s">
        <v>110</v>
      </c>
      <c r="Z36" s="2269" t="s">
        <v>109</v>
      </c>
      <c r="AA36" s="2270" t="s">
        <v>109</v>
      </c>
      <c r="AB36" s="2269" t="s">
        <v>110</v>
      </c>
      <c r="AC36" s="2269" t="s">
        <v>109</v>
      </c>
      <c r="AD36" s="2269" t="s">
        <v>109</v>
      </c>
      <c r="AE36" s="2270" t="s">
        <v>110</v>
      </c>
      <c r="AF36" s="2269" t="s">
        <v>109</v>
      </c>
      <c r="AG36" s="2269" t="s">
        <v>110</v>
      </c>
      <c r="AH36" s="2269" t="s">
        <v>110</v>
      </c>
      <c r="AI36" s="2270" t="s">
        <v>110</v>
      </c>
      <c r="AJ36" s="2283" t="s">
        <v>110</v>
      </c>
      <c r="AK36" s="2284" t="s">
        <v>110</v>
      </c>
      <c r="AL36" s="2269" t="s">
        <v>109</v>
      </c>
      <c r="AM36" s="2269" t="s">
        <v>110</v>
      </c>
      <c r="AN36" s="2269" t="s">
        <v>110</v>
      </c>
      <c r="AO36" s="2270" t="s">
        <v>109</v>
      </c>
      <c r="AP36" s="2269" t="s">
        <v>109</v>
      </c>
      <c r="AQ36" s="2269" t="s">
        <v>109</v>
      </c>
      <c r="AR36" s="2270" t="s">
        <v>110</v>
      </c>
      <c r="AS36" s="2269" t="s">
        <v>110</v>
      </c>
      <c r="AT36" s="2269" t="s">
        <v>110</v>
      </c>
      <c r="AU36" s="2269" t="s">
        <v>110</v>
      </c>
      <c r="AV36" s="2270" t="s">
        <v>110</v>
      </c>
      <c r="AW36" s="2269" t="s">
        <v>110</v>
      </c>
      <c r="AX36" s="2269" t="s">
        <v>117</v>
      </c>
      <c r="AY36" s="2269" t="s">
        <v>110</v>
      </c>
      <c r="AZ36" s="2269" t="s">
        <v>110</v>
      </c>
      <c r="BA36" s="2269" t="s">
        <v>110</v>
      </c>
    </row>
    <row r="37" ht="18.75" customHeight="1">
      <c r="A37" s="147"/>
      <c r="B37" s="644"/>
      <c r="C37" s="2312" t="s">
        <v>115</v>
      </c>
      <c r="D37" s="2269" t="s">
        <v>119</v>
      </c>
      <c r="E37" s="2270" t="s">
        <v>119</v>
      </c>
      <c r="F37" s="2269" t="s">
        <v>119</v>
      </c>
      <c r="G37" s="2269" t="s">
        <v>119</v>
      </c>
      <c r="H37" s="2269" t="s">
        <v>119</v>
      </c>
      <c r="I37" s="2270" t="s">
        <v>119</v>
      </c>
      <c r="J37" s="2269" t="s">
        <v>110</v>
      </c>
      <c r="K37" s="2269" t="s">
        <v>110</v>
      </c>
      <c r="L37" s="2269" t="s">
        <v>110</v>
      </c>
      <c r="M37" s="2269" t="s">
        <v>110</v>
      </c>
      <c r="N37" s="2270" t="s">
        <v>110</v>
      </c>
      <c r="O37" s="2269" t="s">
        <v>108</v>
      </c>
      <c r="P37" s="2269" t="s">
        <v>108</v>
      </c>
      <c r="Q37" s="2269" t="s">
        <v>108</v>
      </c>
      <c r="R37" s="2269" t="s">
        <v>108</v>
      </c>
      <c r="S37" s="2269" t="s">
        <v>108</v>
      </c>
      <c r="T37" s="2269" t="s">
        <v>108</v>
      </c>
      <c r="U37" s="2269" t="s">
        <v>108</v>
      </c>
      <c r="V37" s="2270" t="s">
        <v>108</v>
      </c>
      <c r="W37" s="2269" t="s">
        <v>108</v>
      </c>
      <c r="X37" s="2269" t="s">
        <v>108</v>
      </c>
      <c r="Y37" s="2269" t="s">
        <v>108</v>
      </c>
      <c r="Z37" s="2269" t="s">
        <v>108</v>
      </c>
      <c r="AA37" s="2270" t="s">
        <v>108</v>
      </c>
      <c r="AB37" s="2269" t="s">
        <v>108</v>
      </c>
      <c r="AC37" s="2269" t="s">
        <v>108</v>
      </c>
      <c r="AD37" s="2269" t="s">
        <v>108</v>
      </c>
      <c r="AE37" s="2270" t="s">
        <v>108</v>
      </c>
      <c r="AF37" s="2269" t="s">
        <v>108</v>
      </c>
      <c r="AG37" s="2269" t="s">
        <v>108</v>
      </c>
      <c r="AH37" s="2269" t="s">
        <v>108</v>
      </c>
      <c r="AI37" s="2270" t="s">
        <v>108</v>
      </c>
      <c r="AJ37" s="2274" t="s">
        <v>108</v>
      </c>
      <c r="AK37" s="2275" t="s">
        <v>108</v>
      </c>
      <c r="AL37" s="2269" t="s">
        <v>109</v>
      </c>
      <c r="AM37" s="2269" t="s">
        <v>110</v>
      </c>
      <c r="AN37" s="2269" t="s">
        <v>110</v>
      </c>
      <c r="AO37" s="2270" t="s">
        <v>109</v>
      </c>
      <c r="AP37" s="2269" t="s">
        <v>108</v>
      </c>
      <c r="AQ37" s="2269" t="s">
        <v>108</v>
      </c>
      <c r="AR37" s="2270" t="s">
        <v>108</v>
      </c>
      <c r="AS37" s="2269" t="s">
        <v>119</v>
      </c>
      <c r="AT37" s="2269" t="s">
        <v>119</v>
      </c>
      <c r="AU37" s="2269" t="s">
        <v>119</v>
      </c>
      <c r="AV37" s="2270" t="s">
        <v>119</v>
      </c>
      <c r="AW37" s="2269" t="s">
        <v>119</v>
      </c>
      <c r="AX37" s="2269" t="s">
        <v>119</v>
      </c>
      <c r="AY37" s="2269" t="s">
        <v>119</v>
      </c>
      <c r="AZ37" s="2269" t="s">
        <v>119</v>
      </c>
      <c r="BA37" s="2270" t="s">
        <v>119</v>
      </c>
    </row>
    <row r="38" ht="18.75" customHeight="1">
      <c r="A38" s="147"/>
      <c r="B38" s="658"/>
      <c r="C38" s="2313" t="s">
        <v>617</v>
      </c>
      <c r="D38" s="2269" t="s">
        <v>119</v>
      </c>
      <c r="E38" s="2270" t="s">
        <v>119</v>
      </c>
      <c r="F38" s="2269" t="s">
        <v>119</v>
      </c>
      <c r="G38" s="2269" t="s">
        <v>119</v>
      </c>
      <c r="H38" s="2269" t="s">
        <v>119</v>
      </c>
      <c r="I38" s="2270" t="s">
        <v>119</v>
      </c>
      <c r="J38" s="2269" t="s">
        <v>119</v>
      </c>
      <c r="K38" s="2269" t="s">
        <v>119</v>
      </c>
      <c r="L38" s="2269" t="s">
        <v>119</v>
      </c>
      <c r="M38" s="2269" t="s">
        <v>119</v>
      </c>
      <c r="N38" s="2270" t="s">
        <v>119</v>
      </c>
      <c r="O38" s="2269" t="s">
        <v>119</v>
      </c>
      <c r="P38" s="2269" t="s">
        <v>119</v>
      </c>
      <c r="Q38" s="2269" t="s">
        <v>119</v>
      </c>
      <c r="R38" s="2269" t="s">
        <v>119</v>
      </c>
      <c r="S38" s="2269" t="s">
        <v>119</v>
      </c>
      <c r="T38" s="2269" t="s">
        <v>119</v>
      </c>
      <c r="U38" s="2269" t="s">
        <v>119</v>
      </c>
      <c r="V38" s="2270" t="s">
        <v>119</v>
      </c>
      <c r="W38" s="2269" t="s">
        <v>119</v>
      </c>
      <c r="X38" s="2269" t="s">
        <v>119</v>
      </c>
      <c r="Y38" s="2269" t="s">
        <v>119</v>
      </c>
      <c r="Z38" s="2269" t="s">
        <v>119</v>
      </c>
      <c r="AA38" s="2270" t="s">
        <v>119</v>
      </c>
      <c r="AB38" s="2269" t="s">
        <v>119</v>
      </c>
      <c r="AC38" s="2269" t="s">
        <v>119</v>
      </c>
      <c r="AD38" s="2269" t="s">
        <v>119</v>
      </c>
      <c r="AE38" s="2270" t="s">
        <v>119</v>
      </c>
      <c r="AF38" s="2269" t="s">
        <v>119</v>
      </c>
      <c r="AG38" s="2269" t="s">
        <v>119</v>
      </c>
      <c r="AH38" s="2269" t="s">
        <v>119</v>
      </c>
      <c r="AI38" s="2270" t="s">
        <v>119</v>
      </c>
      <c r="AJ38" s="2277" t="s">
        <v>119</v>
      </c>
      <c r="AK38" s="2278" t="s">
        <v>119</v>
      </c>
      <c r="AL38" s="2269" t="s">
        <v>119</v>
      </c>
      <c r="AM38" s="2269" t="s">
        <v>119</v>
      </c>
      <c r="AN38" s="2269" t="s">
        <v>119</v>
      </c>
      <c r="AO38" s="2270" t="s">
        <v>119</v>
      </c>
      <c r="AP38" s="2269" t="s">
        <v>119</v>
      </c>
      <c r="AQ38" s="2269" t="s">
        <v>119</v>
      </c>
      <c r="AR38" s="2270" t="s">
        <v>119</v>
      </c>
      <c r="AS38" s="2269" t="s">
        <v>110</v>
      </c>
      <c r="AT38" s="2269" t="s">
        <v>110</v>
      </c>
      <c r="AU38" s="2269" t="s">
        <v>110</v>
      </c>
      <c r="AV38" s="2270" t="s">
        <v>110</v>
      </c>
      <c r="AW38" s="2269" t="s">
        <v>110</v>
      </c>
      <c r="AX38" s="2269" t="s">
        <v>117</v>
      </c>
      <c r="AY38" s="2269" t="s">
        <v>110</v>
      </c>
      <c r="AZ38" s="2269" t="s">
        <v>110</v>
      </c>
      <c r="BA38" s="2269" t="s">
        <v>110</v>
      </c>
    </row>
    <row r="39" ht="18.75" customHeight="1">
      <c r="A39" s="147"/>
      <c r="B39" s="2315" t="s">
        <v>452</v>
      </c>
      <c r="C39" s="2316" t="s">
        <v>1245</v>
      </c>
      <c r="D39" s="2269" t="s">
        <v>109</v>
      </c>
      <c r="E39" s="2270" t="s">
        <v>109</v>
      </c>
      <c r="F39" s="2269" t="s">
        <v>109</v>
      </c>
      <c r="G39" s="2269" t="s">
        <v>110</v>
      </c>
      <c r="H39" s="2269" t="s">
        <v>109</v>
      </c>
      <c r="I39" s="2270" t="s">
        <v>109</v>
      </c>
      <c r="J39" s="2269" t="s">
        <v>110</v>
      </c>
      <c r="K39" s="2269" t="s">
        <v>109</v>
      </c>
      <c r="L39" s="2269" t="s">
        <v>109</v>
      </c>
      <c r="M39" s="2269" t="s">
        <v>109</v>
      </c>
      <c r="N39" s="2270" t="s">
        <v>109</v>
      </c>
      <c r="O39" s="2269" t="s">
        <v>110</v>
      </c>
      <c r="P39" s="2269" t="s">
        <v>109</v>
      </c>
      <c r="Q39" s="2269" t="s">
        <v>110</v>
      </c>
      <c r="R39" s="2269" t="s">
        <v>109</v>
      </c>
      <c r="S39" s="2269" t="s">
        <v>110</v>
      </c>
      <c r="T39" s="2269" t="s">
        <v>110</v>
      </c>
      <c r="U39" s="2269" t="s">
        <v>109</v>
      </c>
      <c r="V39" s="2270" t="s">
        <v>109</v>
      </c>
      <c r="W39" s="2269" t="s">
        <v>109</v>
      </c>
      <c r="X39" s="2269" t="s">
        <v>109</v>
      </c>
      <c r="Y39" s="2269" t="s">
        <v>109</v>
      </c>
      <c r="Z39" s="2269" t="s">
        <v>109</v>
      </c>
      <c r="AA39" s="2270" t="s">
        <v>109</v>
      </c>
      <c r="AB39" s="2269" t="s">
        <v>108</v>
      </c>
      <c r="AC39" s="2269" t="s">
        <v>108</v>
      </c>
      <c r="AD39" s="2269" t="s">
        <v>108</v>
      </c>
      <c r="AE39" s="2270" t="s">
        <v>108</v>
      </c>
      <c r="AF39" s="2269" t="s">
        <v>110</v>
      </c>
      <c r="AG39" s="2269" t="s">
        <v>109</v>
      </c>
      <c r="AH39" s="2269" t="s">
        <v>109</v>
      </c>
      <c r="AI39" s="2270" t="s">
        <v>109</v>
      </c>
      <c r="AJ39" s="2274" t="s">
        <v>108</v>
      </c>
      <c r="AK39" s="2275" t="s">
        <v>108</v>
      </c>
      <c r="AL39" s="2269" t="s">
        <v>108</v>
      </c>
      <c r="AM39" s="2269" t="s">
        <v>108</v>
      </c>
      <c r="AN39" s="2269" t="s">
        <v>108</v>
      </c>
      <c r="AO39" s="2270" t="s">
        <v>108</v>
      </c>
      <c r="AP39" s="2269" t="s">
        <v>108</v>
      </c>
      <c r="AQ39" s="2269" t="s">
        <v>108</v>
      </c>
      <c r="AR39" s="2270" t="s">
        <v>108</v>
      </c>
      <c r="AS39" s="2269" t="s">
        <v>108</v>
      </c>
      <c r="AT39" s="2269" t="s">
        <v>108</v>
      </c>
      <c r="AU39" s="2269" t="s">
        <v>108</v>
      </c>
      <c r="AV39" s="2270" t="s">
        <v>108</v>
      </c>
      <c r="AW39" s="2269" t="s">
        <v>110</v>
      </c>
      <c r="AX39" s="2269" t="s">
        <v>110</v>
      </c>
      <c r="AY39" s="2269" t="s">
        <v>109</v>
      </c>
      <c r="AZ39" s="2269" t="s">
        <v>109</v>
      </c>
      <c r="BA39" s="2269" t="s">
        <v>109</v>
      </c>
    </row>
    <row r="40" ht="18.75" customHeight="1">
      <c r="A40" s="147"/>
      <c r="B40" s="2317" t="s">
        <v>458</v>
      </c>
      <c r="C40" s="2318" t="s">
        <v>155</v>
      </c>
      <c r="D40" s="2269" t="s">
        <v>109</v>
      </c>
      <c r="E40" s="2270" t="s">
        <v>110</v>
      </c>
      <c r="F40" s="2269" t="s">
        <v>110</v>
      </c>
      <c r="G40" s="2269" t="s">
        <v>110</v>
      </c>
      <c r="H40" s="2269" t="s">
        <v>110</v>
      </c>
      <c r="I40" s="2270" t="s">
        <v>109</v>
      </c>
      <c r="J40" s="2269" t="s">
        <v>110</v>
      </c>
      <c r="K40" s="2269" t="s">
        <v>110</v>
      </c>
      <c r="L40" s="2269" t="s">
        <v>110</v>
      </c>
      <c r="M40" s="2269" t="s">
        <v>117</v>
      </c>
      <c r="N40" s="2270" t="s">
        <v>109</v>
      </c>
      <c r="O40" s="2269" t="s">
        <v>110</v>
      </c>
      <c r="P40" s="2269" t="s">
        <v>110</v>
      </c>
      <c r="Q40" s="2269" t="s">
        <v>109</v>
      </c>
      <c r="R40" s="2269" t="s">
        <v>109</v>
      </c>
      <c r="S40" s="2269" t="s">
        <v>110</v>
      </c>
      <c r="T40" s="2269" t="s">
        <v>110</v>
      </c>
      <c r="U40" s="2269" t="s">
        <v>110</v>
      </c>
      <c r="V40" s="2270" t="s">
        <v>109</v>
      </c>
      <c r="W40" s="2269" t="s">
        <v>110</v>
      </c>
      <c r="X40" s="2269" t="s">
        <v>110</v>
      </c>
      <c r="Y40" s="2269" t="s">
        <v>110</v>
      </c>
      <c r="Z40" s="2269" t="s">
        <v>109</v>
      </c>
      <c r="AA40" s="2270" t="s">
        <v>117</v>
      </c>
      <c r="AB40" s="2269" t="s">
        <v>109</v>
      </c>
      <c r="AC40" s="2269" t="s">
        <v>110</v>
      </c>
      <c r="AD40" s="2269" t="s">
        <v>109</v>
      </c>
      <c r="AE40" s="2270" t="s">
        <v>110</v>
      </c>
      <c r="AF40" s="2269" t="s">
        <v>110</v>
      </c>
      <c r="AG40" s="2269" t="s">
        <v>110</v>
      </c>
      <c r="AH40" s="2269" t="s">
        <v>110</v>
      </c>
      <c r="AI40" s="2270" t="s">
        <v>110</v>
      </c>
      <c r="AJ40" s="2319" t="s">
        <v>110</v>
      </c>
      <c r="AK40" s="2320" t="s">
        <v>110</v>
      </c>
      <c r="AL40" s="2269" t="s">
        <v>109</v>
      </c>
      <c r="AM40" s="2269" t="s">
        <v>109</v>
      </c>
      <c r="AN40" s="2269" t="s">
        <v>110</v>
      </c>
      <c r="AO40" s="2270" t="s">
        <v>110</v>
      </c>
      <c r="AP40" s="2269" t="s">
        <v>109</v>
      </c>
      <c r="AQ40" s="2269" t="s">
        <v>110</v>
      </c>
      <c r="AR40" s="2270" t="s">
        <v>109</v>
      </c>
      <c r="AS40" s="2269" t="s">
        <v>109</v>
      </c>
      <c r="AT40" s="2269" t="s">
        <v>110</v>
      </c>
      <c r="AU40" s="2269" t="s">
        <v>110</v>
      </c>
      <c r="AV40" s="2270" t="s">
        <v>109</v>
      </c>
      <c r="AW40" s="2269" t="s">
        <v>110</v>
      </c>
      <c r="AX40" s="2269" t="s">
        <v>109</v>
      </c>
      <c r="AY40" s="2269" t="s">
        <v>109</v>
      </c>
      <c r="AZ40" s="2269" t="s">
        <v>109</v>
      </c>
      <c r="BA40" s="2269" t="s">
        <v>109</v>
      </c>
    </row>
    <row r="41" ht="18.75" customHeight="1">
      <c r="A41" s="184"/>
      <c r="B41" s="2321" t="s">
        <v>56</v>
      </c>
      <c r="C41" s="2322" t="s">
        <v>662</v>
      </c>
      <c r="D41" s="2269" t="s">
        <v>119</v>
      </c>
      <c r="E41" s="2270" t="s">
        <v>119</v>
      </c>
      <c r="F41" s="2269" t="s">
        <v>119</v>
      </c>
      <c r="G41" s="2269" t="s">
        <v>119</v>
      </c>
      <c r="H41" s="2269" t="s">
        <v>119</v>
      </c>
      <c r="I41" s="2270" t="s">
        <v>119</v>
      </c>
      <c r="J41" s="2269" t="s">
        <v>119</v>
      </c>
      <c r="K41" s="2269" t="s">
        <v>119</v>
      </c>
      <c r="L41" s="2269" t="s">
        <v>119</v>
      </c>
      <c r="M41" s="2269" t="s">
        <v>119</v>
      </c>
      <c r="N41" s="2270" t="s">
        <v>119</v>
      </c>
      <c r="O41" s="2269" t="s">
        <v>119</v>
      </c>
      <c r="P41" s="2269" t="s">
        <v>119</v>
      </c>
      <c r="Q41" s="2269" t="s">
        <v>119</v>
      </c>
      <c r="R41" s="2269" t="s">
        <v>119</v>
      </c>
      <c r="S41" s="2269" t="s">
        <v>119</v>
      </c>
      <c r="T41" s="2269" t="s">
        <v>119</v>
      </c>
      <c r="U41" s="2269" t="s">
        <v>119</v>
      </c>
      <c r="V41" s="2270" t="s">
        <v>119</v>
      </c>
      <c r="W41" s="2269" t="s">
        <v>119</v>
      </c>
      <c r="X41" s="2269" t="s">
        <v>119</v>
      </c>
      <c r="Y41" s="2269" t="s">
        <v>119</v>
      </c>
      <c r="Z41" s="2269" t="s">
        <v>119</v>
      </c>
      <c r="AA41" s="2270" t="s">
        <v>119</v>
      </c>
      <c r="AB41" s="2269" t="s">
        <v>119</v>
      </c>
      <c r="AC41" s="2269" t="s">
        <v>119</v>
      </c>
      <c r="AD41" s="2269" t="s">
        <v>119</v>
      </c>
      <c r="AE41" s="2270" t="s">
        <v>119</v>
      </c>
      <c r="AF41" s="2269" t="s">
        <v>119</v>
      </c>
      <c r="AG41" s="2269" t="s">
        <v>119</v>
      </c>
      <c r="AH41" s="2269" t="s">
        <v>119</v>
      </c>
      <c r="AI41" s="2270" t="s">
        <v>119</v>
      </c>
      <c r="AJ41" s="2277" t="s">
        <v>119</v>
      </c>
      <c r="AK41" s="2278" t="s">
        <v>119</v>
      </c>
      <c r="AL41" s="2269" t="s">
        <v>119</v>
      </c>
      <c r="AM41" s="2269" t="s">
        <v>119</v>
      </c>
      <c r="AN41" s="2269" t="s">
        <v>119</v>
      </c>
      <c r="AO41" s="2270" t="s">
        <v>119</v>
      </c>
      <c r="AP41" s="2269" t="s">
        <v>119</v>
      </c>
      <c r="AQ41" s="2269" t="s">
        <v>119</v>
      </c>
      <c r="AR41" s="2270" t="s">
        <v>119</v>
      </c>
      <c r="AS41" s="2269" t="s">
        <v>119</v>
      </c>
      <c r="AT41" s="2269" t="s">
        <v>119</v>
      </c>
      <c r="AU41" s="2269" t="s">
        <v>119</v>
      </c>
      <c r="AV41" s="2270" t="s">
        <v>119</v>
      </c>
      <c r="AW41" s="2269" t="s">
        <v>110</v>
      </c>
      <c r="AX41" s="2269" t="s">
        <v>110</v>
      </c>
      <c r="AY41" s="2269" t="s">
        <v>110</v>
      </c>
      <c r="AZ41" s="2269" t="s">
        <v>110</v>
      </c>
      <c r="BA41" s="2269" t="s">
        <v>110</v>
      </c>
    </row>
    <row r="42" ht="11.25" customHeight="1">
      <c r="A42" s="2323"/>
      <c r="B42" s="2324"/>
      <c r="C42" s="2325"/>
      <c r="D42" s="2006" t="str">
        <f t="shared" ref="D42:BA42" si="2">CONCATENATE("{""status"": ", IF(GT(D43, D44), """aangenomen""", """verworpen"""), ", ""title"": """, D5, """, ""url"": """,D30  , """, ""voor"":", D43,", ""tegen"": ", D44, ", ""onthouden"":", D45, "}")</f>
        <v>{"status": "verworpen", "title": "M0076", "url": "https://www.reddit.com/r/RMTK/comments/c8d1ja/m0076_motie_tot_uitdelen_oordoppen_bij_festivals/", "voor":7, "tegen": 16, "onthouden":1}</v>
      </c>
      <c r="E42" s="2009" t="str">
        <f t="shared" si="2"/>
        <v>{"status": "aangenomen", "title": "W0028", "url": "https://www.reddit.com/r/RMTK/comments/c8rc1h/w0028_wetswijziging_tot_aanvulling_op_de_wet/", "voor":23, "tegen": 1, "onthouden":0}</v>
      </c>
      <c r="F42" s="2007" t="str">
        <f t="shared" si="2"/>
        <v>{"status": "verworpen", "title": "M0077", "url": "https://www.reddit.com/r/RMTK/comments/caneu6/m0077_motie_tot_opstellen_van_klimaatnota/", "voor":11, "tegen": 13, "onthouden":0}</v>
      </c>
      <c r="G42" s="2007" t="str">
        <f t="shared" si="2"/>
        <v>{"status": "aangenomen", "title": "M0078", "url": "https://www.reddit.com/r/RMTK/comments/cb3edh/motie_tot_het_aanpakken_van_problemen_rondom_112/", "voor":22, "tegen": 2, "onthouden":0}</v>
      </c>
      <c r="H42" s="2007" t="str">
        <f t="shared" si="2"/>
        <v>{"status": "verworpen", "title": "M0079", "url": "https://www.reddit.com/r/RMTK/comments/cbwf92/m0079_motie_tot_uitvoering_m0050/", "voor":7, "tegen": 17, "onthouden":0}</v>
      </c>
      <c r="I42" s="2009" t="str">
        <f t="shared" si="2"/>
        <v>{"status": "aangenomen", "title": "W0029", "url": "https://www.reddit.com/r/RMTK/comments/cbidty/w0029_wijziging_van_het_burgerlijk_wetboek_boek_1/", "voor":12, "tegen": 11, "onthouden":1}</v>
      </c>
      <c r="J42" s="2007" t="str">
        <f t="shared" si="2"/>
        <v>{"status": "aangenomen", "title": "M0080", "url": "https://www.reddit.com/r/RMTK/comments/cdkiso/m0080_motie_tot_onderzoek_naar_circulair_maken/", "voor":16, "tegen": 4, "onthouden":0}</v>
      </c>
      <c r="K42" s="2007" t="str">
        <f t="shared" si="2"/>
        <v>{"status": "aangenomen", "title": "M0081", "url": "https://www.reddit.com/r/RMTK/comments/cdxunf/m0081_motie_tot_versimpeling_belastingsysteem/", "voor":18, "tegen": 2, "onthouden":0}</v>
      </c>
      <c r="L42" s="2007" t="str">
        <f t="shared" si="2"/>
        <v>{"status": "aangenomen", "title": "W0025", "url": "https://www.reddit.com/r/RMTK/comments/cee57r/w0025_tweede_lezingkoepelwet_kerncentrales/", "voor":19, "tegen": 1, "onthouden":0}</v>
      </c>
      <c r="M42" s="2007" t="str">
        <f t="shared" si="2"/>
        <v>{"status": "aangenomen", "title": "W0030", "url": "https://www.reddit.com/r/RMTK/comments/cedsei/w0030_wijziging_van_het_burgerlijk_wetboek_boek_1/", "voor":15, "tegen": 3, "onthouden":2}</v>
      </c>
      <c r="N42" s="2326" t="str">
        <f t="shared" si="2"/>
        <v>{"status": "aangenomen", "title": "W0031", "url": "https://www.reddit.com/r/RMTK/comments/cev17r/w0031_hernieuwde_klimaatwet_2019/", "voor":17, "tegen": 3, "onthouden":0}</v>
      </c>
      <c r="O42" s="2327" t="str">
        <f t="shared" si="2"/>
        <v>{"status": "verworpen", "title": "M0082", "url": "https://www.reddit.com/r/RMTK/comments/cgeui7/m0082_motie_tot_openbaar_maken_partijlidmaatschap/", "voor":8, "tegen": 12, "onthouden":0}</v>
      </c>
      <c r="P42" s="2328" t="str">
        <f t="shared" si="2"/>
        <v>{"status": "aangenomen", "title": "M0083", "url": "https://www.reddit.com/r/RMTK/comments/cgx23i/m0083m0086_moties_ingediend_bij_debat_over_de/", "voor":18, "tegen": 1, "onthouden":1}</v>
      </c>
      <c r="Q42" s="2328" t="str">
        <f t="shared" si="2"/>
        <v>{"status": "aangenomen", "title": "M0084", "url": "https://www.reddit.com/r/RMTK/comments/cgx23i/m0083m0086_moties_ingediend_bij_debat_over_de/", "voor":13, "tegen": 7, "onthouden":0}</v>
      </c>
      <c r="R42" s="2328" t="str">
        <f t="shared" si="2"/>
        <v>{"status": "aangenomen", "title": "M0085", "url": "https://www.reddit.com/r/RMTK/comments/cgx23i/m0083m0086_moties_ingediend_bij_debat_over_de/", "voor":16, "tegen": 4, "onthouden":0}</v>
      </c>
      <c r="S42" s="2328" t="str">
        <f t="shared" si="2"/>
        <v>{"status": "aangenomen", "title": "M0086", "url": "https://www.reddit.com/r/RMTK/comments/cgx23i/m0083m0086_moties_ingediend_bij_debat_over_de/", "voor":15, "tegen": 4, "onthouden":1}</v>
      </c>
      <c r="T42" s="2328" t="str">
        <f t="shared" si="2"/>
        <v>{"status": "aangenomen", "title": "M0087", "url": "https://www.reddit.com/r/RMTK/comments/cgx44w/m0087_motie_verduidelijking_en_samenvoeging/", "voor":19, "tegen": 0, "onthouden":1}</v>
      </c>
      <c r="U42" s="2328" t="str">
        <f t="shared" si="2"/>
        <v>{"status": "aangenomen", "title": "M0088", "url": "https://www.reddit.com/r/RMTK/comments/chp5na/m0088_motie_tot_verandering_regelgeving_regeling/", "voor":12, "tegen": 7, "onthouden":1}</v>
      </c>
      <c r="V42" s="2329" t="str">
        <f t="shared" si="2"/>
        <v>{"status": "aangenomen", "title": "W0032", "url": "https://www.reddit.com/r/RMTK/comments/cgethq/wetsvoorstel_tot_budgettaire_begroting/", "voor":17, "tegen": 3, "onthouden":0}</v>
      </c>
      <c r="W42" s="2328" t="str">
        <f t="shared" si="2"/>
        <v>{"status": "verworpen", "title": "M0089", "url": "https://www.reddit.com/r/RMTK/comments/cj9vrz/m0089_motie_met_het_verzoek_om_informatie_over/", "voor":6, "tegen": 16, "onthouden":0}</v>
      </c>
      <c r="X42" s="2328" t="str">
        <f t="shared" si="2"/>
        <v>{"status": "aangenomen", "title": "M0090", "url": "https://www.reddit.com/r/RMTK/comments/ckamkr/m0090_motie_tot_organisatie_van_een_diplomatieke/", "voor":19, "tegen": 3, "onthouden":0}</v>
      </c>
      <c r="Y42" s="2328" t="str">
        <f t="shared" si="2"/>
        <v>{"status": "aangenomen", "title": "M0091", "url": "https://www.reddit.com/r/RMTK/comments/ckpx42/m0091_motie_tot_erkenning_van_een_derde_geslacht/", "voor":19, "tegen": 2, "onthouden":1}</v>
      </c>
      <c r="Z42" s="2327" t="str">
        <f t="shared" si="2"/>
        <v>{"status": "verworpen", "title": "W0033-I", "url": "https://www.reddit.com/r/RMTK/comments/cjbw7f/w0033i_amendement_op_wet_erkenning_recht_op/", "voor":7, "tegen": 11, "onthouden":4}</v>
      </c>
      <c r="AA42" s="2329" t="str">
        <f t="shared" si="2"/>
        <v>{"status": "verworpen", "title": "W0034", "url": "https://www.reddit.com/r/RMTK/comments/ciktf7/w0034_wet_lobbyverbod/", "voor":2, "tegen": 18, "onthouden":2}</v>
      </c>
      <c r="AB42" s="2328" t="str">
        <f t="shared" si="2"/>
        <v>{"status": "aangenomen", "title": "M0092", "url": "https://www.reddit.com/r/RMTK/comments/cn3gr4/m0092_motie_tot_het_cre%C3%ABren_van_beschutte/", "voor":13, "tegen": 5, "onthouden":0}</v>
      </c>
      <c r="AC42" s="2328" t="str">
        <f t="shared" si="2"/>
        <v>{"status": "verworpen", "title": "M0093", "url": "https://www.reddit.com/r/RMTK/comments/cn3hgk/m0093_motie_tot_verdere_privatisering_abn_amro/", "voor":7, "tegen": 11, "onthouden":0}</v>
      </c>
      <c r="AD42" s="2328" t="str">
        <f t="shared" si="2"/>
        <v>{"status": "aangenomen", "title": "W0033", "url": "https://www.reddit.com/r/RMTK/comments/ch9l69/w0033_wet_erkenning_recht_op_voltooid_leven/", "voor":12, "tegen": 4, "onthouden":2}</v>
      </c>
      <c r="AE42" s="2329" t="str">
        <f t="shared" si="2"/>
        <v>{"status": "aangenomen", "title": "W0035-I", "url": "https://www.reddit.com/r/RMTK/comments/clxgpr/w0035i_amendement_op_wet_belasting_op_grote/", "voor":16, "tegen": 2, "onthouden":0}</v>
      </c>
      <c r="AF42" s="2328" t="str">
        <f t="shared" si="2"/>
        <v>{"status": "verworpen", "title": "M0094", "url": "https://www.reddit.com/r/RMTK/comments/cpw0f0/m0094_motie_vrijgezellenbelasting/", "voor":4, "tegen": 15, "onthouden":0}</v>
      </c>
      <c r="AG42" s="2328" t="str">
        <f t="shared" si="2"/>
        <v>{"status": "aangenomen", "title": "M0095", "url": "https://www.reddit.com/r/RMTK/comments/cqh410/m0095m0096_moties_over_datalek_rdw/", "voor":16, "tegen": 3, "onthouden":0}</v>
      </c>
      <c r="AH42" s="2328" t="str">
        <f t="shared" si="2"/>
        <v>{"status": "aangenomen", "title": "M0096", "url": "https://www.reddit.com/r/RMTK/comments/cqh410/m0095m0096_moties_over_datalek_rdw/", "voor":18, "tegen": 1, "onthouden":0}</v>
      </c>
      <c r="AI42" s="2329" t="str">
        <f t="shared" si="2"/>
        <v>{"status": "aangenomen", "title": "M0097", "url": "https://www.reddit.com/r/RMTK/comments/cr3z5o/m0097_motie_tot_evaluatie_van/", "voor":16, "tegen": 3, "onthouden":0}</v>
      </c>
      <c r="AJ42" s="2330" t="str">
        <f t="shared" si="2"/>
        <v>{"status": "aangenomen", "title": "M0098", "url": "https://www.reddit.com/r/RMTK/comments/csznc1/m0098_motie_tot_onderzoek_doen_naar_een/", "voor":19, "tegen": 0, "onthouden":0}</v>
      </c>
      <c r="AK42" s="2331" t="str">
        <f t="shared" si="2"/>
        <v>{"status": "aangenomen", "title": "M0099", "url": "https://www.reddit.com/r/RMTK/comments/ctxz1e/m0099_motie_tot_reductie_verdrinkingsdoden/", "voor":19, "tegen": 0, "onthouden":0}</v>
      </c>
      <c r="AL42" s="2328" t="str">
        <f t="shared" si="2"/>
        <v>{"status": "verworpen", "title": "M0100", "url": "https://www.reddit.com/r/RMTK/comments/cvous8/m0100_motie_tot_cre%C3%ABren_vergunning_voor_bezit/", "voor":2, "tegen": 18, "onthouden":0}</v>
      </c>
      <c r="AM42" s="2328" t="str">
        <f t="shared" si="2"/>
        <v>{"status": "aangenomen", "title": "M0101", "url": "https://www.reddit.com/r/RMTK/comments/cw5pmx/m0101_motie_tot_boycot_van_fout_vlees_en_foute/", "voor":14, "tegen": 6, "onthouden":0}</v>
      </c>
      <c r="AN42" s="2328" t="str">
        <f t="shared" si="2"/>
        <v>{"status": "aangenomen", "title": "W0036", "url": "https://www.reddit.com/r/RMTK/comments/cwp79y/w0036_wet_ter_erkenning_van_de_nederlandse/", "voor":19, "tegen": 1, "onthouden":0}</v>
      </c>
      <c r="AO42" s="2329" t="str">
        <f t="shared" si="2"/>
        <v>{"status": "verworpen", "title": "W0037", "url": "https://www.reddit.com/r/RMTK/comments/cx11b8/w0037_wetswijziging_wet_op_de_omzetbelasting_1968/", "voor":5, "tegen": 15, "onthouden":0}</v>
      </c>
      <c r="AP42" s="2328" t="str">
        <f t="shared" si="2"/>
        <v>{"status": "verworpen", "title": "M0102", "url": "https://www.reddit.com/r/RMTK/comments/cz88o9/m0102_motie_tot_gratis_maken_ov/", "voor":2, "tegen": 13, "onthouden":3}</v>
      </c>
      <c r="AQ42" s="2328" t="str">
        <f t="shared" si="2"/>
        <v>{"status": "verworpen", "title": "M0103", "url": "https://www.reddit.com/r/RMTK/comments/czpknp/m0103_motie_tot_herbenoeming_burgemeester_van/", "voor":2, "tegen": 16, "onthouden":0}</v>
      </c>
      <c r="AR42" s="2329" t="str">
        <f t="shared" si="2"/>
        <v>{"status": "aangenomen", "title": "W0038", "url": "https://www.reddit.com/r/RMTK/comments/cyt6r7/w0038_wetsvoorstel_tot_wijziging_van_de_wet_op_de/", "voor":16, "tegen": 2, "onthouden":0}</v>
      </c>
      <c r="AS42" s="2328" t="str">
        <f t="shared" si="2"/>
        <v>{"status": "aangenomen", "title": "M0104", "url": "https://www.reddit.com/r/RMTK/comments/d0it9u/m0104_motie_ter_bevordering_van_het_frysk_en/", "voor":13, "tegen": 4, "onthouden":0}</v>
      </c>
      <c r="AT42" s="2328" t="str">
        <f t="shared" si="2"/>
        <v>{"status": "aangenomen", "title": "M0105", "url": "https://www.reddit.com/r/RMTK/comments/d2x07x/m0105_motie_tot_europese_samenwerking_op_het/", "voor":17, "tegen": 0, "onthouden":0}</v>
      </c>
      <c r="AU42" s="2328" t="str">
        <f t="shared" si="2"/>
        <v>{"status": "aangenomen", "title": "M0106", "url": "https://www.reddit.com/r/RMTK/comments/d2x1rb/m0106_motie_tot_verbeteren_voedselveiligheid/", "voor":12, "tegen": 4, "onthouden":1}</v>
      </c>
      <c r="AV42" s="2329" t="str">
        <f t="shared" si="2"/>
        <v>{"status": "aangenomen", "title": "M0107", "url": "https://www.reddit.com/r/RMTK/comments/d37gxt/m0107_motie_tot_gelijk_visumbeleid_door_de/", "voor":16, "tegen": 1, "onthouden":0}</v>
      </c>
      <c r="AW42" s="2328" t="str">
        <f t="shared" si="2"/>
        <v>{"status": "verworpen", "title": "M0108", "url": "https://www.reddit.com/r/RMTK/comments/d55568/m0108_voorwaardelijke_motie_van_wantrouwen_jegens/", "voor":4, "tegen": 14, "onthouden":3}</v>
      </c>
      <c r="AX42" s="2328" t="str">
        <f t="shared" si="2"/>
        <v>{"status": "aangenomen", "title": "M0109", "url": "https://www.reddit.com/r/RMTK/comments/d5jbj5/m0109_motie_tot_gelijkstelling_vrijstelling_op/", "voor":10, "tegen": 8, "onthouden":3}</v>
      </c>
      <c r="AY42" s="2328" t="str">
        <f t="shared" si="2"/>
        <v>{"status": "aangenomen", "title": "M0110", "url": "https://www.reddit.com/r/RMTK/comments/d6jhpf/m0110_motie_tot_aanpassing_van_het_vuurwerkbesluit/", "voor":14, "tegen": 6, "onthouden":1}</v>
      </c>
      <c r="AZ42" s="2328" t="str">
        <f t="shared" si="2"/>
        <v>{"status": "aangenomen", "title": "W0039-I", "url": "https://www.reddit.com/r/RMTK/comments/d57042/w0039i_amendement_wetsvoorstel_versoepeling/", "voor":15, "tegen": 5, "onthouden":1}</v>
      </c>
      <c r="BA42" s="2328" t="str">
        <f t="shared" si="2"/>
        <v>{"status": "aangenomen", "title": "W0040", "url": "https://www.reddit.com/r/RMTK/comments/d6jji7/w0040_wet_register_openbare_hygi%C3%ABne_en/", "voor":15, "tegen": 5, "onthouden":1}</v>
      </c>
    </row>
    <row r="43" ht="18.0" customHeight="1">
      <c r="A43" s="2332" t="s">
        <v>158</v>
      </c>
      <c r="B43" s="2333" t="s">
        <v>110</v>
      </c>
      <c r="C43" s="44"/>
      <c r="D43" s="2334">
        <f t="shared" ref="D43:BA43" si="3">COUNTIF(D5:D40,"Voor")</f>
        <v>7</v>
      </c>
      <c r="E43" s="2334">
        <f t="shared" si="3"/>
        <v>23</v>
      </c>
      <c r="F43" s="2334">
        <f t="shared" si="3"/>
        <v>11</v>
      </c>
      <c r="G43" s="2334">
        <f t="shared" si="3"/>
        <v>22</v>
      </c>
      <c r="H43" s="2334">
        <f t="shared" si="3"/>
        <v>7</v>
      </c>
      <c r="I43" s="2334">
        <f t="shared" si="3"/>
        <v>12</v>
      </c>
      <c r="J43" s="2334">
        <f t="shared" si="3"/>
        <v>16</v>
      </c>
      <c r="K43" s="2334">
        <f t="shared" si="3"/>
        <v>18</v>
      </c>
      <c r="L43" s="2334">
        <f t="shared" si="3"/>
        <v>19</v>
      </c>
      <c r="M43" s="2334">
        <f t="shared" si="3"/>
        <v>15</v>
      </c>
      <c r="N43" s="2335">
        <f t="shared" si="3"/>
        <v>17</v>
      </c>
      <c r="O43" s="2336">
        <f t="shared" si="3"/>
        <v>8</v>
      </c>
      <c r="P43" s="2336">
        <f t="shared" si="3"/>
        <v>18</v>
      </c>
      <c r="Q43" s="2336">
        <f t="shared" si="3"/>
        <v>13</v>
      </c>
      <c r="R43" s="2336">
        <f t="shared" si="3"/>
        <v>16</v>
      </c>
      <c r="S43" s="2336">
        <f t="shared" si="3"/>
        <v>15</v>
      </c>
      <c r="T43" s="2336">
        <f t="shared" si="3"/>
        <v>19</v>
      </c>
      <c r="U43" s="2336">
        <f t="shared" si="3"/>
        <v>12</v>
      </c>
      <c r="V43" s="2336">
        <f t="shared" si="3"/>
        <v>17</v>
      </c>
      <c r="W43" s="2336">
        <f t="shared" si="3"/>
        <v>6</v>
      </c>
      <c r="X43" s="2336">
        <f t="shared" si="3"/>
        <v>19</v>
      </c>
      <c r="Y43" s="2336">
        <f t="shared" si="3"/>
        <v>19</v>
      </c>
      <c r="Z43" s="2336">
        <f t="shared" si="3"/>
        <v>7</v>
      </c>
      <c r="AA43" s="2336">
        <f t="shared" si="3"/>
        <v>2</v>
      </c>
      <c r="AB43" s="2336">
        <f t="shared" si="3"/>
        <v>13</v>
      </c>
      <c r="AC43" s="2336">
        <f t="shared" si="3"/>
        <v>7</v>
      </c>
      <c r="AD43" s="2336">
        <f t="shared" si="3"/>
        <v>12</v>
      </c>
      <c r="AE43" s="2336">
        <f t="shared" si="3"/>
        <v>16</v>
      </c>
      <c r="AF43" s="2336">
        <f t="shared" si="3"/>
        <v>4</v>
      </c>
      <c r="AG43" s="2336">
        <f t="shared" si="3"/>
        <v>16</v>
      </c>
      <c r="AH43" s="2336">
        <f t="shared" si="3"/>
        <v>18</v>
      </c>
      <c r="AI43" s="2336">
        <f t="shared" si="3"/>
        <v>16</v>
      </c>
      <c r="AJ43" s="2337">
        <f t="shared" si="3"/>
        <v>19</v>
      </c>
      <c r="AK43" s="2337">
        <f t="shared" si="3"/>
        <v>19</v>
      </c>
      <c r="AL43" s="2336">
        <f t="shared" si="3"/>
        <v>2</v>
      </c>
      <c r="AM43" s="2336">
        <f t="shared" si="3"/>
        <v>14</v>
      </c>
      <c r="AN43" s="2336">
        <f t="shared" si="3"/>
        <v>19</v>
      </c>
      <c r="AO43" s="2336">
        <f t="shared" si="3"/>
        <v>5</v>
      </c>
      <c r="AP43" s="2336">
        <f t="shared" si="3"/>
        <v>2</v>
      </c>
      <c r="AQ43" s="2336">
        <f t="shared" si="3"/>
        <v>2</v>
      </c>
      <c r="AR43" s="2336">
        <f t="shared" si="3"/>
        <v>16</v>
      </c>
      <c r="AS43" s="2336">
        <f t="shared" si="3"/>
        <v>13</v>
      </c>
      <c r="AT43" s="2336">
        <f t="shared" si="3"/>
        <v>17</v>
      </c>
      <c r="AU43" s="2336">
        <f t="shared" si="3"/>
        <v>12</v>
      </c>
      <c r="AV43" s="2336">
        <f t="shared" si="3"/>
        <v>16</v>
      </c>
      <c r="AW43" s="2336">
        <f t="shared" si="3"/>
        <v>4</v>
      </c>
      <c r="AX43" s="2336">
        <f t="shared" si="3"/>
        <v>10</v>
      </c>
      <c r="AY43" s="2336">
        <f t="shared" si="3"/>
        <v>14</v>
      </c>
      <c r="AZ43" s="2336">
        <f t="shared" si="3"/>
        <v>15</v>
      </c>
      <c r="BA43" s="2336">
        <f t="shared" si="3"/>
        <v>15</v>
      </c>
    </row>
    <row r="44" ht="18.75" customHeight="1">
      <c r="A44" s="44"/>
      <c r="B44" s="2338" t="s">
        <v>109</v>
      </c>
      <c r="C44" s="44"/>
      <c r="D44" s="2339">
        <f t="shared" ref="D44:BA44" si="4">COUNTIF(D5:D40,"Tegen")</f>
        <v>16</v>
      </c>
      <c r="E44" s="2339">
        <f t="shared" si="4"/>
        <v>1</v>
      </c>
      <c r="F44" s="2339">
        <f t="shared" si="4"/>
        <v>13</v>
      </c>
      <c r="G44" s="2339">
        <f t="shared" si="4"/>
        <v>2</v>
      </c>
      <c r="H44" s="2339">
        <f t="shared" si="4"/>
        <v>17</v>
      </c>
      <c r="I44" s="2339">
        <f t="shared" si="4"/>
        <v>11</v>
      </c>
      <c r="J44" s="2339">
        <f t="shared" si="4"/>
        <v>4</v>
      </c>
      <c r="K44" s="2339">
        <f t="shared" si="4"/>
        <v>2</v>
      </c>
      <c r="L44" s="2339">
        <f t="shared" si="4"/>
        <v>1</v>
      </c>
      <c r="M44" s="2339">
        <f t="shared" si="4"/>
        <v>3</v>
      </c>
      <c r="N44" s="2340">
        <f t="shared" si="4"/>
        <v>3</v>
      </c>
      <c r="O44" s="2341">
        <f t="shared" si="4"/>
        <v>12</v>
      </c>
      <c r="P44" s="2341">
        <f t="shared" si="4"/>
        <v>1</v>
      </c>
      <c r="Q44" s="2341">
        <f t="shared" si="4"/>
        <v>7</v>
      </c>
      <c r="R44" s="2341">
        <f t="shared" si="4"/>
        <v>4</v>
      </c>
      <c r="S44" s="2341">
        <f t="shared" si="4"/>
        <v>4</v>
      </c>
      <c r="T44" s="2341">
        <f t="shared" si="4"/>
        <v>0</v>
      </c>
      <c r="U44" s="2341">
        <f t="shared" si="4"/>
        <v>7</v>
      </c>
      <c r="V44" s="2341">
        <f t="shared" si="4"/>
        <v>3</v>
      </c>
      <c r="W44" s="2341">
        <f t="shared" si="4"/>
        <v>16</v>
      </c>
      <c r="X44" s="2341">
        <f t="shared" si="4"/>
        <v>3</v>
      </c>
      <c r="Y44" s="2341">
        <f t="shared" si="4"/>
        <v>2</v>
      </c>
      <c r="Z44" s="2341">
        <f t="shared" si="4"/>
        <v>11</v>
      </c>
      <c r="AA44" s="2341">
        <f t="shared" si="4"/>
        <v>18</v>
      </c>
      <c r="AB44" s="2341">
        <f t="shared" si="4"/>
        <v>5</v>
      </c>
      <c r="AC44" s="2341">
        <f t="shared" si="4"/>
        <v>11</v>
      </c>
      <c r="AD44" s="2341">
        <f t="shared" si="4"/>
        <v>4</v>
      </c>
      <c r="AE44" s="2341">
        <f t="shared" si="4"/>
        <v>2</v>
      </c>
      <c r="AF44" s="2341">
        <f t="shared" si="4"/>
        <v>15</v>
      </c>
      <c r="AG44" s="2341">
        <f t="shared" si="4"/>
        <v>3</v>
      </c>
      <c r="AH44" s="2341">
        <f t="shared" si="4"/>
        <v>1</v>
      </c>
      <c r="AI44" s="2341">
        <f t="shared" si="4"/>
        <v>3</v>
      </c>
      <c r="AJ44" s="2342">
        <f t="shared" si="4"/>
        <v>0</v>
      </c>
      <c r="AK44" s="2342">
        <f t="shared" si="4"/>
        <v>0</v>
      </c>
      <c r="AL44" s="2341">
        <f t="shared" si="4"/>
        <v>18</v>
      </c>
      <c r="AM44" s="2341">
        <f t="shared" si="4"/>
        <v>6</v>
      </c>
      <c r="AN44" s="2341">
        <f t="shared" si="4"/>
        <v>1</v>
      </c>
      <c r="AO44" s="2341">
        <f t="shared" si="4"/>
        <v>15</v>
      </c>
      <c r="AP44" s="2341">
        <f t="shared" si="4"/>
        <v>13</v>
      </c>
      <c r="AQ44" s="2341">
        <f t="shared" si="4"/>
        <v>16</v>
      </c>
      <c r="AR44" s="2341">
        <f t="shared" si="4"/>
        <v>2</v>
      </c>
      <c r="AS44" s="2341">
        <f t="shared" si="4"/>
        <v>4</v>
      </c>
      <c r="AT44" s="2341">
        <f t="shared" si="4"/>
        <v>0</v>
      </c>
      <c r="AU44" s="2341">
        <f t="shared" si="4"/>
        <v>4</v>
      </c>
      <c r="AV44" s="2341">
        <f t="shared" si="4"/>
        <v>1</v>
      </c>
      <c r="AW44" s="2341">
        <f t="shared" si="4"/>
        <v>14</v>
      </c>
      <c r="AX44" s="2341">
        <f t="shared" si="4"/>
        <v>8</v>
      </c>
      <c r="AY44" s="2341">
        <f t="shared" si="4"/>
        <v>6</v>
      </c>
      <c r="AZ44" s="2341">
        <f t="shared" si="4"/>
        <v>5</v>
      </c>
      <c r="BA44" s="2341">
        <f t="shared" si="4"/>
        <v>5</v>
      </c>
    </row>
    <row r="45" ht="18.75" customHeight="1">
      <c r="A45" s="44"/>
      <c r="B45" s="2343" t="s">
        <v>159</v>
      </c>
      <c r="C45" s="44"/>
      <c r="D45" s="2344">
        <f t="shared" ref="D45:BA45" si="5">COUNTIF(D5:D40,"SO")</f>
        <v>1</v>
      </c>
      <c r="E45" s="2344">
        <f t="shared" si="5"/>
        <v>0</v>
      </c>
      <c r="F45" s="2344">
        <f t="shared" si="5"/>
        <v>0</v>
      </c>
      <c r="G45" s="2344">
        <f t="shared" si="5"/>
        <v>0</v>
      </c>
      <c r="H45" s="2344">
        <f t="shared" si="5"/>
        <v>0</v>
      </c>
      <c r="I45" s="2344">
        <f t="shared" si="5"/>
        <v>1</v>
      </c>
      <c r="J45" s="2344">
        <f t="shared" si="5"/>
        <v>0</v>
      </c>
      <c r="K45" s="2344">
        <f t="shared" si="5"/>
        <v>0</v>
      </c>
      <c r="L45" s="2344">
        <f t="shared" si="5"/>
        <v>0</v>
      </c>
      <c r="M45" s="2344">
        <f t="shared" si="5"/>
        <v>2</v>
      </c>
      <c r="N45" s="2345">
        <f t="shared" si="5"/>
        <v>0</v>
      </c>
      <c r="O45" s="2346">
        <f t="shared" si="5"/>
        <v>0</v>
      </c>
      <c r="P45" s="2346">
        <f t="shared" si="5"/>
        <v>1</v>
      </c>
      <c r="Q45" s="2346">
        <f t="shared" si="5"/>
        <v>0</v>
      </c>
      <c r="R45" s="2346">
        <f t="shared" si="5"/>
        <v>0</v>
      </c>
      <c r="S45" s="2346">
        <f t="shared" si="5"/>
        <v>1</v>
      </c>
      <c r="T45" s="2346">
        <f t="shared" si="5"/>
        <v>1</v>
      </c>
      <c r="U45" s="2346">
        <f t="shared" si="5"/>
        <v>1</v>
      </c>
      <c r="V45" s="2346">
        <f t="shared" si="5"/>
        <v>0</v>
      </c>
      <c r="W45" s="2346">
        <f t="shared" si="5"/>
        <v>0</v>
      </c>
      <c r="X45" s="2346">
        <f t="shared" si="5"/>
        <v>0</v>
      </c>
      <c r="Y45" s="2346">
        <f t="shared" si="5"/>
        <v>1</v>
      </c>
      <c r="Z45" s="2346">
        <f t="shared" si="5"/>
        <v>4</v>
      </c>
      <c r="AA45" s="2346">
        <f t="shared" si="5"/>
        <v>2</v>
      </c>
      <c r="AB45" s="2346">
        <f t="shared" si="5"/>
        <v>0</v>
      </c>
      <c r="AC45" s="2346">
        <f t="shared" si="5"/>
        <v>0</v>
      </c>
      <c r="AD45" s="2346">
        <f t="shared" si="5"/>
        <v>2</v>
      </c>
      <c r="AE45" s="2346">
        <f t="shared" si="5"/>
        <v>0</v>
      </c>
      <c r="AF45" s="2346">
        <f t="shared" si="5"/>
        <v>0</v>
      </c>
      <c r="AG45" s="2346">
        <f t="shared" si="5"/>
        <v>0</v>
      </c>
      <c r="AH45" s="2346">
        <f t="shared" si="5"/>
        <v>0</v>
      </c>
      <c r="AI45" s="2346">
        <f t="shared" si="5"/>
        <v>0</v>
      </c>
      <c r="AJ45" s="2347">
        <f t="shared" si="5"/>
        <v>0</v>
      </c>
      <c r="AK45" s="2347">
        <f t="shared" si="5"/>
        <v>0</v>
      </c>
      <c r="AL45" s="2346">
        <f t="shared" si="5"/>
        <v>0</v>
      </c>
      <c r="AM45" s="2346">
        <f t="shared" si="5"/>
        <v>0</v>
      </c>
      <c r="AN45" s="2346">
        <f t="shared" si="5"/>
        <v>0</v>
      </c>
      <c r="AO45" s="2346">
        <f t="shared" si="5"/>
        <v>0</v>
      </c>
      <c r="AP45" s="2346">
        <f t="shared" si="5"/>
        <v>3</v>
      </c>
      <c r="AQ45" s="2346">
        <f t="shared" si="5"/>
        <v>0</v>
      </c>
      <c r="AR45" s="2346">
        <f t="shared" si="5"/>
        <v>0</v>
      </c>
      <c r="AS45" s="2346">
        <f t="shared" si="5"/>
        <v>0</v>
      </c>
      <c r="AT45" s="2346">
        <f t="shared" si="5"/>
        <v>0</v>
      </c>
      <c r="AU45" s="2346">
        <f t="shared" si="5"/>
        <v>1</v>
      </c>
      <c r="AV45" s="2346">
        <f t="shared" si="5"/>
        <v>0</v>
      </c>
      <c r="AW45" s="2346">
        <f t="shared" si="5"/>
        <v>3</v>
      </c>
      <c r="AX45" s="2346">
        <f t="shared" si="5"/>
        <v>3</v>
      </c>
      <c r="AY45" s="2346">
        <f t="shared" si="5"/>
        <v>1</v>
      </c>
      <c r="AZ45" s="2346">
        <f t="shared" si="5"/>
        <v>1</v>
      </c>
      <c r="BA45" s="2346">
        <f t="shared" si="5"/>
        <v>1</v>
      </c>
    </row>
    <row r="46" ht="18.75" customHeight="1">
      <c r="A46" s="44"/>
      <c r="B46" s="2348" t="s">
        <v>160</v>
      </c>
      <c r="C46" s="44"/>
      <c r="D46" s="2349">
        <f t="shared" ref="D46:BA46" si="6">COUNTIF(D5:D40,"NG")</f>
        <v>1</v>
      </c>
      <c r="E46" s="2349">
        <f t="shared" si="6"/>
        <v>1</v>
      </c>
      <c r="F46" s="2349">
        <f t="shared" si="6"/>
        <v>1</v>
      </c>
      <c r="G46" s="2349">
        <f t="shared" si="6"/>
        <v>1</v>
      </c>
      <c r="H46" s="2349">
        <f t="shared" si="6"/>
        <v>1</v>
      </c>
      <c r="I46" s="2349">
        <f t="shared" si="6"/>
        <v>1</v>
      </c>
      <c r="J46" s="2349">
        <f t="shared" si="6"/>
        <v>5</v>
      </c>
      <c r="K46" s="2349">
        <f t="shared" si="6"/>
        <v>5</v>
      </c>
      <c r="L46" s="2349">
        <f t="shared" si="6"/>
        <v>5</v>
      </c>
      <c r="M46" s="2349">
        <f t="shared" si="6"/>
        <v>5</v>
      </c>
      <c r="N46" s="2350">
        <f t="shared" si="6"/>
        <v>5</v>
      </c>
      <c r="O46" s="2351">
        <f t="shared" si="6"/>
        <v>5</v>
      </c>
      <c r="P46" s="2351">
        <f t="shared" si="6"/>
        <v>5</v>
      </c>
      <c r="Q46" s="2351">
        <f t="shared" si="6"/>
        <v>5</v>
      </c>
      <c r="R46" s="2351">
        <f t="shared" si="6"/>
        <v>5</v>
      </c>
      <c r="S46" s="2351">
        <f t="shared" si="6"/>
        <v>5</v>
      </c>
      <c r="T46" s="2351">
        <f t="shared" si="6"/>
        <v>5</v>
      </c>
      <c r="U46" s="2351">
        <f t="shared" si="6"/>
        <v>5</v>
      </c>
      <c r="V46" s="2351">
        <f t="shared" si="6"/>
        <v>5</v>
      </c>
      <c r="W46" s="2351">
        <f t="shared" si="6"/>
        <v>3</v>
      </c>
      <c r="X46" s="2351">
        <f t="shared" si="6"/>
        <v>3</v>
      </c>
      <c r="Y46" s="2351">
        <f t="shared" si="6"/>
        <v>3</v>
      </c>
      <c r="Z46" s="2351">
        <f t="shared" si="6"/>
        <v>3</v>
      </c>
      <c r="AA46" s="2351">
        <f t="shared" si="6"/>
        <v>3</v>
      </c>
      <c r="AB46" s="2351">
        <f t="shared" si="6"/>
        <v>7</v>
      </c>
      <c r="AC46" s="2351">
        <f t="shared" si="6"/>
        <v>7</v>
      </c>
      <c r="AD46" s="2351">
        <f t="shared" si="6"/>
        <v>7</v>
      </c>
      <c r="AE46" s="2351">
        <f t="shared" si="6"/>
        <v>7</v>
      </c>
      <c r="AF46" s="2351">
        <f t="shared" si="6"/>
        <v>6</v>
      </c>
      <c r="AG46" s="2351">
        <f t="shared" si="6"/>
        <v>6</v>
      </c>
      <c r="AH46" s="2351">
        <f t="shared" si="6"/>
        <v>6</v>
      </c>
      <c r="AI46" s="2351">
        <f t="shared" si="6"/>
        <v>6</v>
      </c>
      <c r="AJ46" s="2352">
        <f t="shared" si="6"/>
        <v>6</v>
      </c>
      <c r="AK46" s="2352">
        <f t="shared" si="6"/>
        <v>6</v>
      </c>
      <c r="AL46" s="2351">
        <f t="shared" si="6"/>
        <v>5</v>
      </c>
      <c r="AM46" s="2351">
        <f t="shared" si="6"/>
        <v>5</v>
      </c>
      <c r="AN46" s="2351">
        <f t="shared" si="6"/>
        <v>5</v>
      </c>
      <c r="AO46" s="2351">
        <f t="shared" si="6"/>
        <v>5</v>
      </c>
      <c r="AP46" s="2351">
        <f t="shared" si="6"/>
        <v>7</v>
      </c>
      <c r="AQ46" s="2351">
        <f t="shared" si="6"/>
        <v>7</v>
      </c>
      <c r="AR46" s="2351">
        <f t="shared" si="6"/>
        <v>7</v>
      </c>
      <c r="AS46" s="2351">
        <f t="shared" si="6"/>
        <v>8</v>
      </c>
      <c r="AT46" s="2351">
        <f t="shared" si="6"/>
        <v>8</v>
      </c>
      <c r="AU46" s="2351">
        <f t="shared" si="6"/>
        <v>8</v>
      </c>
      <c r="AV46" s="2351">
        <f t="shared" si="6"/>
        <v>8</v>
      </c>
      <c r="AW46" s="2351">
        <f t="shared" si="6"/>
        <v>3</v>
      </c>
      <c r="AX46" s="2351">
        <f t="shared" si="6"/>
        <v>3</v>
      </c>
      <c r="AY46" s="2351">
        <f t="shared" si="6"/>
        <v>3</v>
      </c>
      <c r="AZ46" s="2351">
        <f t="shared" si="6"/>
        <v>3</v>
      </c>
      <c r="BA46" s="2351">
        <f t="shared" si="6"/>
        <v>3</v>
      </c>
    </row>
    <row r="47" ht="18.75" customHeight="1">
      <c r="A47" s="44"/>
      <c r="B47" s="2353" t="s">
        <v>161</v>
      </c>
      <c r="C47" s="44"/>
      <c r="D47" s="2354">
        <f t="shared" ref="D47:BA47" si="7">SUM(D43:D46)</f>
        <v>25</v>
      </c>
      <c r="E47" s="2354">
        <f t="shared" si="7"/>
        <v>25</v>
      </c>
      <c r="F47" s="2354">
        <f t="shared" si="7"/>
        <v>25</v>
      </c>
      <c r="G47" s="2354">
        <f t="shared" si="7"/>
        <v>25</v>
      </c>
      <c r="H47" s="2354">
        <f t="shared" si="7"/>
        <v>25</v>
      </c>
      <c r="I47" s="2354">
        <f t="shared" si="7"/>
        <v>25</v>
      </c>
      <c r="J47" s="2354">
        <f t="shared" si="7"/>
        <v>25</v>
      </c>
      <c r="K47" s="2354">
        <f t="shared" si="7"/>
        <v>25</v>
      </c>
      <c r="L47" s="2354">
        <f t="shared" si="7"/>
        <v>25</v>
      </c>
      <c r="M47" s="2354">
        <f t="shared" si="7"/>
        <v>25</v>
      </c>
      <c r="N47" s="2355">
        <f t="shared" si="7"/>
        <v>25</v>
      </c>
      <c r="O47" s="2356">
        <f t="shared" si="7"/>
        <v>25</v>
      </c>
      <c r="P47" s="2356">
        <f t="shared" si="7"/>
        <v>25</v>
      </c>
      <c r="Q47" s="2356">
        <f t="shared" si="7"/>
        <v>25</v>
      </c>
      <c r="R47" s="2356">
        <f t="shared" si="7"/>
        <v>25</v>
      </c>
      <c r="S47" s="2356">
        <f t="shared" si="7"/>
        <v>25</v>
      </c>
      <c r="T47" s="2356">
        <f t="shared" si="7"/>
        <v>25</v>
      </c>
      <c r="U47" s="2356">
        <f t="shared" si="7"/>
        <v>25</v>
      </c>
      <c r="V47" s="2356">
        <f t="shared" si="7"/>
        <v>25</v>
      </c>
      <c r="W47" s="2356">
        <f t="shared" si="7"/>
        <v>25</v>
      </c>
      <c r="X47" s="2356">
        <f t="shared" si="7"/>
        <v>25</v>
      </c>
      <c r="Y47" s="2356">
        <f t="shared" si="7"/>
        <v>25</v>
      </c>
      <c r="Z47" s="2356">
        <f t="shared" si="7"/>
        <v>25</v>
      </c>
      <c r="AA47" s="2356">
        <f t="shared" si="7"/>
        <v>25</v>
      </c>
      <c r="AB47" s="2356">
        <f t="shared" si="7"/>
        <v>25</v>
      </c>
      <c r="AC47" s="2356">
        <f t="shared" si="7"/>
        <v>25</v>
      </c>
      <c r="AD47" s="2356">
        <f t="shared" si="7"/>
        <v>25</v>
      </c>
      <c r="AE47" s="2356">
        <f t="shared" si="7"/>
        <v>25</v>
      </c>
      <c r="AF47" s="2356">
        <f t="shared" si="7"/>
        <v>25</v>
      </c>
      <c r="AG47" s="2356">
        <f t="shared" si="7"/>
        <v>25</v>
      </c>
      <c r="AH47" s="2356">
        <f t="shared" si="7"/>
        <v>25</v>
      </c>
      <c r="AI47" s="2356">
        <f t="shared" si="7"/>
        <v>25</v>
      </c>
      <c r="AJ47" s="2357">
        <f t="shared" si="7"/>
        <v>25</v>
      </c>
      <c r="AK47" s="2357">
        <f t="shared" si="7"/>
        <v>25</v>
      </c>
      <c r="AL47" s="2356">
        <f t="shared" si="7"/>
        <v>25</v>
      </c>
      <c r="AM47" s="2356">
        <f t="shared" si="7"/>
        <v>25</v>
      </c>
      <c r="AN47" s="2356">
        <f t="shared" si="7"/>
        <v>25</v>
      </c>
      <c r="AO47" s="2356">
        <f t="shared" si="7"/>
        <v>25</v>
      </c>
      <c r="AP47" s="2356">
        <f t="shared" si="7"/>
        <v>25</v>
      </c>
      <c r="AQ47" s="2356">
        <f t="shared" si="7"/>
        <v>25</v>
      </c>
      <c r="AR47" s="2356">
        <f t="shared" si="7"/>
        <v>25</v>
      </c>
      <c r="AS47" s="2356">
        <f t="shared" si="7"/>
        <v>25</v>
      </c>
      <c r="AT47" s="2356">
        <f t="shared" si="7"/>
        <v>25</v>
      </c>
      <c r="AU47" s="2356">
        <f t="shared" si="7"/>
        <v>25</v>
      </c>
      <c r="AV47" s="2356">
        <f t="shared" si="7"/>
        <v>25</v>
      </c>
      <c r="AW47" s="2356">
        <f t="shared" si="7"/>
        <v>24</v>
      </c>
      <c r="AX47" s="2356">
        <f t="shared" si="7"/>
        <v>24</v>
      </c>
      <c r="AY47" s="2356">
        <f t="shared" si="7"/>
        <v>24</v>
      </c>
      <c r="AZ47" s="2356">
        <f t="shared" si="7"/>
        <v>24</v>
      </c>
      <c r="BA47" s="2356">
        <f t="shared" si="7"/>
        <v>24</v>
      </c>
    </row>
    <row r="48" ht="18.75" customHeight="1">
      <c r="A48" s="44"/>
      <c r="B48" s="2358" t="s">
        <v>162</v>
      </c>
      <c r="C48" s="44"/>
      <c r="D48" s="2359">
        <f t="shared" ref="D48:BA48" si="8">D43+D44+D45</f>
        <v>24</v>
      </c>
      <c r="E48" s="2359">
        <f t="shared" si="8"/>
        <v>24</v>
      </c>
      <c r="F48" s="2359">
        <f t="shared" si="8"/>
        <v>24</v>
      </c>
      <c r="G48" s="2359">
        <f t="shared" si="8"/>
        <v>24</v>
      </c>
      <c r="H48" s="2359">
        <f t="shared" si="8"/>
        <v>24</v>
      </c>
      <c r="I48" s="2359">
        <f t="shared" si="8"/>
        <v>24</v>
      </c>
      <c r="J48" s="2359">
        <f t="shared" si="8"/>
        <v>20</v>
      </c>
      <c r="K48" s="2359">
        <f t="shared" si="8"/>
        <v>20</v>
      </c>
      <c r="L48" s="2359">
        <f t="shared" si="8"/>
        <v>20</v>
      </c>
      <c r="M48" s="2359">
        <f t="shared" si="8"/>
        <v>20</v>
      </c>
      <c r="N48" s="2360">
        <f t="shared" si="8"/>
        <v>20</v>
      </c>
      <c r="O48" s="2361">
        <f t="shared" si="8"/>
        <v>20</v>
      </c>
      <c r="P48" s="2361">
        <f t="shared" si="8"/>
        <v>20</v>
      </c>
      <c r="Q48" s="2361">
        <f t="shared" si="8"/>
        <v>20</v>
      </c>
      <c r="R48" s="2361">
        <f t="shared" si="8"/>
        <v>20</v>
      </c>
      <c r="S48" s="2361">
        <f t="shared" si="8"/>
        <v>20</v>
      </c>
      <c r="T48" s="2361">
        <f t="shared" si="8"/>
        <v>20</v>
      </c>
      <c r="U48" s="2361">
        <f t="shared" si="8"/>
        <v>20</v>
      </c>
      <c r="V48" s="2361">
        <f t="shared" si="8"/>
        <v>20</v>
      </c>
      <c r="W48" s="2361">
        <f t="shared" si="8"/>
        <v>22</v>
      </c>
      <c r="X48" s="2361">
        <f t="shared" si="8"/>
        <v>22</v>
      </c>
      <c r="Y48" s="2361">
        <f t="shared" si="8"/>
        <v>22</v>
      </c>
      <c r="Z48" s="2361">
        <f t="shared" si="8"/>
        <v>22</v>
      </c>
      <c r="AA48" s="2361">
        <f t="shared" si="8"/>
        <v>22</v>
      </c>
      <c r="AB48" s="2361">
        <f t="shared" si="8"/>
        <v>18</v>
      </c>
      <c r="AC48" s="2361">
        <f t="shared" si="8"/>
        <v>18</v>
      </c>
      <c r="AD48" s="2361">
        <f t="shared" si="8"/>
        <v>18</v>
      </c>
      <c r="AE48" s="2361">
        <f t="shared" si="8"/>
        <v>18</v>
      </c>
      <c r="AF48" s="2361">
        <f t="shared" si="8"/>
        <v>19</v>
      </c>
      <c r="AG48" s="2361">
        <f t="shared" si="8"/>
        <v>19</v>
      </c>
      <c r="AH48" s="2361">
        <f t="shared" si="8"/>
        <v>19</v>
      </c>
      <c r="AI48" s="2361">
        <f t="shared" si="8"/>
        <v>19</v>
      </c>
      <c r="AJ48" s="2362">
        <f t="shared" si="8"/>
        <v>19</v>
      </c>
      <c r="AK48" s="2362">
        <f t="shared" si="8"/>
        <v>19</v>
      </c>
      <c r="AL48" s="2361">
        <f t="shared" si="8"/>
        <v>20</v>
      </c>
      <c r="AM48" s="2361">
        <f t="shared" si="8"/>
        <v>20</v>
      </c>
      <c r="AN48" s="2361">
        <f t="shared" si="8"/>
        <v>20</v>
      </c>
      <c r="AO48" s="2361">
        <f t="shared" si="8"/>
        <v>20</v>
      </c>
      <c r="AP48" s="2361">
        <f t="shared" si="8"/>
        <v>18</v>
      </c>
      <c r="AQ48" s="2361">
        <f t="shared" si="8"/>
        <v>18</v>
      </c>
      <c r="AR48" s="2361">
        <f t="shared" si="8"/>
        <v>18</v>
      </c>
      <c r="AS48" s="2361">
        <f t="shared" si="8"/>
        <v>17</v>
      </c>
      <c r="AT48" s="2361">
        <f t="shared" si="8"/>
        <v>17</v>
      </c>
      <c r="AU48" s="2361">
        <f t="shared" si="8"/>
        <v>17</v>
      </c>
      <c r="AV48" s="2361">
        <f t="shared" si="8"/>
        <v>17</v>
      </c>
      <c r="AW48" s="2361">
        <f t="shared" si="8"/>
        <v>21</v>
      </c>
      <c r="AX48" s="2361">
        <f t="shared" si="8"/>
        <v>21</v>
      </c>
      <c r="AY48" s="2361">
        <f t="shared" si="8"/>
        <v>21</v>
      </c>
      <c r="AZ48" s="2361">
        <f t="shared" si="8"/>
        <v>21</v>
      </c>
      <c r="BA48" s="2361">
        <f t="shared" si="8"/>
        <v>21</v>
      </c>
    </row>
    <row r="49" ht="18.75" customHeight="1">
      <c r="A49" s="230"/>
      <c r="B49" s="2363" t="s">
        <v>163</v>
      </c>
      <c r="C49" s="230"/>
      <c r="D49" s="2364">
        <f t="shared" ref="D49:BA49" si="9">IFERROR(D48/D47,"")</f>
        <v>0.96</v>
      </c>
      <c r="E49" s="2364">
        <f t="shared" si="9"/>
        <v>0.96</v>
      </c>
      <c r="F49" s="2364">
        <f t="shared" si="9"/>
        <v>0.96</v>
      </c>
      <c r="G49" s="2364">
        <f t="shared" si="9"/>
        <v>0.96</v>
      </c>
      <c r="H49" s="2364">
        <f t="shared" si="9"/>
        <v>0.96</v>
      </c>
      <c r="I49" s="2364">
        <f t="shared" si="9"/>
        <v>0.96</v>
      </c>
      <c r="J49" s="2364">
        <f t="shared" si="9"/>
        <v>0.8</v>
      </c>
      <c r="K49" s="2364">
        <f t="shared" si="9"/>
        <v>0.8</v>
      </c>
      <c r="L49" s="2364">
        <f t="shared" si="9"/>
        <v>0.8</v>
      </c>
      <c r="M49" s="2364">
        <f t="shared" si="9"/>
        <v>0.8</v>
      </c>
      <c r="N49" s="2365">
        <f t="shared" si="9"/>
        <v>0.8</v>
      </c>
      <c r="O49" s="2366">
        <f t="shared" si="9"/>
        <v>0.8</v>
      </c>
      <c r="P49" s="2366">
        <f t="shared" si="9"/>
        <v>0.8</v>
      </c>
      <c r="Q49" s="2366">
        <f t="shared" si="9"/>
        <v>0.8</v>
      </c>
      <c r="R49" s="2366">
        <f t="shared" si="9"/>
        <v>0.8</v>
      </c>
      <c r="S49" s="2366">
        <f t="shared" si="9"/>
        <v>0.8</v>
      </c>
      <c r="T49" s="2366">
        <f t="shared" si="9"/>
        <v>0.8</v>
      </c>
      <c r="U49" s="2366">
        <f t="shared" si="9"/>
        <v>0.8</v>
      </c>
      <c r="V49" s="2366">
        <f t="shared" si="9"/>
        <v>0.8</v>
      </c>
      <c r="W49" s="2366">
        <f t="shared" si="9"/>
        <v>0.88</v>
      </c>
      <c r="X49" s="2366">
        <f t="shared" si="9"/>
        <v>0.88</v>
      </c>
      <c r="Y49" s="2366">
        <f t="shared" si="9"/>
        <v>0.88</v>
      </c>
      <c r="Z49" s="2366">
        <f t="shared" si="9"/>
        <v>0.88</v>
      </c>
      <c r="AA49" s="2366">
        <f t="shared" si="9"/>
        <v>0.88</v>
      </c>
      <c r="AB49" s="2366">
        <f t="shared" si="9"/>
        <v>0.72</v>
      </c>
      <c r="AC49" s="2366">
        <f t="shared" si="9"/>
        <v>0.72</v>
      </c>
      <c r="AD49" s="2366">
        <f t="shared" si="9"/>
        <v>0.72</v>
      </c>
      <c r="AE49" s="2366">
        <f t="shared" si="9"/>
        <v>0.72</v>
      </c>
      <c r="AF49" s="2366">
        <f t="shared" si="9"/>
        <v>0.76</v>
      </c>
      <c r="AG49" s="2366">
        <f t="shared" si="9"/>
        <v>0.76</v>
      </c>
      <c r="AH49" s="2366">
        <f t="shared" si="9"/>
        <v>0.76</v>
      </c>
      <c r="AI49" s="2366">
        <f t="shared" si="9"/>
        <v>0.76</v>
      </c>
      <c r="AJ49" s="2367">
        <f t="shared" si="9"/>
        <v>0.76</v>
      </c>
      <c r="AK49" s="2367">
        <f t="shared" si="9"/>
        <v>0.76</v>
      </c>
      <c r="AL49" s="2366">
        <f t="shared" si="9"/>
        <v>0.8</v>
      </c>
      <c r="AM49" s="2366">
        <f t="shared" si="9"/>
        <v>0.8</v>
      </c>
      <c r="AN49" s="2366">
        <f t="shared" si="9"/>
        <v>0.8</v>
      </c>
      <c r="AO49" s="2366">
        <f t="shared" si="9"/>
        <v>0.8</v>
      </c>
      <c r="AP49" s="2366">
        <f t="shared" si="9"/>
        <v>0.72</v>
      </c>
      <c r="AQ49" s="2366">
        <f t="shared" si="9"/>
        <v>0.72</v>
      </c>
      <c r="AR49" s="2366">
        <f t="shared" si="9"/>
        <v>0.72</v>
      </c>
      <c r="AS49" s="2366">
        <f t="shared" si="9"/>
        <v>0.68</v>
      </c>
      <c r="AT49" s="2366">
        <f t="shared" si="9"/>
        <v>0.68</v>
      </c>
      <c r="AU49" s="2366">
        <f t="shared" si="9"/>
        <v>0.68</v>
      </c>
      <c r="AV49" s="2366">
        <f t="shared" si="9"/>
        <v>0.68</v>
      </c>
      <c r="AW49" s="2366">
        <f t="shared" si="9"/>
        <v>0.875</v>
      </c>
      <c r="AX49" s="2366">
        <f t="shared" si="9"/>
        <v>0.875</v>
      </c>
      <c r="AY49" s="2366">
        <f t="shared" si="9"/>
        <v>0.875</v>
      </c>
      <c r="AZ49" s="2366">
        <f t="shared" si="9"/>
        <v>0.875</v>
      </c>
      <c r="BA49" s="2366">
        <f t="shared" si="9"/>
        <v>0.875</v>
      </c>
    </row>
  </sheetData>
  <mergeCells count="17">
    <mergeCell ref="A2:C2"/>
    <mergeCell ref="D2:BA4"/>
    <mergeCell ref="A3:C4"/>
    <mergeCell ref="A7:A29"/>
    <mergeCell ref="B7:B15"/>
    <mergeCell ref="B16:B25"/>
    <mergeCell ref="A31:A41"/>
    <mergeCell ref="B47:C47"/>
    <mergeCell ref="B48:C48"/>
    <mergeCell ref="B26:B28"/>
    <mergeCell ref="B31:B38"/>
    <mergeCell ref="A43:A49"/>
    <mergeCell ref="B43:C43"/>
    <mergeCell ref="B44:C44"/>
    <mergeCell ref="B45:C45"/>
    <mergeCell ref="B46:C46"/>
    <mergeCell ref="B49:C49"/>
  </mergeCells>
  <conditionalFormatting sqref="A3">
    <cfRule type="containsText" dxfId="0" priority="1" operator="containsText" text="voor">
      <formula>NOT(ISERROR(SEARCH(("voor"),(A3))))</formula>
    </cfRule>
  </conditionalFormatting>
  <conditionalFormatting sqref="A3">
    <cfRule type="containsText" dxfId="1" priority="2" operator="containsText" text="tegen">
      <formula>NOT(ISERROR(SEARCH(("tegen"),(A3))))</formula>
    </cfRule>
  </conditionalFormatting>
  <conditionalFormatting sqref="L7:N9 O7:O29 P7:Z22 AA7:AA29 AF7:AI9 AS7:AV7 AB8 AC9:AE9 AJ9:AZ9 L11:N14 AC11:AZ16 BA16 AB18:AB19 AF18:AI20 AS18:AZ26 L19:N20 AC19:AE20 AJ19:AO20 AP19:AR26 BA19:BA20 L22:M22 N22:N27 BA22:BA24 AC23:AO26 L24:M27 P24:Z29 D26:K26 AB26 BA26 D29 F29:N29 AB29:BA29 L33:N33 C34:C38 AS38:AV38 AS41:AV41">
    <cfRule type="containsText" dxfId="5" priority="3" operator="containsText" text="NG">
      <formula>NOT(ISERROR(SEARCH(("NG"),(L7))))</formula>
    </cfRule>
  </conditionalFormatting>
  <conditionalFormatting sqref="B7 D7:I41 J7:J29 K7:U41 V7:V29 W7:AK41 AL7:AL29 AM7:AQ41 AR7:AR29 AS7:AV41 AW7:BA29 C28 B31:C38 J31:J41 V31:V41 AL31:AL41 AR31:AR41 AW31:BA41">
    <cfRule type="containsText" dxfId="2" priority="4" operator="containsText" text="SO">
      <formula>NOT(ISERROR(SEARCH(("SO"),(B7))))</formula>
    </cfRule>
  </conditionalFormatting>
  <conditionalFormatting sqref="A3 B7 D7:I41 J7:J29 K7:U41 V7:V29 W7:AK41 AL7:AL29 AM7:AQ41 AR7:AR29 AS7:AV41 AW7:BA29 C28 B31:C38 J31:J41 V31:V41 AL31:AL41 AR31:AR41 AW31:BA41">
    <cfRule type="containsText" dxfId="3" priority="5" operator="containsText" text="tegen">
      <formula>NOT(ISERROR(SEARCH(("tegen"),(A3))))</formula>
    </cfRule>
  </conditionalFormatting>
  <conditionalFormatting sqref="B7 D7:I41 J7:J29 K7:U41 V7:V29 W7:AK41 AL7:AL29 AM7:AQ41 AR7:AR29 AS7:AV41 AW7:BA29 C28 B31:C38 J31:J41 V31:V41 AL31:AL41 AR31:AR41 AW31:BA41">
    <cfRule type="containsText" dxfId="4" priority="6" operator="containsText" text="voor">
      <formula>NOT(ISERROR(SEARCH(("voor"),(B7))))</formula>
    </cfRule>
  </conditionalFormatting>
  <conditionalFormatting sqref="B7 D7:I41 J7:J29 K7:U41 V7:V29 W7:AK41 AL7:AL29 AM7:AQ41 AR7:AR29 AS7:AV41 AW7:BA29 C28 B31:C38 J31:J41 V31:V41 AL31:AL41 AR31:AR41 AW31:BA41">
    <cfRule type="cellIs" dxfId="5" priority="7" operator="equal">
      <formula>"NG"</formula>
    </cfRule>
  </conditionalFormatting>
  <conditionalFormatting sqref="B7 D7:I41 J7:J29 K7:U41 V7:V29 W7:AK41 AL7:AL29 AM7:AQ41 AR7:AR29 AS7:AV41 AW7:BA29 C28 B31:C38 J31:J41 V31:V41 AL31:AL41 AR31:AR41 AW31:BA41">
    <cfRule type="containsText" dxfId="6" priority="8" operator="containsText" text="NVT">
      <formula>NOT(ISERROR(SEARCH(("NVT"),(B7))))</formula>
    </cfRule>
  </conditionalFormatting>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4125"/>
    <outlinePr summaryBelow="0" summaryRight="0"/>
  </sheetPr>
  <sheetViews>
    <sheetView workbookViewId="0">
      <pane xSplit="3.0" topLeftCell="D1" activePane="topRight" state="frozen"/>
      <selection activeCell="E2" sqref="E2" pane="topRight"/>
    </sheetView>
  </sheetViews>
  <sheetFormatPr customHeight="1" defaultColWidth="14.43" defaultRowHeight="15.75"/>
  <cols>
    <col customWidth="1" min="1" max="1" width="10.86"/>
    <col customWidth="1" min="2" max="2" width="11.0"/>
    <col customWidth="1" min="3" max="3" width="21.86"/>
  </cols>
  <sheetData>
    <row r="1" ht="18.75" customHeight="1">
      <c r="A1" s="2368" t="s">
        <v>1658</v>
      </c>
      <c r="B1" s="1601"/>
      <c r="C1" s="1601"/>
      <c r="D1" s="1601"/>
      <c r="E1" s="1601"/>
      <c r="F1" s="1601"/>
      <c r="G1" s="1601"/>
      <c r="H1" s="1601"/>
      <c r="I1" s="1601"/>
      <c r="J1" s="1601"/>
      <c r="K1" s="1601"/>
      <c r="L1" s="1601"/>
      <c r="M1" s="1601"/>
      <c r="N1" s="1601"/>
      <c r="O1" s="1601"/>
    </row>
    <row r="2" ht="18.75" customHeight="1">
      <c r="A2" s="2369"/>
      <c r="B2" s="2109"/>
      <c r="C2" s="2110"/>
      <c r="D2" s="2370" t="s">
        <v>1659</v>
      </c>
      <c r="E2" s="16"/>
      <c r="F2" s="16"/>
      <c r="G2" s="16"/>
      <c r="H2" s="16"/>
      <c r="I2" s="16"/>
      <c r="J2" s="16"/>
      <c r="K2" s="16"/>
      <c r="L2" s="16"/>
      <c r="M2" s="16"/>
      <c r="N2" s="16"/>
      <c r="O2" s="17"/>
    </row>
    <row r="3" ht="18.75" customHeight="1">
      <c r="A3" s="1601"/>
      <c r="B3" s="1601"/>
      <c r="C3" s="1601"/>
      <c r="D3" s="1599"/>
      <c r="E3" s="1599"/>
      <c r="F3" s="1599"/>
      <c r="G3" s="1601"/>
      <c r="H3" s="1601"/>
      <c r="I3" s="1601"/>
      <c r="J3" s="1601"/>
      <c r="K3" s="1601"/>
      <c r="L3" s="1601"/>
      <c r="M3" s="1601"/>
      <c r="N3" s="1601"/>
      <c r="O3" s="1601"/>
    </row>
    <row r="4" ht="18.75" customHeight="1">
      <c r="A4" s="2369" t="s">
        <v>1013</v>
      </c>
      <c r="B4" s="2109"/>
      <c r="C4" s="2110"/>
      <c r="D4" s="2371" t="s">
        <v>165</v>
      </c>
      <c r="E4" s="112"/>
      <c r="F4" s="112"/>
      <c r="G4" s="112"/>
      <c r="H4" s="112"/>
      <c r="I4" s="112"/>
      <c r="J4" s="112"/>
      <c r="K4" s="112"/>
      <c r="L4" s="112"/>
      <c r="M4" s="112"/>
      <c r="N4" s="112"/>
      <c r="O4" s="2114"/>
    </row>
    <row r="5" ht="18.75" customHeight="1">
      <c r="A5" s="2254" t="s">
        <v>1780</v>
      </c>
      <c r="C5" s="115"/>
      <c r="D5" s="43"/>
      <c r="O5" s="1129"/>
    </row>
    <row r="6" ht="18.75" customHeight="1">
      <c r="C6" s="115"/>
      <c r="D6" s="2115"/>
      <c r="E6" s="1621"/>
      <c r="F6" s="1621"/>
      <c r="G6" s="1621"/>
      <c r="H6" s="1621"/>
      <c r="I6" s="1621"/>
      <c r="J6" s="1621"/>
      <c r="K6" s="1621"/>
      <c r="L6" s="1621"/>
      <c r="M6" s="1621"/>
      <c r="N6" s="1621"/>
      <c r="O6" s="1639"/>
    </row>
    <row r="7" ht="18.75" customHeight="1">
      <c r="A7" s="2372" t="s">
        <v>82</v>
      </c>
      <c r="B7" s="2373" t="s">
        <v>83</v>
      </c>
      <c r="C7" s="2374" t="s">
        <v>84</v>
      </c>
      <c r="D7" s="2259" t="str">
        <f>HYPERLINK("https://www.reddit.com/r/RMTK/comments/c26kl0/w0025_koepelwet_kerncentrales/","W0025")</f>
        <v>W0025</v>
      </c>
      <c r="E7" s="2259" t="str">
        <f>HYPERLINK("https://www.reddit.com/r/RMTK/comments/c4pqxl/w0027_wetswijziging_tot_verbieden_discriminatie/","W0027")</f>
        <v>W0027</v>
      </c>
      <c r="F7" s="2258" t="str">
        <f>HYPERLINK("https://www.reddit.com/r/RMTK/comments/c8rc1h/w0028_wetswijziging_tot_aanvulling_op_de_wet/","W0028")</f>
        <v>W0028</v>
      </c>
      <c r="G7" s="2258" t="str">
        <f>HYPERLINK("https://www.reddit.com/r/RMTK/comments/cbidty/w0029_wijziging_van_het_burgerlijk_wetboek_boek_1/","W0029")</f>
        <v>W0029</v>
      </c>
      <c r="H7" s="2258" t="str">
        <f>HYPERLINK("https://www.reddit.com/r/RMTK/comments/cee57r/w0025_tweede_lezingkoepelwet_kerncentrales/","W0025")</f>
        <v>W0025</v>
      </c>
      <c r="I7" s="2258" t="str">
        <f>HYPERLINK("https://www.reddit.com/r/RMTK/comments/cedsei/w0030_wijziging_van_het_burgerlijk_wetboek_boek_1/","W0030")</f>
        <v>W0030</v>
      </c>
      <c r="J7" s="2258" t="str">
        <f>HYPERLINK("https://www.reddit.com/r/RMTK/comments/cev17r/w0031_hernieuwde_klimaatwet_2019/","W0031")</f>
        <v>W0031</v>
      </c>
      <c r="K7" s="2258" t="str">
        <f>HYPERLINK("https://www.reddit.com/r/RMTK/comments/cgethq/wetsvoorstel_tot_budgettaire_begroting/","W0032")</f>
        <v>W0032</v>
      </c>
      <c r="L7" s="2258" t="str">
        <f>HYPERLINK("https://www.reddit.com/r/RMTK/comments/ch9l69/w0033_wet_erkenning_recht_op_voltooid_leven/","W0033")</f>
        <v>W0033</v>
      </c>
      <c r="M7" s="2258" t="str">
        <f>HYPERLINK("https://www.reddit.com/r/RMTK/comments/cwp79y/w0036_wet_ter_erkenning_van_de_nederlandse/","W0036")</f>
        <v>W0036</v>
      </c>
      <c r="N7" s="2258" t="str">
        <f>HYPERLINK("https://www.reddit.com/r/RMTK/comments/cyt6r7/w0038_wetsvoorstel_tot_wijziging_van_de_wet_op_de/","W0038")</f>
        <v>W0038</v>
      </c>
      <c r="O7" s="2375"/>
    </row>
    <row r="8" ht="6.0" customHeight="1">
      <c r="A8" s="2376"/>
      <c r="B8" s="2377"/>
      <c r="C8" s="2377"/>
      <c r="D8" s="2260"/>
      <c r="E8" s="2260"/>
      <c r="F8" s="2260"/>
      <c r="G8" s="2263"/>
      <c r="H8" s="2260"/>
      <c r="I8" s="2260"/>
      <c r="J8" s="2260"/>
      <c r="K8" s="2260"/>
      <c r="L8" s="2260"/>
      <c r="M8" s="2263"/>
      <c r="N8" s="2263"/>
      <c r="O8" s="2263"/>
    </row>
    <row r="9" ht="18.75" customHeight="1">
      <c r="A9" s="2378" t="s">
        <v>1577</v>
      </c>
      <c r="B9" s="2379" t="s">
        <v>31</v>
      </c>
      <c r="C9" s="2380" t="s">
        <v>148</v>
      </c>
      <c r="D9" s="2381" t="s">
        <v>110</v>
      </c>
      <c r="E9" s="2381" t="s">
        <v>110</v>
      </c>
      <c r="F9" s="2381" t="s">
        <v>110</v>
      </c>
      <c r="G9" s="2381" t="s">
        <v>110</v>
      </c>
      <c r="H9" s="2381" t="s">
        <v>110</v>
      </c>
      <c r="I9" s="2381" t="s">
        <v>110</v>
      </c>
      <c r="J9" s="2381" t="s">
        <v>110</v>
      </c>
      <c r="K9" s="2381" t="s">
        <v>110</v>
      </c>
      <c r="L9" s="2381" t="s">
        <v>109</v>
      </c>
      <c r="M9" s="2381" t="s">
        <v>110</v>
      </c>
      <c r="N9" s="2381" t="s">
        <v>119</v>
      </c>
      <c r="O9" s="2381" t="s">
        <v>119</v>
      </c>
    </row>
    <row r="10" ht="18.75" customHeight="1">
      <c r="A10" s="644"/>
      <c r="B10" s="109"/>
      <c r="C10" s="2382" t="s">
        <v>1786</v>
      </c>
      <c r="D10" s="2381" t="s">
        <v>119</v>
      </c>
      <c r="E10" s="2381" t="s">
        <v>119</v>
      </c>
      <c r="F10" s="2381" t="s">
        <v>119</v>
      </c>
      <c r="G10" s="2381" t="s">
        <v>119</v>
      </c>
      <c r="H10" s="2381" t="s">
        <v>119</v>
      </c>
      <c r="I10" s="2381" t="s">
        <v>119</v>
      </c>
      <c r="J10" s="2381" t="s">
        <v>119</v>
      </c>
      <c r="K10" s="2381" t="s">
        <v>119</v>
      </c>
      <c r="L10" s="2381" t="s">
        <v>119</v>
      </c>
      <c r="M10" s="2381" t="s">
        <v>119</v>
      </c>
      <c r="N10" s="2383" t="s">
        <v>110</v>
      </c>
      <c r="O10" s="2383" t="s">
        <v>108</v>
      </c>
    </row>
    <row r="11" ht="18.75" customHeight="1">
      <c r="A11" s="644"/>
      <c r="B11" s="2384" t="s">
        <v>440</v>
      </c>
      <c r="C11" s="2385" t="s">
        <v>1305</v>
      </c>
      <c r="D11" s="2381" t="s">
        <v>109</v>
      </c>
      <c r="E11" s="2381" t="s">
        <v>110</v>
      </c>
      <c r="F11" s="2381" t="s">
        <v>110</v>
      </c>
      <c r="G11" s="2381" t="s">
        <v>110</v>
      </c>
      <c r="H11" s="2381" t="s">
        <v>110</v>
      </c>
      <c r="I11" s="2381" t="s">
        <v>110</v>
      </c>
      <c r="J11" s="2381" t="s">
        <v>110</v>
      </c>
      <c r="K11" s="2381" t="s">
        <v>110</v>
      </c>
      <c r="L11" s="2381" t="s">
        <v>110</v>
      </c>
      <c r="M11" s="2381" t="s">
        <v>110</v>
      </c>
      <c r="N11" s="2381" t="s">
        <v>110</v>
      </c>
      <c r="O11" s="2381" t="s">
        <v>108</v>
      </c>
    </row>
    <row r="12" ht="18.75" customHeight="1">
      <c r="A12" s="658"/>
      <c r="B12" s="2386" t="s">
        <v>449</v>
      </c>
      <c r="C12" s="2387" t="s">
        <v>610</v>
      </c>
      <c r="D12" s="2381" t="s">
        <v>110</v>
      </c>
      <c r="E12" s="2381" t="s">
        <v>110</v>
      </c>
      <c r="F12" s="2381" t="s">
        <v>110</v>
      </c>
      <c r="G12" s="2381" t="s">
        <v>117</v>
      </c>
      <c r="H12" s="2381" t="s">
        <v>110</v>
      </c>
      <c r="I12" s="2381" t="s">
        <v>110</v>
      </c>
      <c r="J12" s="2381" t="s">
        <v>110</v>
      </c>
      <c r="K12" s="2381" t="s">
        <v>110</v>
      </c>
      <c r="L12" s="2381" t="s">
        <v>110</v>
      </c>
      <c r="M12" s="2381" t="s">
        <v>110</v>
      </c>
      <c r="N12" s="2381" t="s">
        <v>110</v>
      </c>
      <c r="O12" s="2381" t="s">
        <v>108</v>
      </c>
    </row>
    <row r="13" ht="7.5" customHeight="1">
      <c r="A13" s="2388"/>
      <c r="B13" s="2389"/>
      <c r="C13" s="2390"/>
      <c r="D13" s="2391" t="str">
        <f t="shared" ref="D13:O13" si="1">LINKURL(D7)</f>
        <v>https://www.reddit.com/r/RMTK/comments/c26kl0/w0025_koepelwet_kerncentrales/</v>
      </c>
      <c r="E13" s="2392" t="str">
        <f t="shared" si="1"/>
        <v>https://www.reddit.com/r/RMTK/comments/c4pqxl/w0027_wetswijziging_tot_verbieden_discriminatie/</v>
      </c>
      <c r="F13" s="2392" t="str">
        <f t="shared" si="1"/>
        <v>https://www.reddit.com/r/RMTK/comments/c8rc1h/w0028_wetswijziging_tot_aanvulling_op_de_wet/</v>
      </c>
      <c r="G13" s="2392" t="str">
        <f t="shared" si="1"/>
        <v>https://www.reddit.com/r/RMTK/comments/cbidty/w0029_wijziging_van_het_burgerlijk_wetboek_boek_1/</v>
      </c>
      <c r="H13" s="2392" t="str">
        <f t="shared" si="1"/>
        <v>https://www.reddit.com/r/RMTK/comments/cee57r/w0025_tweede_lezingkoepelwet_kerncentrales/</v>
      </c>
      <c r="I13" s="2392" t="str">
        <f t="shared" si="1"/>
        <v>https://www.reddit.com/r/RMTK/comments/cedsei/w0030_wijziging_van_het_burgerlijk_wetboek_boek_1/</v>
      </c>
      <c r="J13" s="2391" t="str">
        <f t="shared" si="1"/>
        <v>https://www.reddit.com/r/RMTK/comments/cev17r/w0031_hernieuwde_klimaatwet_2019/</v>
      </c>
      <c r="K13" s="2392" t="str">
        <f t="shared" si="1"/>
        <v>https://www.reddit.com/r/RMTK/comments/cgethq/wetsvoorstel_tot_budgettaire_begroting/</v>
      </c>
      <c r="L13" s="2393" t="str">
        <f t="shared" si="1"/>
        <v>https://www.reddit.com/r/RMTK/comments/ch9l69/w0033_wet_erkenning_recht_op_voltooid_leven/</v>
      </c>
      <c r="M13" s="2394" t="str">
        <f t="shared" si="1"/>
        <v>https://www.reddit.com/r/RMTK/comments/cwp79y/w0036_wet_ter_erkenning_van_de_nederlandse/</v>
      </c>
      <c r="N13" s="2394" t="str">
        <f t="shared" si="1"/>
        <v>https://www.reddit.com/r/RMTK/comments/cyt6r7/w0038_wetsvoorstel_tot_wijziging_van_de_wet_op_de/</v>
      </c>
      <c r="O13" s="2395" t="str">
        <f t="shared" si="1"/>
        <v/>
      </c>
    </row>
    <row r="14" ht="18.75" customHeight="1">
      <c r="A14" s="2378" t="s">
        <v>1578</v>
      </c>
      <c r="B14" s="2396" t="s">
        <v>446</v>
      </c>
      <c r="C14" s="2397" t="s">
        <v>515</v>
      </c>
      <c r="D14" s="2381" t="s">
        <v>108</v>
      </c>
      <c r="E14" s="2381" t="s">
        <v>108</v>
      </c>
      <c r="F14" s="2381" t="s">
        <v>110</v>
      </c>
      <c r="G14" s="2381" t="s">
        <v>108</v>
      </c>
      <c r="H14" s="2381" t="s">
        <v>108</v>
      </c>
      <c r="I14" s="2381" t="s">
        <v>108</v>
      </c>
      <c r="J14" s="2381" t="s">
        <v>108</v>
      </c>
      <c r="K14" s="2381" t="s">
        <v>110</v>
      </c>
      <c r="L14" s="2381" t="s">
        <v>108</v>
      </c>
      <c r="M14" s="2381" t="s">
        <v>108</v>
      </c>
      <c r="N14" s="2381" t="s">
        <v>108</v>
      </c>
      <c r="O14" s="2381" t="s">
        <v>108</v>
      </c>
    </row>
    <row r="15" ht="18.75" customHeight="1">
      <c r="A15" s="644"/>
      <c r="C15" s="2398" t="s">
        <v>153</v>
      </c>
      <c r="D15" s="2381" t="s">
        <v>109</v>
      </c>
      <c r="E15" s="2381" t="s">
        <v>110</v>
      </c>
      <c r="F15" s="2381" t="s">
        <v>119</v>
      </c>
      <c r="G15" s="2381" t="s">
        <v>119</v>
      </c>
      <c r="H15" s="2381" t="s">
        <v>119</v>
      </c>
      <c r="I15" s="2381" t="s">
        <v>119</v>
      </c>
      <c r="J15" s="2381" t="s">
        <v>119</v>
      </c>
      <c r="K15" s="2381" t="s">
        <v>119</v>
      </c>
      <c r="L15" s="2381" t="s">
        <v>119</v>
      </c>
      <c r="M15" s="2381" t="s">
        <v>119</v>
      </c>
      <c r="N15" s="2381" t="s">
        <v>119</v>
      </c>
      <c r="O15" s="2381" t="s">
        <v>119</v>
      </c>
    </row>
    <row r="16" ht="18.75" customHeight="1">
      <c r="A16" s="644"/>
      <c r="C16" s="2398" t="s">
        <v>691</v>
      </c>
      <c r="D16" s="2381" t="s">
        <v>119</v>
      </c>
      <c r="E16" s="2270" t="s">
        <v>119</v>
      </c>
      <c r="F16" s="2381" t="s">
        <v>110</v>
      </c>
      <c r="G16" s="2381" t="s">
        <v>109</v>
      </c>
      <c r="H16" s="2381" t="s">
        <v>110</v>
      </c>
      <c r="I16" s="2381" t="s">
        <v>110</v>
      </c>
      <c r="J16" s="2381" t="s">
        <v>110</v>
      </c>
      <c r="K16" s="2381" t="s">
        <v>110</v>
      </c>
      <c r="L16" s="2381" t="s">
        <v>108</v>
      </c>
      <c r="M16" s="2381" t="s">
        <v>119</v>
      </c>
      <c r="N16" s="2381" t="s">
        <v>119</v>
      </c>
      <c r="O16" s="2381" t="s">
        <v>119</v>
      </c>
    </row>
    <row r="17" ht="18.75" customHeight="1">
      <c r="A17" s="644"/>
      <c r="B17" s="109"/>
      <c r="C17" s="2399" t="s">
        <v>122</v>
      </c>
      <c r="D17" s="2381" t="s">
        <v>119</v>
      </c>
      <c r="E17" s="2381" t="s">
        <v>119</v>
      </c>
      <c r="F17" s="2381" t="s">
        <v>119</v>
      </c>
      <c r="G17" s="2381" t="s">
        <v>119</v>
      </c>
      <c r="H17" s="2381" t="s">
        <v>119</v>
      </c>
      <c r="I17" s="2381" t="s">
        <v>119</v>
      </c>
      <c r="J17" s="2381" t="s">
        <v>119</v>
      </c>
      <c r="K17" s="2381" t="s">
        <v>119</v>
      </c>
      <c r="L17" s="2381" t="s">
        <v>119</v>
      </c>
      <c r="M17" s="2383" t="s">
        <v>110</v>
      </c>
      <c r="N17" s="2383" t="s">
        <v>110</v>
      </c>
      <c r="O17" s="2383" t="s">
        <v>108</v>
      </c>
    </row>
    <row r="18" ht="18.75" customHeight="1">
      <c r="A18" s="644"/>
      <c r="B18" s="2400" t="s">
        <v>452</v>
      </c>
      <c r="C18" s="2401" t="s">
        <v>530</v>
      </c>
      <c r="D18" s="2381" t="s">
        <v>108</v>
      </c>
      <c r="E18" s="2381" t="s">
        <v>108</v>
      </c>
      <c r="F18" s="2381" t="s">
        <v>108</v>
      </c>
      <c r="G18" s="2381" t="s">
        <v>109</v>
      </c>
      <c r="H18" s="2381" t="s">
        <v>119</v>
      </c>
      <c r="I18" s="2381" t="s">
        <v>119</v>
      </c>
      <c r="J18" s="2381" t="s">
        <v>119</v>
      </c>
      <c r="K18" s="2381" t="s">
        <v>119</v>
      </c>
      <c r="L18" s="2381" t="s">
        <v>119</v>
      </c>
      <c r="M18" s="2381" t="s">
        <v>119</v>
      </c>
      <c r="N18" s="2381" t="s">
        <v>119</v>
      </c>
      <c r="O18" s="2381" t="s">
        <v>119</v>
      </c>
    </row>
    <row r="19" ht="18.75" customHeight="1">
      <c r="A19" s="658"/>
      <c r="B19" s="109"/>
      <c r="C19" s="2402" t="s">
        <v>200</v>
      </c>
      <c r="D19" s="2381" t="s">
        <v>119</v>
      </c>
      <c r="E19" s="2381" t="s">
        <v>119</v>
      </c>
      <c r="F19" s="2381" t="s">
        <v>119</v>
      </c>
      <c r="G19" s="2381" t="s">
        <v>119</v>
      </c>
      <c r="H19" s="2381" t="s">
        <v>110</v>
      </c>
      <c r="I19" s="2381" t="s">
        <v>110</v>
      </c>
      <c r="J19" s="2381" t="s">
        <v>110</v>
      </c>
      <c r="K19" s="2381" t="s">
        <v>110</v>
      </c>
      <c r="L19" s="2381" t="s">
        <v>110</v>
      </c>
      <c r="M19" s="2381" t="s">
        <v>110</v>
      </c>
      <c r="N19" s="2381" t="s">
        <v>110</v>
      </c>
      <c r="O19" s="2381" t="s">
        <v>108</v>
      </c>
    </row>
    <row r="20" ht="12.0" customHeight="1">
      <c r="A20" s="2403"/>
      <c r="B20" s="2324"/>
      <c r="C20" s="2404"/>
      <c r="D20" s="2007" t="str">
        <f t="shared" ref="D20:O20" si="2">CONCATENATE("{""status"": ", IF(GT(D21, D22), """aangenomen""", """verworpen"""), ", ""title"": """, D7, """, ""url"": """,D13  , """, ""voor"":", D21,", ""tegen"": ", D22, ", ""onthouden"":", D23, "}")</f>
        <v>{"status": "verworpen", "title": "W0025", "url": "https://www.reddit.com/r/RMTK/comments/c26kl0/w0025_koepelwet_kerncentrales/", "voor":2, "tegen": 2, "onthouden":0}</v>
      </c>
      <c r="E20" s="2007" t="str">
        <f t="shared" si="2"/>
        <v>{"status": "aangenomen", "title": "W0027", "url": "https://www.reddit.com/r/RMTK/comments/c4pqxl/w0027_wetswijziging_tot_verbieden_discriminatie/", "voor":4, "tegen": 0, "onthouden":0}</v>
      </c>
      <c r="F20" s="2007" t="str">
        <f t="shared" si="2"/>
        <v>{"status": "aangenomen", "title": "W0028", "url": "https://www.reddit.com/r/RMTK/comments/c8rc1h/w0028_wetswijziging_tot_aanvulling_op_de_wet/", "voor":5, "tegen": 0, "onthouden":0}</v>
      </c>
      <c r="G20" s="2007" t="str">
        <f t="shared" si="2"/>
        <v>{"status": "verworpen", "title": "W0029", "url": "https://www.reddit.com/r/RMTK/comments/cbidty/w0029_wijziging_van_het_burgerlijk_wetboek_boek_1/", "voor":2, "tegen": 2, "onthouden":1}</v>
      </c>
      <c r="H20" s="2405" t="str">
        <f t="shared" si="2"/>
        <v>{"status": "aangenomen", "title": "W0025", "url": "https://www.reddit.com/r/RMTK/comments/cee57r/w0025_tweede_lezingkoepelwet_kerncentrales/", "voor":5, "tegen": 0, "onthouden":0}</v>
      </c>
      <c r="I20" s="2405" t="str">
        <f t="shared" si="2"/>
        <v>{"status": "aangenomen", "title": "W0030", "url": "https://www.reddit.com/r/RMTK/comments/cedsei/w0030_wijziging_van_het_burgerlijk_wetboek_boek_1/", "voor":5, "tegen": 0, "onthouden":0}</v>
      </c>
      <c r="J20" s="2405" t="str">
        <f t="shared" si="2"/>
        <v>{"status": "aangenomen", "title": "W0031", "url": "https://www.reddit.com/r/RMTK/comments/cev17r/w0031_hernieuwde_klimaatwet_2019/", "voor":5, "tegen": 0, "onthouden":0}</v>
      </c>
      <c r="K20" s="2405" t="str">
        <f t="shared" si="2"/>
        <v>{"status": "aangenomen", "title": "W0032", "url": "https://www.reddit.com/r/RMTK/comments/cgethq/wetsvoorstel_tot_budgettaire_begroting/", "voor":6, "tegen": 0, "onthouden":0}</v>
      </c>
      <c r="L20" s="2405" t="str">
        <f t="shared" si="2"/>
        <v>{"status": "aangenomen", "title": "W0033", "url": "https://www.reddit.com/r/RMTK/comments/ch9l69/w0033_wet_erkenning_recht_op_voltooid_leven/", "voor":3, "tegen": 1, "onthouden":0}</v>
      </c>
      <c r="M20" s="2405" t="str">
        <f t="shared" si="2"/>
        <v>{"status": "aangenomen", "title": "W0036", "url": "https://www.reddit.com/r/RMTK/comments/cwp79y/w0036_wet_ter_erkenning_van_de_nederlandse/", "voor":5, "tegen": 0, "onthouden":0}</v>
      </c>
      <c r="N20" s="2405" t="str">
        <f t="shared" si="2"/>
        <v>{"status": "aangenomen", "title": "W0038", "url": "https://www.reddit.com/r/RMTK/comments/cyt6r7/w0038_wetsvoorstel_tot_wijziging_van_de_wet_op_de/", "voor":5, "tegen": 0, "onthouden":0}</v>
      </c>
      <c r="O20" s="2405" t="str">
        <f t="shared" si="2"/>
        <v>{"status": "verworpen", "title": "", "url": "", "voor":0, "tegen": 0, "onthouden":0}</v>
      </c>
    </row>
    <row r="21" ht="18.75" customHeight="1">
      <c r="A21" s="2406" t="s">
        <v>158</v>
      </c>
      <c r="B21" s="2407" t="s">
        <v>110</v>
      </c>
      <c r="D21" s="2408">
        <f t="shared" ref="D21:O21" si="3">COUNTIF(D6:D19,"Voor")</f>
        <v>2</v>
      </c>
      <c r="E21" s="2408">
        <f t="shared" si="3"/>
        <v>4</v>
      </c>
      <c r="F21" s="2408">
        <f t="shared" si="3"/>
        <v>5</v>
      </c>
      <c r="G21" s="2408">
        <f t="shared" si="3"/>
        <v>2</v>
      </c>
      <c r="H21" s="2408">
        <f t="shared" si="3"/>
        <v>5</v>
      </c>
      <c r="I21" s="2408">
        <f t="shared" si="3"/>
        <v>5</v>
      </c>
      <c r="J21" s="2408">
        <f t="shared" si="3"/>
        <v>5</v>
      </c>
      <c r="K21" s="2408">
        <f t="shared" si="3"/>
        <v>6</v>
      </c>
      <c r="L21" s="2408">
        <f t="shared" si="3"/>
        <v>3</v>
      </c>
      <c r="M21" s="2408">
        <f t="shared" si="3"/>
        <v>5</v>
      </c>
      <c r="N21" s="2408">
        <f t="shared" si="3"/>
        <v>5</v>
      </c>
      <c r="O21" s="2408">
        <f t="shared" si="3"/>
        <v>0</v>
      </c>
    </row>
    <row r="22" ht="18.75" customHeight="1">
      <c r="B22" s="2409" t="s">
        <v>109</v>
      </c>
      <c r="D22" s="2410">
        <f t="shared" ref="D22:O22" si="4">COUNTIF(D6:D19,"Tegen")</f>
        <v>2</v>
      </c>
      <c r="E22" s="2410">
        <f t="shared" si="4"/>
        <v>0</v>
      </c>
      <c r="F22" s="2410">
        <f t="shared" si="4"/>
        <v>0</v>
      </c>
      <c r="G22" s="2410">
        <f t="shared" si="4"/>
        <v>2</v>
      </c>
      <c r="H22" s="2410">
        <f t="shared" si="4"/>
        <v>0</v>
      </c>
      <c r="I22" s="2410">
        <f t="shared" si="4"/>
        <v>0</v>
      </c>
      <c r="J22" s="2410">
        <f t="shared" si="4"/>
        <v>0</v>
      </c>
      <c r="K22" s="2410">
        <f t="shared" si="4"/>
        <v>0</v>
      </c>
      <c r="L22" s="2410">
        <f t="shared" si="4"/>
        <v>1</v>
      </c>
      <c r="M22" s="2410">
        <f t="shared" si="4"/>
        <v>0</v>
      </c>
      <c r="N22" s="2410">
        <f t="shared" si="4"/>
        <v>0</v>
      </c>
      <c r="O22" s="2410">
        <f t="shared" si="4"/>
        <v>0</v>
      </c>
    </row>
    <row r="23" ht="18.75" customHeight="1">
      <c r="B23" s="2411" t="s">
        <v>159</v>
      </c>
      <c r="D23" s="2412">
        <f t="shared" ref="D23:O23" si="5">COUNTIF(D6:D19,"SO")</f>
        <v>0</v>
      </c>
      <c r="E23" s="2412">
        <f t="shared" si="5"/>
        <v>0</v>
      </c>
      <c r="F23" s="2412">
        <f t="shared" si="5"/>
        <v>0</v>
      </c>
      <c r="G23" s="2412">
        <f t="shared" si="5"/>
        <v>1</v>
      </c>
      <c r="H23" s="2412">
        <f t="shared" si="5"/>
        <v>0</v>
      </c>
      <c r="I23" s="2412">
        <f t="shared" si="5"/>
        <v>0</v>
      </c>
      <c r="J23" s="2412">
        <f t="shared" si="5"/>
        <v>0</v>
      </c>
      <c r="K23" s="2412">
        <f t="shared" si="5"/>
        <v>0</v>
      </c>
      <c r="L23" s="2412">
        <f t="shared" si="5"/>
        <v>0</v>
      </c>
      <c r="M23" s="2412">
        <f t="shared" si="5"/>
        <v>0</v>
      </c>
      <c r="N23" s="2412">
        <f t="shared" si="5"/>
        <v>0</v>
      </c>
      <c r="O23" s="2412">
        <f t="shared" si="5"/>
        <v>0</v>
      </c>
    </row>
    <row r="24" ht="18.75" customHeight="1">
      <c r="B24" s="2413" t="s">
        <v>160</v>
      </c>
      <c r="D24" s="2414">
        <f t="shared" ref="D24:O24" si="6">COUNTIF(D6:D19,"NG")</f>
        <v>2</v>
      </c>
      <c r="E24" s="2414">
        <f t="shared" si="6"/>
        <v>2</v>
      </c>
      <c r="F24" s="2414">
        <f t="shared" si="6"/>
        <v>1</v>
      </c>
      <c r="G24" s="2414">
        <f t="shared" si="6"/>
        <v>1</v>
      </c>
      <c r="H24" s="2414">
        <f t="shared" si="6"/>
        <v>1</v>
      </c>
      <c r="I24" s="2414">
        <f t="shared" si="6"/>
        <v>1</v>
      </c>
      <c r="J24" s="2414">
        <f t="shared" si="6"/>
        <v>1</v>
      </c>
      <c r="K24" s="2414">
        <f t="shared" si="6"/>
        <v>0</v>
      </c>
      <c r="L24" s="2414">
        <f t="shared" si="6"/>
        <v>2</v>
      </c>
      <c r="M24" s="2414">
        <f t="shared" si="6"/>
        <v>1</v>
      </c>
      <c r="N24" s="2414">
        <f t="shared" si="6"/>
        <v>1</v>
      </c>
      <c r="O24" s="2414">
        <f t="shared" si="6"/>
        <v>6</v>
      </c>
    </row>
    <row r="25" ht="18.75" customHeight="1">
      <c r="B25" s="2415" t="s">
        <v>161</v>
      </c>
      <c r="D25" s="2416">
        <f t="shared" ref="D25:O25" si="7">SUM(D21:D24)</f>
        <v>6</v>
      </c>
      <c r="E25" s="2416">
        <f t="shared" si="7"/>
        <v>6</v>
      </c>
      <c r="F25" s="2416">
        <f t="shared" si="7"/>
        <v>6</v>
      </c>
      <c r="G25" s="2416">
        <f t="shared" si="7"/>
        <v>6</v>
      </c>
      <c r="H25" s="2416">
        <f t="shared" si="7"/>
        <v>6</v>
      </c>
      <c r="I25" s="2416">
        <f t="shared" si="7"/>
        <v>6</v>
      </c>
      <c r="J25" s="2416">
        <f t="shared" si="7"/>
        <v>6</v>
      </c>
      <c r="K25" s="2416">
        <f t="shared" si="7"/>
        <v>6</v>
      </c>
      <c r="L25" s="2416">
        <f t="shared" si="7"/>
        <v>6</v>
      </c>
      <c r="M25" s="2416">
        <f t="shared" si="7"/>
        <v>6</v>
      </c>
      <c r="N25" s="2416">
        <f t="shared" si="7"/>
        <v>6</v>
      </c>
      <c r="O25" s="2416">
        <f t="shared" si="7"/>
        <v>6</v>
      </c>
    </row>
    <row r="26" ht="18.75" customHeight="1">
      <c r="B26" s="2417" t="s">
        <v>162</v>
      </c>
      <c r="D26" s="2418">
        <f t="shared" ref="D26:O26" si="8">D21+D22+D23</f>
        <v>4</v>
      </c>
      <c r="E26" s="2418">
        <f t="shared" si="8"/>
        <v>4</v>
      </c>
      <c r="F26" s="2418">
        <f t="shared" si="8"/>
        <v>5</v>
      </c>
      <c r="G26" s="2418">
        <f t="shared" si="8"/>
        <v>5</v>
      </c>
      <c r="H26" s="2418">
        <f t="shared" si="8"/>
        <v>5</v>
      </c>
      <c r="I26" s="2418">
        <f t="shared" si="8"/>
        <v>5</v>
      </c>
      <c r="J26" s="2418">
        <f t="shared" si="8"/>
        <v>5</v>
      </c>
      <c r="K26" s="2418">
        <f t="shared" si="8"/>
        <v>6</v>
      </c>
      <c r="L26" s="2418">
        <f t="shared" si="8"/>
        <v>4</v>
      </c>
      <c r="M26" s="2418">
        <f t="shared" si="8"/>
        <v>5</v>
      </c>
      <c r="N26" s="2418">
        <f t="shared" si="8"/>
        <v>5</v>
      </c>
      <c r="O26" s="2418">
        <f t="shared" si="8"/>
        <v>0</v>
      </c>
    </row>
    <row r="27" ht="18.75" customHeight="1">
      <c r="B27" s="2419" t="s">
        <v>163</v>
      </c>
      <c r="C27" s="109"/>
      <c r="D27" s="2420">
        <f t="shared" ref="D27:O27" si="9">IFERROR(D26/D25,"")</f>
        <v>0.6666666667</v>
      </c>
      <c r="E27" s="2420">
        <f t="shared" si="9"/>
        <v>0.6666666667</v>
      </c>
      <c r="F27" s="2420">
        <f t="shared" si="9"/>
        <v>0.8333333333</v>
      </c>
      <c r="G27" s="2420">
        <f t="shared" si="9"/>
        <v>0.8333333333</v>
      </c>
      <c r="H27" s="2420">
        <f t="shared" si="9"/>
        <v>0.8333333333</v>
      </c>
      <c r="I27" s="2420">
        <f t="shared" si="9"/>
        <v>0.8333333333</v>
      </c>
      <c r="J27" s="2420">
        <f t="shared" si="9"/>
        <v>0.8333333333</v>
      </c>
      <c r="K27" s="2420">
        <f t="shared" si="9"/>
        <v>1</v>
      </c>
      <c r="L27" s="2420">
        <f t="shared" si="9"/>
        <v>0.6666666667</v>
      </c>
      <c r="M27" s="2420">
        <f t="shared" si="9"/>
        <v>0.8333333333</v>
      </c>
      <c r="N27" s="2420">
        <f t="shared" si="9"/>
        <v>0.8333333333</v>
      </c>
      <c r="O27" s="2420">
        <f t="shared" si="9"/>
        <v>0</v>
      </c>
    </row>
    <row r="28" ht="18.75" customHeight="1">
      <c r="A28" s="1599"/>
      <c r="B28" s="1599"/>
      <c r="C28" s="1599"/>
      <c r="D28" s="1601"/>
      <c r="E28" s="1601"/>
      <c r="F28" s="1601"/>
      <c r="G28" s="1601"/>
      <c r="H28" s="1601"/>
      <c r="I28" s="1601"/>
      <c r="J28" s="1601"/>
      <c r="K28" s="1601"/>
      <c r="L28" s="1601"/>
      <c r="M28" s="1601"/>
      <c r="N28" s="1601"/>
      <c r="O28" s="1601"/>
    </row>
    <row r="29" ht="18.75" customHeight="1">
      <c r="A29" s="1601"/>
      <c r="B29" s="1601"/>
      <c r="C29" s="1601"/>
      <c r="D29" s="1601"/>
      <c r="E29" s="1601"/>
      <c r="F29" s="1601"/>
      <c r="G29" s="1601"/>
      <c r="H29" s="1601"/>
      <c r="I29" s="1601"/>
      <c r="J29" s="1601"/>
      <c r="K29" s="1601"/>
      <c r="L29" s="1601"/>
      <c r="M29" s="1601"/>
      <c r="N29" s="1601"/>
      <c r="O29" s="1601"/>
    </row>
  </sheetData>
  <mergeCells count="18">
    <mergeCell ref="A2:C2"/>
    <mergeCell ref="D2:O2"/>
    <mergeCell ref="A4:C4"/>
    <mergeCell ref="D4:O6"/>
    <mergeCell ref="A5:C6"/>
    <mergeCell ref="A9:A12"/>
    <mergeCell ref="B9:B10"/>
    <mergeCell ref="B24:C24"/>
    <mergeCell ref="B25:C25"/>
    <mergeCell ref="B26:C26"/>
    <mergeCell ref="B27:C27"/>
    <mergeCell ref="A14:A19"/>
    <mergeCell ref="B14:B17"/>
    <mergeCell ref="B18:B19"/>
    <mergeCell ref="A21:A27"/>
    <mergeCell ref="B21:C21"/>
    <mergeCell ref="B22:C22"/>
    <mergeCell ref="B23:C23"/>
  </mergeCells>
  <conditionalFormatting sqref="N9:O10 D10:M10 M15:M19 D16:D17 G16:L19 N16:O19 E17:F17 D19:F19">
    <cfRule type="containsText" dxfId="3" priority="1" operator="containsText" text="tegen">
      <formula>NOT(ISERROR(SEARCH(("tegen"),(N9))))</formula>
    </cfRule>
  </conditionalFormatting>
  <conditionalFormatting sqref="N9:O10 D10:M10 F15:F17 G15:O19 D16:E17 D19:F19">
    <cfRule type="cellIs" dxfId="5" priority="2" operator="equal">
      <formula>"NG"</formula>
    </cfRule>
  </conditionalFormatting>
  <conditionalFormatting sqref="D9:O12 B11:C11 D14:O19">
    <cfRule type="containsText" dxfId="4" priority="3" operator="containsText" text="voor">
      <formula>NOT(ISERROR(SEARCH(("voor"),(D9))))</formula>
    </cfRule>
  </conditionalFormatting>
  <conditionalFormatting sqref="D9:D19 E9:I12 J9:J19 K9:O12 B11:C11 E14:I19 K14:O19">
    <cfRule type="containsText" dxfId="2" priority="4" operator="containsText" text="SO">
      <formula>NOT(ISERROR(SEARCH(("SO"),(D9))))</formula>
    </cfRule>
  </conditionalFormatting>
  <conditionalFormatting sqref="D13 J13">
    <cfRule type="containsText" dxfId="49" priority="5" operator="containsText" text="voor">
      <formula>NOT(ISERROR(SEARCH(("voor"),(D13))))</formula>
    </cfRule>
  </conditionalFormatting>
  <conditionalFormatting sqref="D9:D19 E9:I12 J9:J19 K9:O12 B11:C11 E14:I19 K14:O19">
    <cfRule type="containsText" dxfId="5" priority="6" operator="containsText" text="NG">
      <formula>NOT(ISERROR(SEARCH(("NG"),(D9))))</formula>
    </cfRule>
  </conditionalFormatting>
  <conditionalFormatting sqref="D9:D19 E9:I12 J9:J19 K9:O12 B11:C11 E14:I19 K14:O19">
    <cfRule type="containsText" dxfId="6" priority="7" operator="containsText" text="NVT">
      <formula>NOT(ISERROR(SEARCH(("NVT"),(D9))))</formula>
    </cfRule>
  </conditionalFormatting>
  <conditionalFormatting sqref="A1:O3 G8:I12 J8:J19 K8:O12 D9:F12 B11:C11 E14:I19 K14:O19 D16:D17 D19 D21:F29 G21:O28 A28:C28">
    <cfRule type="containsText" dxfId="39" priority="8" operator="containsText" text="SO">
      <formula>NOT(ISERROR(SEARCH(("SO"),(A1))))</formula>
    </cfRule>
  </conditionalFormatting>
  <conditionalFormatting sqref="A1:O3 G8:I12 J8:J19 K8:O12 D9:F12 B11:C11 E14:I19 K14:O19 D16:D17 D19 D21:F29 G21:O28 A28:C28">
    <cfRule type="containsText" dxfId="40" priority="9" operator="containsText" text="N.v.t.">
      <formula>NOT(ISERROR(SEARCH(("N.v.t."),(A1))))</formula>
    </cfRule>
  </conditionalFormatting>
  <conditionalFormatting sqref="A1:O3 G8:I12 J8:J19 K8:O12 D9:F12 B11:C11 E14:I19 K14:O19 D16:D17 D19 D21:F29 G21:O28 A28:C28">
    <cfRule type="containsText" dxfId="23" priority="10" operator="containsText" text="Voor">
      <formula>NOT(ISERROR(SEARCH(("Voor"),(A1))))</formula>
    </cfRule>
  </conditionalFormatting>
  <conditionalFormatting sqref="A1:O3 G8:I12 J8:J19 K8:O12 D9:F12 B11:C11 E14:I19 K14:O19 D16:D17 D19 D21:F29 G21:O28 A28:C28">
    <cfRule type="containsText" dxfId="41" priority="11" operator="containsText" text="Tegen">
      <formula>NOT(ISERROR(SEARCH(("Tegen"),(A1))))</formula>
    </cfRule>
  </conditionalFormatting>
  <conditionalFormatting sqref="A1:O3 G8:I12 J8:J19 K8:O12 D9:F12 B11:C11 E14:I19 K14:O19 D16:D17 D19 D21:F29 G21:O28 A28:C28">
    <cfRule type="containsText" dxfId="42" priority="12" operator="containsText" text="N.v.t.">
      <formula>NOT(ISERROR(SEARCH(("N.v.t."),(A1))))</formula>
    </cfRule>
  </conditionalFormatting>
  <conditionalFormatting sqref="A1:O3 G8:I12 J8:J19 K8:O12 D9:F12 B11:C11 E14:I19 K14:O19 D16:D17 D19 D21:F29 G21:O28 A28:C28">
    <cfRule type="cellIs" dxfId="39" priority="13" operator="equal">
      <formula>"SO"</formula>
    </cfRule>
  </conditionalFormatting>
  <conditionalFormatting sqref="A1:O3 G8:I12 J8:J19 K8:O12 D9:F12 B11:C11 E14:I19 K14:O19 D16:D17 D19 D21:F29 G21:O28 A28:C28">
    <cfRule type="cellIs" dxfId="43" priority="14" operator="equal">
      <formula>"NG"</formula>
    </cfRule>
  </conditionalFormatting>
  <conditionalFormatting sqref="A1:A5 B1:C4 D1:O6 A7:A8 B7:C11 D8:D19 E8:I12 J8:J19 K8:O12 A13 B13:C14 E14:I19 K14:O19 A20:C28 D21:F29 G21:O28">
    <cfRule type="containsText" dxfId="0" priority="15" operator="containsText" text="voor">
      <formula>NOT(ISERROR(SEARCH(("voor"),(A1))))</formula>
    </cfRule>
  </conditionalFormatting>
  <conditionalFormatting sqref="A1:A5 B1:C4 D1:O6 A7:A8 B7:C11 D8:D19 E8:I12 J8:J19 K8:O12 A13 B13:C14 E14:I19 K14:O19 A20:C28 D21:F29 G21:O28">
    <cfRule type="containsText" dxfId="1" priority="16" operator="containsText" text="tegen">
      <formula>NOT(ISERROR(SEARCH(("tegen"),(A1))))</formula>
    </cfRule>
  </conditionalFormatting>
  <conditionalFormatting sqref="A1:C3 D1:O6 D8:D19 E8:I12 J8:J19 K8:O12 B11:C11 E14:I19 K14:O19 D21:F29 G21:O28 A28:C28">
    <cfRule type="containsText" dxfId="44" priority="17" operator="containsText" text="SO">
      <formula>NOT(ISERROR(SEARCH(("SO"),(A1))))</formula>
    </cfRule>
  </conditionalFormatting>
  <conditionalFormatting sqref="A1:C3 D1:O6 D8:D19 E8:I12 J8:J19 K8:O12 B11:C11 E14:I19 K14:O19 D21:F29 G21:O28 A28:C28">
    <cfRule type="containsText" dxfId="45" priority="18" operator="containsText" text="NG">
      <formula>NOT(ISERROR(SEARCH(("NG"),(A1))))</formula>
    </cfRule>
  </conditionalFormatting>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B0F00"/>
    <outlinePr summaryBelow="0" summaryRight="0"/>
  </sheetPr>
  <sheetViews>
    <sheetView workbookViewId="0">
      <pane xSplit="3.0" ySplit="6.0" topLeftCell="D7" activePane="bottomRight" state="frozen"/>
      <selection activeCell="D1" sqref="D1" pane="topRight"/>
      <selection activeCell="A7" sqref="A7" pane="bottomLeft"/>
      <selection activeCell="D7" sqref="D7" pane="bottomRight"/>
    </sheetView>
  </sheetViews>
  <sheetFormatPr customHeight="1" defaultColWidth="14.43" defaultRowHeight="15.75"/>
  <cols>
    <col customWidth="1" min="1" max="1" width="10.86"/>
    <col customWidth="1" min="2" max="2" width="11.0"/>
    <col customWidth="1" min="3" max="3" width="26.29"/>
  </cols>
  <sheetData>
    <row r="1" ht="18.75" customHeight="1">
      <c r="A1" s="2248" t="s">
        <v>164</v>
      </c>
      <c r="B1" s="2249"/>
      <c r="C1" s="2249"/>
      <c r="D1" s="2249"/>
      <c r="E1" s="2249"/>
      <c r="F1" s="2249"/>
      <c r="G1" s="2250"/>
      <c r="H1" s="2250"/>
      <c r="I1" s="2250"/>
      <c r="J1" s="2250"/>
      <c r="K1" s="2250"/>
      <c r="L1" s="2250"/>
      <c r="M1" s="2250"/>
      <c r="N1" s="2250"/>
      <c r="O1" s="2251"/>
      <c r="P1" s="2251"/>
      <c r="Q1" s="2251"/>
      <c r="R1" s="2251"/>
      <c r="S1" s="2251"/>
      <c r="T1" s="2251"/>
      <c r="U1" s="2250"/>
      <c r="V1" s="2250"/>
      <c r="W1" s="2250"/>
      <c r="X1" s="2250"/>
      <c r="Y1" s="2250"/>
      <c r="Z1" s="2250"/>
      <c r="AA1" s="2250"/>
      <c r="AB1" s="2250"/>
      <c r="AC1" s="2250"/>
      <c r="AD1" s="2250"/>
      <c r="AE1" s="2250"/>
      <c r="AF1" s="2250"/>
      <c r="AG1" s="2250"/>
      <c r="AH1" s="2250"/>
      <c r="AI1" s="2250"/>
      <c r="AJ1" s="2250"/>
      <c r="AK1" s="2250"/>
      <c r="AL1" s="2250"/>
    </row>
    <row r="2" ht="18.75" customHeight="1">
      <c r="A2" s="2252" t="s">
        <v>1013</v>
      </c>
      <c r="B2" s="109"/>
      <c r="C2" s="110"/>
      <c r="D2" s="2253" t="s">
        <v>1571</v>
      </c>
      <c r="E2" s="112"/>
      <c r="F2" s="112"/>
      <c r="G2" s="112"/>
      <c r="H2" s="112"/>
      <c r="I2" s="112"/>
      <c r="J2" s="112"/>
      <c r="K2" s="112"/>
      <c r="L2" s="112"/>
      <c r="M2" s="112"/>
      <c r="N2" s="112"/>
      <c r="O2" s="112"/>
      <c r="P2" s="112"/>
      <c r="Q2" s="112"/>
      <c r="R2" s="112"/>
      <c r="S2" s="112"/>
      <c r="T2" s="112"/>
      <c r="U2" s="112"/>
      <c r="V2" s="112"/>
      <c r="W2" s="112"/>
      <c r="X2" s="112"/>
      <c r="Y2" s="112"/>
      <c r="Z2" s="112"/>
      <c r="AA2" s="112"/>
      <c r="AB2" s="112"/>
      <c r="AC2" s="112"/>
      <c r="AD2" s="112"/>
      <c r="AE2" s="112"/>
      <c r="AF2" s="112"/>
      <c r="AG2" s="112"/>
      <c r="AH2" s="112"/>
      <c r="AI2" s="112"/>
      <c r="AJ2" s="112"/>
      <c r="AK2" s="112"/>
      <c r="AL2" s="20"/>
    </row>
    <row r="3" ht="18.75" customHeight="1">
      <c r="A3" s="2421" t="s">
        <v>1787</v>
      </c>
      <c r="C3" s="115"/>
      <c r="D3" s="43"/>
      <c r="AL3" s="44"/>
    </row>
    <row r="4" ht="18.75" customHeight="1">
      <c r="C4" s="115"/>
      <c r="D4" s="26"/>
      <c r="E4" s="504"/>
      <c r="F4" s="504"/>
      <c r="G4" s="504"/>
      <c r="H4" s="504"/>
      <c r="I4" s="504"/>
      <c r="J4" s="504"/>
      <c r="K4" s="504"/>
      <c r="L4" s="504"/>
      <c r="M4" s="504"/>
      <c r="N4" s="504"/>
      <c r="O4" s="504"/>
      <c r="P4" s="504"/>
      <c r="Q4" s="504"/>
      <c r="R4" s="504"/>
      <c r="S4" s="504"/>
      <c r="T4" s="504"/>
      <c r="U4" s="504"/>
      <c r="V4" s="504"/>
      <c r="W4" s="504"/>
      <c r="X4" s="504"/>
      <c r="Y4" s="504"/>
      <c r="Z4" s="504"/>
      <c r="AA4" s="504"/>
      <c r="AB4" s="504"/>
      <c r="AC4" s="504"/>
      <c r="AD4" s="504"/>
      <c r="AE4" s="504"/>
      <c r="AF4" s="504"/>
      <c r="AG4" s="504"/>
      <c r="AH4" s="504"/>
      <c r="AI4" s="504"/>
      <c r="AJ4" s="504"/>
      <c r="AK4" s="504"/>
      <c r="AL4" s="27"/>
    </row>
    <row r="5" ht="18.75" customHeight="1">
      <c r="A5" s="2255" t="s">
        <v>82</v>
      </c>
      <c r="B5" s="2256" t="s">
        <v>83</v>
      </c>
      <c r="C5" s="2257" t="s">
        <v>84</v>
      </c>
      <c r="D5" s="2258" t="str">
        <f>HYPERLINK("https://www.reddit.com/r/RMTK/comments/bldkk7","M0051")</f>
        <v>M0051</v>
      </c>
      <c r="E5" s="2258" t="str">
        <f>HYPERLINK("https://www.reddit.com/r/RMTK/comments/bj9hku","W0018")</f>
        <v>W0018</v>
      </c>
      <c r="F5" s="2258" t="str">
        <f>HYPERLINK("https://www.reddit.com/r/RMTK/comments/bluekl","W0019-I")</f>
        <v>W0019-I</v>
      </c>
      <c r="G5" s="2258" t="str">
        <f>HYPERLINK("https://www.reddit.com/r/RMTK/comments/bo84o0","M0052")</f>
        <v>M0052</v>
      </c>
      <c r="H5" s="2258" t="str">
        <f>HYPERLINK("https://www.reddit.com/r/RMTK/comments/bolxzd","M0053")</f>
        <v>M0053</v>
      </c>
      <c r="I5" s="2258" t="str">
        <f>HYPERLINK("https://www.reddit.com/r/RMTK/comments/bp1yrt","M0054")</f>
        <v>M0054</v>
      </c>
      <c r="J5" s="2258" t="str">
        <f>HYPERLINK("https://www.reddit.com/r/RMTK/comments/bpg279","M0055")</f>
        <v>M0055</v>
      </c>
      <c r="K5" s="2258" t="str">
        <f>HYPERLINK("https://www.reddit.com/r/RMTK/comments/bjlxhu","W0019")</f>
        <v>W0019</v>
      </c>
      <c r="L5" s="2258" t="str">
        <f>HYPERLINK("https://www.reddit.com/r/RMTK/comments/bqyh4h","M0056")</f>
        <v>M0056</v>
      </c>
      <c r="M5" s="2258" t="str">
        <f>HYPERLINK("https://www.reddit.com/r/RMTK/comments/bre7w0","M0057")</f>
        <v>M0057</v>
      </c>
      <c r="N5" s="2258" t="str">
        <f>HYPERLINK("https://www.reddit.com/r/RMTK/comments/bsdur4","M0058")</f>
        <v>M0058</v>
      </c>
      <c r="O5" s="2259" t="str">
        <f>HYPERLINK("https://www.reddit.com/r/RMTK/comments/btpiig","M0059")</f>
        <v>M0059</v>
      </c>
      <c r="P5" s="2259" t="str">
        <f>HYPERLINK("https://www.reddit.com/r/RMTK/comments/bu3gzh","M0060")</f>
        <v>M0060</v>
      </c>
      <c r="Q5" s="2259" t="str">
        <f>HYPERLINK("https://www.reddit.com/r/RMTK/comments/buj9zq","M0061")</f>
        <v>M0061</v>
      </c>
      <c r="R5" s="2259" t="str">
        <f>HYPERLINK("https://www.reddit.com/r/RMTK/comments/buv49l","M0062")</f>
        <v>M0062</v>
      </c>
      <c r="S5" s="2259" t="str">
        <f>HYPERLINK("https://www.reddit.com/r/RMTK/comments/buw274","M0063")</f>
        <v>M0063</v>
      </c>
      <c r="T5" s="2259" t="str">
        <f>HYPERLINK("https://www.reddit.com/r/RMTK/comments/bu3zq8","W0020")</f>
        <v>W0020</v>
      </c>
      <c r="U5" s="2259" t="str">
        <f>HYPERLINK("https://www.reddit.com/r/RMTK/comments/bwsh5f","M0064")</f>
        <v>M0064</v>
      </c>
      <c r="V5" s="2259" t="str">
        <f>HYPERLINK("https://www.reddit.com/r/RMTK/comments/bx5ji9","M0065")</f>
        <v>M0065</v>
      </c>
      <c r="W5" s="2259" t="str">
        <f>HYPERLINK("https://www.reddit.com/r/RMTK/comments/bxlc67","M0066")</f>
        <v>M0066</v>
      </c>
      <c r="X5" s="2259" t="str">
        <f>HYPERLINK("https://www.reddit.com/r/RMTK/comments/bwf39d","W0021")</f>
        <v>W0021</v>
      </c>
      <c r="Y5" s="2259" t="str">
        <f>HYPERLINK("https://www.reddit.com/r/RMTK/comments/bwr7df","W0022")</f>
        <v>W0022</v>
      </c>
      <c r="Z5" s="2259" t="str">
        <f>HYPERLINK("https://www.reddit.com/r/RMTK/comments/bz0k2u","M0068")</f>
        <v>M0068</v>
      </c>
      <c r="AA5" s="2259" t="str">
        <f>HYPERLINK("https://www.reddit.com/r/RMTK/comments/bztdwa","M0069")</f>
        <v>M0069</v>
      </c>
      <c r="AB5" s="2259" t="str">
        <f>HYPERLINK("https://www.reddit.com/r/RMTK/comments/bzupg1","M0070")</f>
        <v>M0070</v>
      </c>
      <c r="AC5" s="2259" t="str">
        <f>HYPERLINK("https://www.reddit.com/r/RMTK/comments/bzfz9f","W0023-I")</f>
        <v>W0023-I</v>
      </c>
      <c r="AD5" s="2259" t="str">
        <f>HYPERLINK("https://www.reddit.com/r/RMTK/comments/c09536","W0024")</f>
        <v>W0024</v>
      </c>
      <c r="AE5" s="2259" t="str">
        <f>HYPERLINK("https://reddit.com/r/RMTK/comments/bxktln/w0023_wetswijziging_tot_verandering_erfbelasting/","W0023")</f>
        <v>W0023</v>
      </c>
      <c r="AF5" s="2259" t="str">
        <f>HYPERLINK("https://reddit.com/r/RMTK/comments/c2juo6/w0026_wet_reclame_alcoholhoudende_dranken/","W0026")</f>
        <v>W0026</v>
      </c>
      <c r="AG5" s="2259" t="str">
        <f>HYPERLINK("https://reddit.com/r/RMTK/comments/c2ykuk/w0025i_amendement_op_koepelwet_kerncentrales/","W0025-I")</f>
        <v>W0025-I</v>
      </c>
      <c r="AH5" s="2259" t="str">
        <f>HYPERLINK("https://www.reddit.com/r/RMTK/comments/c5cgq4/m0072_motie_tot_betere_bereikbaarheid_zeeland/","M0072")</f>
        <v>M0072</v>
      </c>
      <c r="AI5" s="2259" t="str">
        <f>HYPERLINK("https://www.reddit.com/r/RMTK/comments/c5sd9y/m0073_motie_tot_verbetering_internationaal/","M0073")</f>
        <v>M0073</v>
      </c>
      <c r="AJ5" s="2259" t="str">
        <f>HYPERLINK("https://www.reddit.com/r/RMTK/comments/c67sej/m0074_motie_tot_onderzoek_doen_naar_milieuplafonds/","M0074")</f>
        <v>M0074</v>
      </c>
      <c r="AK5" s="2259" t="str">
        <f>HYPERLINK("https://www.reddit.com/r/RMTK/comments/c26kl0/w0025_koepelwet_kerncentrales/","W0025")</f>
        <v>W0025</v>
      </c>
      <c r="AL5" s="2259" t="str">
        <f>HYPERLINK("https://www.reddit.com/r/RMTK/comments/c4pqxl/w0027_wetswijziging_tot_verbieden_discriminatie/","W0027")</f>
        <v>W0027</v>
      </c>
    </row>
    <row r="6" ht="6.0" customHeight="1">
      <c r="A6" s="2260"/>
      <c r="B6" s="2377"/>
      <c r="C6" s="2261"/>
      <c r="D6" s="2422"/>
      <c r="E6" s="2422"/>
      <c r="F6" s="2422"/>
      <c r="G6" s="2422"/>
      <c r="H6" s="2422"/>
      <c r="I6" s="2422"/>
      <c r="J6" s="2422"/>
      <c r="K6" s="2422"/>
      <c r="L6" s="2422"/>
      <c r="M6" s="2422"/>
      <c r="N6" s="2422"/>
      <c r="O6" s="2423"/>
      <c r="P6" s="2423"/>
      <c r="Q6" s="2423"/>
      <c r="R6" s="2423"/>
      <c r="S6" s="2423"/>
      <c r="T6" s="2423"/>
      <c r="U6" s="2424"/>
      <c r="V6" s="2424"/>
      <c r="W6" s="2424"/>
      <c r="X6" s="2424"/>
      <c r="Y6" s="2424"/>
      <c r="Z6" s="2424"/>
      <c r="AA6" s="2424"/>
      <c r="AB6" s="2424"/>
      <c r="AC6" s="2424"/>
      <c r="AD6" s="2424"/>
      <c r="AE6" s="1967"/>
      <c r="AF6" s="1967"/>
      <c r="AG6" s="1967"/>
      <c r="AH6" s="1967"/>
      <c r="AI6" s="1967"/>
      <c r="AJ6" s="1967"/>
      <c r="AK6" s="1967"/>
      <c r="AL6" s="1967"/>
    </row>
    <row r="7" ht="18.75" customHeight="1">
      <c r="A7" s="2266" t="s">
        <v>106</v>
      </c>
      <c r="B7" s="2425" t="s">
        <v>440</v>
      </c>
      <c r="C7" s="2426" t="s">
        <v>1782</v>
      </c>
      <c r="D7" s="2269" t="s">
        <v>110</v>
      </c>
      <c r="E7" s="2269" t="s">
        <v>110</v>
      </c>
      <c r="F7" s="2270" t="s">
        <v>110</v>
      </c>
      <c r="G7" s="2269" t="s">
        <v>109</v>
      </c>
      <c r="H7" s="2269" t="s">
        <v>110</v>
      </c>
      <c r="I7" s="2269" t="s">
        <v>109</v>
      </c>
      <c r="J7" s="2269" t="s">
        <v>109</v>
      </c>
      <c r="K7" s="2270" t="s">
        <v>110</v>
      </c>
      <c r="L7" s="2269" t="s">
        <v>109</v>
      </c>
      <c r="M7" s="2269" t="s">
        <v>110</v>
      </c>
      <c r="N7" s="2427" t="s">
        <v>109</v>
      </c>
      <c r="O7" s="2269" t="s">
        <v>109</v>
      </c>
      <c r="P7" s="2269" t="s">
        <v>109</v>
      </c>
      <c r="Q7" s="2269" t="s">
        <v>109</v>
      </c>
      <c r="R7" s="2428" t="s">
        <v>110</v>
      </c>
      <c r="S7" s="2428" t="s">
        <v>110</v>
      </c>
      <c r="T7" s="2429" t="s">
        <v>110</v>
      </c>
      <c r="U7" s="2430" t="s">
        <v>109</v>
      </c>
      <c r="V7" s="2430" t="s">
        <v>109</v>
      </c>
      <c r="W7" s="2428" t="s">
        <v>110</v>
      </c>
      <c r="X7" s="2428" t="s">
        <v>110</v>
      </c>
      <c r="Y7" s="2428" t="s">
        <v>110</v>
      </c>
      <c r="Z7" s="2431" t="s">
        <v>109</v>
      </c>
      <c r="AA7" s="2428" t="s">
        <v>110</v>
      </c>
      <c r="AB7" s="2283" t="s">
        <v>109</v>
      </c>
      <c r="AC7" s="2428" t="s">
        <v>109</v>
      </c>
      <c r="AD7" s="2428" t="s">
        <v>110</v>
      </c>
      <c r="AE7" s="2432" t="s">
        <v>110</v>
      </c>
      <c r="AF7" s="2433" t="s">
        <v>109</v>
      </c>
      <c r="AG7" s="2434" t="s">
        <v>110</v>
      </c>
      <c r="AH7" s="2433" t="s">
        <v>108</v>
      </c>
      <c r="AI7" s="2433" t="s">
        <v>108</v>
      </c>
      <c r="AJ7" s="2433" t="s">
        <v>108</v>
      </c>
      <c r="AK7" s="2433" t="s">
        <v>108</v>
      </c>
      <c r="AL7" s="2434" t="s">
        <v>108</v>
      </c>
    </row>
    <row r="8" ht="18.75" customHeight="1">
      <c r="A8" s="147"/>
      <c r="B8" s="644"/>
      <c r="C8" s="2435" t="s">
        <v>120</v>
      </c>
      <c r="D8" s="2269" t="s">
        <v>110</v>
      </c>
      <c r="E8" s="2269" t="s">
        <v>110</v>
      </c>
      <c r="F8" s="2270" t="s">
        <v>110</v>
      </c>
      <c r="G8" s="2269" t="s">
        <v>109</v>
      </c>
      <c r="H8" s="2269" t="s">
        <v>109</v>
      </c>
      <c r="I8" s="2269" t="s">
        <v>109</v>
      </c>
      <c r="J8" s="2269" t="s">
        <v>109</v>
      </c>
      <c r="K8" s="2270" t="s">
        <v>110</v>
      </c>
      <c r="L8" s="2269" t="s">
        <v>109</v>
      </c>
      <c r="M8" s="2269" t="s">
        <v>110</v>
      </c>
      <c r="N8" s="2427" t="s">
        <v>109</v>
      </c>
      <c r="O8" s="2269" t="s">
        <v>109</v>
      </c>
      <c r="P8" s="2269" t="s">
        <v>109</v>
      </c>
      <c r="Q8" s="2269" t="s">
        <v>109</v>
      </c>
      <c r="R8" s="2269" t="s">
        <v>109</v>
      </c>
      <c r="S8" s="2428" t="s">
        <v>110</v>
      </c>
      <c r="T8" s="2429" t="s">
        <v>110</v>
      </c>
      <c r="U8" s="2430" t="s">
        <v>109</v>
      </c>
      <c r="V8" s="2430" t="s">
        <v>109</v>
      </c>
      <c r="W8" s="2430" t="s">
        <v>109</v>
      </c>
      <c r="X8" s="2428" t="s">
        <v>110</v>
      </c>
      <c r="Y8" s="2428" t="s">
        <v>110</v>
      </c>
      <c r="Z8" s="2431" t="s">
        <v>109</v>
      </c>
      <c r="AA8" s="2428" t="s">
        <v>109</v>
      </c>
      <c r="AB8" s="2283" t="s">
        <v>109</v>
      </c>
      <c r="AC8" s="2428" t="s">
        <v>109</v>
      </c>
      <c r="AD8" s="2428" t="s">
        <v>110</v>
      </c>
      <c r="AE8" s="2431" t="s">
        <v>110</v>
      </c>
      <c r="AF8" s="2428" t="s">
        <v>109</v>
      </c>
      <c r="AG8" s="2429" t="s">
        <v>110</v>
      </c>
      <c r="AH8" s="2428" t="s">
        <v>109</v>
      </c>
      <c r="AI8" s="2428" t="s">
        <v>110</v>
      </c>
      <c r="AJ8" s="2428" t="s">
        <v>110</v>
      </c>
      <c r="AK8" s="2428" t="s">
        <v>110</v>
      </c>
      <c r="AL8" s="2429" t="s">
        <v>110</v>
      </c>
    </row>
    <row r="9" ht="18.75" customHeight="1">
      <c r="A9" s="147"/>
      <c r="B9" s="644"/>
      <c r="C9" s="2435" t="s">
        <v>1305</v>
      </c>
      <c r="D9" s="2269" t="s">
        <v>110</v>
      </c>
      <c r="E9" s="2269" t="s">
        <v>110</v>
      </c>
      <c r="F9" s="2270" t="s">
        <v>110</v>
      </c>
      <c r="G9" s="2269" t="s">
        <v>109</v>
      </c>
      <c r="H9" s="2269" t="s">
        <v>109</v>
      </c>
      <c r="I9" s="2269" t="s">
        <v>109</v>
      </c>
      <c r="J9" s="2269" t="s">
        <v>109</v>
      </c>
      <c r="K9" s="2270" t="s">
        <v>110</v>
      </c>
      <c r="L9" s="2269" t="s">
        <v>109</v>
      </c>
      <c r="M9" s="2269" t="s">
        <v>110</v>
      </c>
      <c r="N9" s="2427" t="s">
        <v>109</v>
      </c>
      <c r="O9" s="2269" t="s">
        <v>109</v>
      </c>
      <c r="P9" s="2269" t="s">
        <v>109</v>
      </c>
      <c r="Q9" s="2269" t="s">
        <v>109</v>
      </c>
      <c r="R9" s="2428" t="s">
        <v>110</v>
      </c>
      <c r="S9" s="2269" t="s">
        <v>109</v>
      </c>
      <c r="T9" s="2429" t="s">
        <v>110</v>
      </c>
      <c r="U9" s="2430" t="s">
        <v>109</v>
      </c>
      <c r="V9" s="2430" t="s">
        <v>109</v>
      </c>
      <c r="W9" s="2428" t="s">
        <v>110</v>
      </c>
      <c r="X9" s="2428" t="s">
        <v>110</v>
      </c>
      <c r="Y9" s="2428" t="s">
        <v>110</v>
      </c>
      <c r="Z9" s="2431" t="s">
        <v>109</v>
      </c>
      <c r="AA9" s="2428" t="s">
        <v>110</v>
      </c>
      <c r="AB9" s="2283" t="s">
        <v>109</v>
      </c>
      <c r="AC9" s="2428" t="s">
        <v>109</v>
      </c>
      <c r="AD9" s="2428" t="s">
        <v>110</v>
      </c>
      <c r="AE9" s="2431" t="s">
        <v>110</v>
      </c>
      <c r="AF9" s="2428" t="s">
        <v>110</v>
      </c>
      <c r="AG9" s="2429" t="s">
        <v>110</v>
      </c>
      <c r="AH9" s="2428" t="s">
        <v>110</v>
      </c>
      <c r="AI9" s="2428" t="s">
        <v>110</v>
      </c>
      <c r="AJ9" s="2428" t="s">
        <v>110</v>
      </c>
      <c r="AK9" s="2428" t="s">
        <v>109</v>
      </c>
      <c r="AL9" s="2429" t="s">
        <v>110</v>
      </c>
    </row>
    <row r="10" ht="18.75" customHeight="1">
      <c r="A10" s="147"/>
      <c r="B10" s="644"/>
      <c r="C10" s="2435" t="s">
        <v>1269</v>
      </c>
      <c r="D10" s="2269" t="s">
        <v>110</v>
      </c>
      <c r="E10" s="2269" t="s">
        <v>110</v>
      </c>
      <c r="F10" s="2270" t="s">
        <v>110</v>
      </c>
      <c r="G10" s="2269" t="s">
        <v>109</v>
      </c>
      <c r="H10" s="2269" t="s">
        <v>109</v>
      </c>
      <c r="I10" s="2269" t="s">
        <v>109</v>
      </c>
      <c r="J10" s="2269" t="s">
        <v>109</v>
      </c>
      <c r="K10" s="2270" t="s">
        <v>110</v>
      </c>
      <c r="L10" s="2269" t="s">
        <v>109</v>
      </c>
      <c r="M10" s="2269" t="s">
        <v>109</v>
      </c>
      <c r="N10" s="2427" t="s">
        <v>109</v>
      </c>
      <c r="O10" s="2269" t="s">
        <v>109</v>
      </c>
      <c r="P10" s="2269" t="s">
        <v>109</v>
      </c>
      <c r="Q10" s="2269" t="s">
        <v>109</v>
      </c>
      <c r="R10" s="2428" t="s">
        <v>110</v>
      </c>
      <c r="S10" s="2428" t="s">
        <v>110</v>
      </c>
      <c r="T10" s="2429" t="s">
        <v>110</v>
      </c>
      <c r="U10" s="2430" t="s">
        <v>109</v>
      </c>
      <c r="V10" s="2430" t="s">
        <v>109</v>
      </c>
      <c r="W10" s="2428" t="s">
        <v>110</v>
      </c>
      <c r="X10" s="2428" t="s">
        <v>110</v>
      </c>
      <c r="Y10" s="2428" t="s">
        <v>110</v>
      </c>
      <c r="Z10" s="2431" t="s">
        <v>109</v>
      </c>
      <c r="AA10" s="2428" t="s">
        <v>110</v>
      </c>
      <c r="AB10" s="2283" t="s">
        <v>109</v>
      </c>
      <c r="AC10" s="2428" t="s">
        <v>109</v>
      </c>
      <c r="AD10" s="2428" t="s">
        <v>110</v>
      </c>
      <c r="AE10" s="2431" t="s">
        <v>110</v>
      </c>
      <c r="AF10" s="2428" t="s">
        <v>109</v>
      </c>
      <c r="AG10" s="2429" t="s">
        <v>110</v>
      </c>
      <c r="AH10" s="2428" t="s">
        <v>108</v>
      </c>
      <c r="AI10" s="2428" t="s">
        <v>108</v>
      </c>
      <c r="AJ10" s="2428" t="s">
        <v>108</v>
      </c>
      <c r="AK10" s="2428" t="s">
        <v>108</v>
      </c>
      <c r="AL10" s="2429" t="s">
        <v>108</v>
      </c>
    </row>
    <row r="11" ht="18.75" customHeight="1">
      <c r="A11" s="147"/>
      <c r="B11" s="644"/>
      <c r="C11" s="2436" t="s">
        <v>1271</v>
      </c>
      <c r="D11" s="2269" t="s">
        <v>110</v>
      </c>
      <c r="E11" s="2269" t="s">
        <v>110</v>
      </c>
      <c r="F11" s="2270" t="s">
        <v>110</v>
      </c>
      <c r="G11" s="2269" t="s">
        <v>109</v>
      </c>
      <c r="H11" s="2269" t="s">
        <v>109</v>
      </c>
      <c r="I11" s="2269" t="s">
        <v>109</v>
      </c>
      <c r="J11" s="2269" t="s">
        <v>110</v>
      </c>
      <c r="K11" s="2270" t="s">
        <v>110</v>
      </c>
      <c r="L11" s="2269" t="s">
        <v>109</v>
      </c>
      <c r="M11" s="2269" t="s">
        <v>110</v>
      </c>
      <c r="N11" s="2427" t="s">
        <v>109</v>
      </c>
      <c r="O11" s="2269" t="s">
        <v>109</v>
      </c>
      <c r="P11" s="2428" t="s">
        <v>110</v>
      </c>
      <c r="Q11" s="2269" t="s">
        <v>117</v>
      </c>
      <c r="R11" s="2428" t="s">
        <v>110</v>
      </c>
      <c r="S11" s="2269" t="s">
        <v>117</v>
      </c>
      <c r="T11" s="2429" t="s">
        <v>110</v>
      </c>
      <c r="U11" s="2430" t="s">
        <v>108</v>
      </c>
      <c r="V11" s="2430" t="s">
        <v>108</v>
      </c>
      <c r="W11" s="2428" t="s">
        <v>108</v>
      </c>
      <c r="X11" s="2428" t="s">
        <v>108</v>
      </c>
      <c r="Y11" s="2428" t="s">
        <v>108</v>
      </c>
      <c r="Z11" s="2437" t="s">
        <v>108</v>
      </c>
      <c r="AA11" s="2438" t="s">
        <v>108</v>
      </c>
      <c r="AB11" s="2274" t="s">
        <v>108</v>
      </c>
      <c r="AC11" s="2438" t="s">
        <v>108</v>
      </c>
      <c r="AD11" s="2438" t="s">
        <v>108</v>
      </c>
      <c r="AE11" s="2437" t="s">
        <v>108</v>
      </c>
      <c r="AF11" s="2438" t="s">
        <v>108</v>
      </c>
      <c r="AG11" s="2439" t="s">
        <v>108</v>
      </c>
      <c r="AH11" s="2428" t="s">
        <v>119</v>
      </c>
      <c r="AI11" s="2428" t="s">
        <v>119</v>
      </c>
      <c r="AJ11" s="2428" t="s">
        <v>119</v>
      </c>
      <c r="AK11" s="2428" t="s">
        <v>119</v>
      </c>
      <c r="AL11" s="2429" t="s">
        <v>119</v>
      </c>
    </row>
    <row r="12" ht="18.75" customHeight="1">
      <c r="A12" s="147"/>
      <c r="B12" s="644"/>
      <c r="C12" s="2435" t="s">
        <v>1128</v>
      </c>
      <c r="D12" s="2269" t="s">
        <v>119</v>
      </c>
      <c r="E12" s="2269" t="s">
        <v>119</v>
      </c>
      <c r="F12" s="2270" t="s">
        <v>119</v>
      </c>
      <c r="G12" s="2440" t="s">
        <v>119</v>
      </c>
      <c r="H12" s="2269" t="s">
        <v>119</v>
      </c>
      <c r="I12" s="2269" t="s">
        <v>119</v>
      </c>
      <c r="J12" s="2269" t="s">
        <v>119</v>
      </c>
      <c r="K12" s="2270" t="s">
        <v>119</v>
      </c>
      <c r="L12" s="2440" t="s">
        <v>119</v>
      </c>
      <c r="M12" s="2269" t="s">
        <v>119</v>
      </c>
      <c r="N12" s="2441" t="s">
        <v>119</v>
      </c>
      <c r="O12" s="2442" t="s">
        <v>119</v>
      </c>
      <c r="P12" s="2443" t="s">
        <v>119</v>
      </c>
      <c r="Q12" s="2443" t="s">
        <v>119</v>
      </c>
      <c r="R12" s="2443" t="s">
        <v>119</v>
      </c>
      <c r="S12" s="2443" t="s">
        <v>119</v>
      </c>
      <c r="T12" s="2444" t="s">
        <v>119</v>
      </c>
      <c r="U12" s="2445" t="s">
        <v>119</v>
      </c>
      <c r="V12" s="2445" t="s">
        <v>119</v>
      </c>
      <c r="W12" s="2445" t="s">
        <v>119</v>
      </c>
      <c r="X12" s="2445" t="s">
        <v>119</v>
      </c>
      <c r="Y12" s="2445" t="s">
        <v>119</v>
      </c>
      <c r="Z12" s="2446" t="s">
        <v>119</v>
      </c>
      <c r="AA12" s="2445" t="s">
        <v>119</v>
      </c>
      <c r="AB12" s="2277" t="s">
        <v>119</v>
      </c>
      <c r="AC12" s="2445" t="s">
        <v>119</v>
      </c>
      <c r="AD12" s="2445" t="s">
        <v>119</v>
      </c>
      <c r="AE12" s="2446" t="s">
        <v>119</v>
      </c>
      <c r="AF12" s="2445" t="s">
        <v>119</v>
      </c>
      <c r="AG12" s="2447" t="s">
        <v>119</v>
      </c>
      <c r="AH12" s="2428" t="s">
        <v>110</v>
      </c>
      <c r="AI12" s="2428" t="s">
        <v>110</v>
      </c>
      <c r="AJ12" s="2428" t="s">
        <v>110</v>
      </c>
      <c r="AK12" s="2428" t="s">
        <v>110</v>
      </c>
      <c r="AL12" s="2429" t="s">
        <v>110</v>
      </c>
    </row>
    <row r="13" ht="18.75" customHeight="1">
      <c r="A13" s="147"/>
      <c r="B13" s="644"/>
      <c r="C13" s="2435" t="s">
        <v>157</v>
      </c>
      <c r="D13" s="2269" t="s">
        <v>110</v>
      </c>
      <c r="E13" s="2269" t="s">
        <v>110</v>
      </c>
      <c r="F13" s="2270" t="s">
        <v>110</v>
      </c>
      <c r="G13" s="2269" t="s">
        <v>109</v>
      </c>
      <c r="H13" s="2269" t="s">
        <v>117</v>
      </c>
      <c r="I13" s="2269" t="s">
        <v>109</v>
      </c>
      <c r="J13" s="2269" t="s">
        <v>109</v>
      </c>
      <c r="K13" s="2270" t="s">
        <v>110</v>
      </c>
      <c r="L13" s="2269" t="s">
        <v>109</v>
      </c>
      <c r="M13" s="2269" t="s">
        <v>117</v>
      </c>
      <c r="N13" s="2427" t="s">
        <v>109</v>
      </c>
      <c r="O13" s="2269" t="s">
        <v>109</v>
      </c>
      <c r="P13" s="2269" t="s">
        <v>109</v>
      </c>
      <c r="Q13" s="2269" t="s">
        <v>109</v>
      </c>
      <c r="R13" s="2428" t="s">
        <v>110</v>
      </c>
      <c r="S13" s="2269" t="s">
        <v>117</v>
      </c>
      <c r="T13" s="2429" t="s">
        <v>110</v>
      </c>
      <c r="U13" s="2430" t="s">
        <v>109</v>
      </c>
      <c r="V13" s="2430" t="s">
        <v>109</v>
      </c>
      <c r="W13" s="2428" t="s">
        <v>110</v>
      </c>
      <c r="X13" s="2428" t="s">
        <v>110</v>
      </c>
      <c r="Y13" s="2428" t="s">
        <v>110</v>
      </c>
      <c r="Z13" s="2431" t="s">
        <v>109</v>
      </c>
      <c r="AA13" s="2428" t="s">
        <v>110</v>
      </c>
      <c r="AB13" s="2283" t="s">
        <v>109</v>
      </c>
      <c r="AC13" s="2428" t="s">
        <v>109</v>
      </c>
      <c r="AD13" s="2428" t="s">
        <v>110</v>
      </c>
      <c r="AE13" s="2431" t="s">
        <v>110</v>
      </c>
      <c r="AF13" s="2428" t="s">
        <v>109</v>
      </c>
      <c r="AG13" s="2429" t="s">
        <v>110</v>
      </c>
      <c r="AH13" s="2428" t="s">
        <v>110</v>
      </c>
      <c r="AI13" s="2428" t="s">
        <v>110</v>
      </c>
      <c r="AJ13" s="2428" t="s">
        <v>110</v>
      </c>
      <c r="AK13" s="2428" t="s">
        <v>110</v>
      </c>
      <c r="AL13" s="2429" t="s">
        <v>110</v>
      </c>
    </row>
    <row r="14" ht="18.75" customHeight="1">
      <c r="A14" s="147"/>
      <c r="B14" s="658"/>
      <c r="C14" s="2448" t="s">
        <v>1784</v>
      </c>
      <c r="D14" s="2269" t="s">
        <v>110</v>
      </c>
      <c r="E14" s="2269" t="s">
        <v>110</v>
      </c>
      <c r="F14" s="2270" t="s">
        <v>110</v>
      </c>
      <c r="G14" s="2269" t="s">
        <v>109</v>
      </c>
      <c r="H14" s="2269" t="s">
        <v>110</v>
      </c>
      <c r="I14" s="2269" t="s">
        <v>109</v>
      </c>
      <c r="J14" s="2269" t="s">
        <v>109</v>
      </c>
      <c r="K14" s="2270" t="s">
        <v>110</v>
      </c>
      <c r="L14" s="2269" t="s">
        <v>109</v>
      </c>
      <c r="M14" s="2269" t="s">
        <v>110</v>
      </c>
      <c r="N14" s="2427" t="s">
        <v>109</v>
      </c>
      <c r="O14" s="2269" t="s">
        <v>109</v>
      </c>
      <c r="P14" s="2269" t="s">
        <v>109</v>
      </c>
      <c r="Q14" s="2269" t="s">
        <v>109</v>
      </c>
      <c r="R14" s="2428" t="s">
        <v>110</v>
      </c>
      <c r="S14" s="2428" t="s">
        <v>110</v>
      </c>
      <c r="T14" s="2429" t="s">
        <v>110</v>
      </c>
      <c r="U14" s="2430" t="s">
        <v>109</v>
      </c>
      <c r="V14" s="2430" t="s">
        <v>109</v>
      </c>
      <c r="W14" s="2428" t="s">
        <v>110</v>
      </c>
      <c r="X14" s="2428" t="s">
        <v>110</v>
      </c>
      <c r="Y14" s="2428" t="s">
        <v>110</v>
      </c>
      <c r="Z14" s="2431" t="s">
        <v>109</v>
      </c>
      <c r="AA14" s="2428" t="s">
        <v>110</v>
      </c>
      <c r="AB14" s="2283" t="s">
        <v>109</v>
      </c>
      <c r="AC14" s="2428" t="s">
        <v>109</v>
      </c>
      <c r="AD14" s="2428" t="s">
        <v>110</v>
      </c>
      <c r="AE14" s="2431" t="s">
        <v>110</v>
      </c>
      <c r="AF14" s="2428" t="s">
        <v>109</v>
      </c>
      <c r="AG14" s="2429" t="s">
        <v>110</v>
      </c>
      <c r="AH14" s="2428" t="s">
        <v>109</v>
      </c>
      <c r="AI14" s="2428" t="s">
        <v>110</v>
      </c>
      <c r="AJ14" s="2428" t="s">
        <v>110</v>
      </c>
      <c r="AK14" s="2428" t="s">
        <v>110</v>
      </c>
      <c r="AL14" s="2429" t="s">
        <v>110</v>
      </c>
    </row>
    <row r="15" ht="18.75" customHeight="1">
      <c r="A15" s="147"/>
      <c r="B15" s="2308" t="s">
        <v>446</v>
      </c>
      <c r="C15" s="2449" t="s">
        <v>153</v>
      </c>
      <c r="D15" s="2269" t="s">
        <v>110</v>
      </c>
      <c r="E15" s="2269" t="s">
        <v>110</v>
      </c>
      <c r="F15" s="2270" t="s">
        <v>110</v>
      </c>
      <c r="G15" s="2269" t="s">
        <v>109</v>
      </c>
      <c r="H15" s="2269" t="s">
        <v>110</v>
      </c>
      <c r="I15" s="2269" t="s">
        <v>109</v>
      </c>
      <c r="J15" s="2269" t="s">
        <v>110</v>
      </c>
      <c r="K15" s="2270" t="s">
        <v>110</v>
      </c>
      <c r="L15" s="2269" t="s">
        <v>109</v>
      </c>
      <c r="M15" s="2269" t="s">
        <v>110</v>
      </c>
      <c r="N15" s="2427" t="s">
        <v>109</v>
      </c>
      <c r="O15" s="2269" t="s">
        <v>109</v>
      </c>
      <c r="P15" s="2269" t="s">
        <v>109</v>
      </c>
      <c r="Q15" s="2269" t="s">
        <v>109</v>
      </c>
      <c r="R15" s="2428" t="s">
        <v>110</v>
      </c>
      <c r="S15" s="2428" t="s">
        <v>110</v>
      </c>
      <c r="T15" s="2429" t="s">
        <v>110</v>
      </c>
      <c r="U15" s="2430" t="s">
        <v>109</v>
      </c>
      <c r="V15" s="2430" t="s">
        <v>109</v>
      </c>
      <c r="W15" s="2428" t="s">
        <v>110</v>
      </c>
      <c r="X15" s="2428" t="s">
        <v>110</v>
      </c>
      <c r="Y15" s="2428" t="s">
        <v>110</v>
      </c>
      <c r="Z15" s="2431" t="s">
        <v>109</v>
      </c>
      <c r="AA15" s="2428" t="s">
        <v>110</v>
      </c>
      <c r="AB15" s="2283" t="s">
        <v>109</v>
      </c>
      <c r="AC15" s="2428" t="s">
        <v>109</v>
      </c>
      <c r="AD15" s="2428" t="s">
        <v>110</v>
      </c>
      <c r="AE15" s="2431" t="s">
        <v>110</v>
      </c>
      <c r="AF15" s="2428" t="s">
        <v>109</v>
      </c>
      <c r="AG15" s="2429" t="s">
        <v>110</v>
      </c>
      <c r="AH15" s="2428" t="s">
        <v>110</v>
      </c>
      <c r="AI15" s="2428" t="s">
        <v>110</v>
      </c>
      <c r="AJ15" s="2428" t="s">
        <v>110</v>
      </c>
      <c r="AK15" s="2428" t="s">
        <v>110</v>
      </c>
      <c r="AL15" s="2429" t="s">
        <v>110</v>
      </c>
    </row>
    <row r="16" ht="18.75" customHeight="1">
      <c r="A16" s="147"/>
      <c r="B16" s="644"/>
      <c r="C16" s="2310" t="s">
        <v>617</v>
      </c>
      <c r="D16" s="2269" t="s">
        <v>110</v>
      </c>
      <c r="E16" s="2269" t="s">
        <v>110</v>
      </c>
      <c r="F16" s="2270" t="s">
        <v>110</v>
      </c>
      <c r="G16" s="2269" t="s">
        <v>109</v>
      </c>
      <c r="H16" s="2269" t="s">
        <v>110</v>
      </c>
      <c r="I16" s="2269" t="s">
        <v>109</v>
      </c>
      <c r="J16" s="2269" t="s">
        <v>109</v>
      </c>
      <c r="K16" s="2270" t="s">
        <v>110</v>
      </c>
      <c r="L16" s="2269" t="s">
        <v>109</v>
      </c>
      <c r="M16" s="2269" t="s">
        <v>110</v>
      </c>
      <c r="N16" s="2427" t="s">
        <v>109</v>
      </c>
      <c r="O16" s="2269" t="s">
        <v>109</v>
      </c>
      <c r="P16" s="2269" t="s">
        <v>109</v>
      </c>
      <c r="Q16" s="2269" t="s">
        <v>109</v>
      </c>
      <c r="R16" s="2428" t="s">
        <v>110</v>
      </c>
      <c r="S16" s="2428" t="s">
        <v>110</v>
      </c>
      <c r="T16" s="2429" t="s">
        <v>110</v>
      </c>
      <c r="U16" s="2430" t="s">
        <v>109</v>
      </c>
      <c r="V16" s="2430" t="s">
        <v>109</v>
      </c>
      <c r="W16" s="2428" t="s">
        <v>110</v>
      </c>
      <c r="X16" s="2428" t="s">
        <v>110</v>
      </c>
      <c r="Y16" s="2428" t="s">
        <v>110</v>
      </c>
      <c r="Z16" s="2431" t="s">
        <v>109</v>
      </c>
      <c r="AA16" s="2428" t="s">
        <v>110</v>
      </c>
      <c r="AB16" s="2283" t="s">
        <v>109</v>
      </c>
      <c r="AC16" s="2428" t="s">
        <v>109</v>
      </c>
      <c r="AD16" s="2428" t="s">
        <v>110</v>
      </c>
      <c r="AE16" s="2431" t="s">
        <v>110</v>
      </c>
      <c r="AF16" s="2428" t="s">
        <v>109</v>
      </c>
      <c r="AG16" s="2429" t="s">
        <v>110</v>
      </c>
      <c r="AH16" s="2428" t="s">
        <v>108</v>
      </c>
      <c r="AI16" s="2428" t="s">
        <v>108</v>
      </c>
      <c r="AJ16" s="2428" t="s">
        <v>108</v>
      </c>
      <c r="AK16" s="2428" t="s">
        <v>108</v>
      </c>
      <c r="AL16" s="2429" t="s">
        <v>108</v>
      </c>
    </row>
    <row r="17" ht="18.75" customHeight="1">
      <c r="A17" s="147"/>
      <c r="B17" s="644"/>
      <c r="C17" s="2311" t="s">
        <v>621</v>
      </c>
      <c r="D17" s="2269" t="s">
        <v>110</v>
      </c>
      <c r="E17" s="2269" t="s">
        <v>110</v>
      </c>
      <c r="F17" s="2270" t="s">
        <v>110</v>
      </c>
      <c r="G17" s="2269" t="s">
        <v>109</v>
      </c>
      <c r="H17" s="2269" t="s">
        <v>110</v>
      </c>
      <c r="I17" s="2269" t="s">
        <v>109</v>
      </c>
      <c r="J17" s="2269" t="s">
        <v>110</v>
      </c>
      <c r="K17" s="2270" t="s">
        <v>110</v>
      </c>
      <c r="L17" s="2269" t="s">
        <v>109</v>
      </c>
      <c r="M17" s="2269" t="s">
        <v>110</v>
      </c>
      <c r="N17" s="2427" t="s">
        <v>109</v>
      </c>
      <c r="O17" s="2269" t="s">
        <v>109</v>
      </c>
      <c r="P17" s="2269" t="s">
        <v>109</v>
      </c>
      <c r="Q17" s="2269" t="s">
        <v>109</v>
      </c>
      <c r="R17" s="2428" t="s">
        <v>110</v>
      </c>
      <c r="S17" s="2428" t="s">
        <v>110</v>
      </c>
      <c r="T17" s="2429" t="s">
        <v>110</v>
      </c>
      <c r="U17" s="2430" t="s">
        <v>109</v>
      </c>
      <c r="V17" s="2430" t="s">
        <v>109</v>
      </c>
      <c r="W17" s="2428" t="s">
        <v>110</v>
      </c>
      <c r="X17" s="2428" t="s">
        <v>110</v>
      </c>
      <c r="Y17" s="2428" t="s">
        <v>110</v>
      </c>
      <c r="Z17" s="2431" t="s">
        <v>109</v>
      </c>
      <c r="AA17" s="2428" t="s">
        <v>110</v>
      </c>
      <c r="AB17" s="2283" t="s">
        <v>109</v>
      </c>
      <c r="AC17" s="2428" t="s">
        <v>109</v>
      </c>
      <c r="AD17" s="2428" t="s">
        <v>110</v>
      </c>
      <c r="AE17" s="2431" t="s">
        <v>110</v>
      </c>
      <c r="AF17" s="2428" t="s">
        <v>109</v>
      </c>
      <c r="AG17" s="2429" t="s">
        <v>110</v>
      </c>
      <c r="AH17" s="2428" t="s">
        <v>110</v>
      </c>
      <c r="AI17" s="2428" t="s">
        <v>110</v>
      </c>
      <c r="AJ17" s="2428" t="s">
        <v>110</v>
      </c>
      <c r="AK17" s="2428" t="s">
        <v>110</v>
      </c>
      <c r="AL17" s="2429" t="s">
        <v>110</v>
      </c>
    </row>
    <row r="18" ht="18.75" customHeight="1">
      <c r="A18" s="147"/>
      <c r="B18" s="644"/>
      <c r="C18" s="2450" t="s">
        <v>662</v>
      </c>
      <c r="D18" s="2269" t="s">
        <v>110</v>
      </c>
      <c r="E18" s="2269" t="s">
        <v>110</v>
      </c>
      <c r="F18" s="2270" t="s">
        <v>110</v>
      </c>
      <c r="G18" s="2269" t="s">
        <v>109</v>
      </c>
      <c r="H18" s="2269" t="s">
        <v>109</v>
      </c>
      <c r="I18" s="2269" t="s">
        <v>109</v>
      </c>
      <c r="J18" s="2269" t="s">
        <v>109</v>
      </c>
      <c r="K18" s="2270" t="s">
        <v>110</v>
      </c>
      <c r="L18" s="2269" t="s">
        <v>109</v>
      </c>
      <c r="M18" s="2269" t="s">
        <v>110</v>
      </c>
      <c r="N18" s="2427" t="s">
        <v>109</v>
      </c>
      <c r="O18" s="2269" t="s">
        <v>109</v>
      </c>
      <c r="P18" s="2269" t="s">
        <v>109</v>
      </c>
      <c r="Q18" s="2428" t="s">
        <v>110</v>
      </c>
      <c r="R18" s="2428" t="s">
        <v>110</v>
      </c>
      <c r="S18" s="2428" t="s">
        <v>110</v>
      </c>
      <c r="T18" s="2429" t="s">
        <v>110</v>
      </c>
      <c r="U18" s="2430" t="s">
        <v>109</v>
      </c>
      <c r="V18" s="2430" t="s">
        <v>109</v>
      </c>
      <c r="W18" s="2428" t="s">
        <v>110</v>
      </c>
      <c r="X18" s="2428" t="s">
        <v>110</v>
      </c>
      <c r="Y18" s="2428" t="s">
        <v>110</v>
      </c>
      <c r="Z18" s="2431" t="s">
        <v>110</v>
      </c>
      <c r="AA18" s="2428" t="s">
        <v>110</v>
      </c>
      <c r="AB18" s="2283" t="s">
        <v>109</v>
      </c>
      <c r="AC18" s="2428" t="s">
        <v>109</v>
      </c>
      <c r="AD18" s="2428" t="s">
        <v>110</v>
      </c>
      <c r="AE18" s="2446" t="s">
        <v>119</v>
      </c>
      <c r="AF18" s="2445" t="s">
        <v>119</v>
      </c>
      <c r="AG18" s="2447" t="s">
        <v>119</v>
      </c>
      <c r="AH18" s="2445" t="s">
        <v>119</v>
      </c>
      <c r="AI18" s="2445" t="s">
        <v>119</v>
      </c>
      <c r="AJ18" s="2445" t="s">
        <v>119</v>
      </c>
      <c r="AK18" s="2445" t="s">
        <v>119</v>
      </c>
      <c r="AL18" s="2447" t="s">
        <v>119</v>
      </c>
    </row>
    <row r="19" ht="18.75" customHeight="1">
      <c r="A19" s="147"/>
      <c r="B19" s="644"/>
      <c r="C19" s="2312" t="s">
        <v>629</v>
      </c>
      <c r="D19" s="2269" t="s">
        <v>110</v>
      </c>
      <c r="E19" s="2269" t="s">
        <v>110</v>
      </c>
      <c r="F19" s="2270" t="s">
        <v>110</v>
      </c>
      <c r="G19" s="2269" t="s">
        <v>109</v>
      </c>
      <c r="H19" s="2269" t="s">
        <v>110</v>
      </c>
      <c r="I19" s="2269" t="s">
        <v>109</v>
      </c>
      <c r="J19" s="2269" t="s">
        <v>110</v>
      </c>
      <c r="K19" s="2270" t="s">
        <v>110</v>
      </c>
      <c r="L19" s="2269" t="s">
        <v>109</v>
      </c>
      <c r="M19" s="2269" t="s">
        <v>110</v>
      </c>
      <c r="N19" s="2427" t="s">
        <v>109</v>
      </c>
      <c r="O19" s="2440" t="s">
        <v>109</v>
      </c>
      <c r="P19" s="2269" t="s">
        <v>109</v>
      </c>
      <c r="Q19" s="2451" t="s">
        <v>110</v>
      </c>
      <c r="R19" s="2451" t="s">
        <v>110</v>
      </c>
      <c r="S19" s="2269" t="s">
        <v>109</v>
      </c>
      <c r="T19" s="2452" t="s">
        <v>110</v>
      </c>
      <c r="U19" s="2445" t="s">
        <v>119</v>
      </c>
      <c r="V19" s="2445" t="s">
        <v>119</v>
      </c>
      <c r="W19" s="2445" t="s">
        <v>119</v>
      </c>
      <c r="X19" s="2445" t="s">
        <v>119</v>
      </c>
      <c r="Y19" s="2445" t="s">
        <v>119</v>
      </c>
      <c r="Z19" s="2446" t="s">
        <v>119</v>
      </c>
      <c r="AA19" s="2445" t="s">
        <v>119</v>
      </c>
      <c r="AB19" s="2277" t="s">
        <v>119</v>
      </c>
      <c r="AC19" s="2445" t="s">
        <v>119</v>
      </c>
      <c r="AD19" s="2445" t="s">
        <v>119</v>
      </c>
      <c r="AE19" s="2446" t="s">
        <v>119</v>
      </c>
      <c r="AF19" s="2445" t="s">
        <v>119</v>
      </c>
      <c r="AG19" s="2447" t="s">
        <v>119</v>
      </c>
      <c r="AH19" s="2445" t="s">
        <v>119</v>
      </c>
      <c r="AI19" s="2445" t="s">
        <v>119</v>
      </c>
      <c r="AJ19" s="2445" t="s">
        <v>119</v>
      </c>
      <c r="AK19" s="2445" t="s">
        <v>119</v>
      </c>
      <c r="AL19" s="2447" t="s">
        <v>119</v>
      </c>
    </row>
    <row r="20" ht="18.75" customHeight="1">
      <c r="A20" s="147"/>
      <c r="B20" s="644"/>
      <c r="C20" s="2313" t="s">
        <v>1293</v>
      </c>
      <c r="D20" s="2269" t="s">
        <v>119</v>
      </c>
      <c r="E20" s="2269" t="s">
        <v>119</v>
      </c>
      <c r="F20" s="2270" t="s">
        <v>119</v>
      </c>
      <c r="G20" s="2440" t="s">
        <v>119</v>
      </c>
      <c r="H20" s="2269" t="s">
        <v>119</v>
      </c>
      <c r="I20" s="2269" t="s">
        <v>119</v>
      </c>
      <c r="J20" s="2269" t="s">
        <v>119</v>
      </c>
      <c r="K20" s="2270" t="s">
        <v>119</v>
      </c>
      <c r="L20" s="2440" t="s">
        <v>119</v>
      </c>
      <c r="M20" s="2269" t="s">
        <v>119</v>
      </c>
      <c r="N20" s="2270" t="s">
        <v>119</v>
      </c>
      <c r="O20" s="2440" t="s">
        <v>119</v>
      </c>
      <c r="P20" s="2445" t="s">
        <v>119</v>
      </c>
      <c r="Q20" s="2445" t="s">
        <v>119</v>
      </c>
      <c r="R20" s="2445" t="s">
        <v>119</v>
      </c>
      <c r="S20" s="2445" t="s">
        <v>119</v>
      </c>
      <c r="T20" s="2447" t="s">
        <v>119</v>
      </c>
      <c r="U20" s="2430" t="s">
        <v>109</v>
      </c>
      <c r="V20" s="2430" t="s">
        <v>117</v>
      </c>
      <c r="W20" s="2428" t="s">
        <v>110</v>
      </c>
      <c r="X20" s="2428" t="s">
        <v>110</v>
      </c>
      <c r="Y20" s="2428" t="s">
        <v>110</v>
      </c>
      <c r="Z20" s="2431" t="s">
        <v>110</v>
      </c>
      <c r="AA20" s="2428" t="s">
        <v>110</v>
      </c>
      <c r="AB20" s="2283" t="s">
        <v>109</v>
      </c>
      <c r="AC20" s="2428" t="s">
        <v>109</v>
      </c>
      <c r="AD20" s="2428" t="s">
        <v>110</v>
      </c>
      <c r="AE20" s="2431" t="s">
        <v>110</v>
      </c>
      <c r="AF20" s="2428" t="s">
        <v>110</v>
      </c>
      <c r="AG20" s="2429" t="s">
        <v>110</v>
      </c>
      <c r="AH20" s="2428" t="s">
        <v>110</v>
      </c>
      <c r="AI20" s="2428" t="s">
        <v>110</v>
      </c>
      <c r="AJ20" s="2428" t="s">
        <v>110</v>
      </c>
      <c r="AK20" s="2428" t="s">
        <v>110</v>
      </c>
      <c r="AL20" s="2429" t="s">
        <v>110</v>
      </c>
    </row>
    <row r="21" ht="18.75" customHeight="1">
      <c r="A21" s="147"/>
      <c r="B21" s="644"/>
      <c r="C21" s="2312" t="s">
        <v>631</v>
      </c>
      <c r="D21" s="2269" t="s">
        <v>110</v>
      </c>
      <c r="E21" s="2269" t="s">
        <v>110</v>
      </c>
      <c r="F21" s="2270" t="s">
        <v>110</v>
      </c>
      <c r="G21" s="2269" t="s">
        <v>109</v>
      </c>
      <c r="H21" s="2269" t="s">
        <v>117</v>
      </c>
      <c r="I21" s="2269" t="s">
        <v>109</v>
      </c>
      <c r="J21" s="2269" t="s">
        <v>110</v>
      </c>
      <c r="K21" s="2270" t="s">
        <v>110</v>
      </c>
      <c r="L21" s="2269" t="s">
        <v>108</v>
      </c>
      <c r="M21" s="2269" t="s">
        <v>108</v>
      </c>
      <c r="N21" s="2453" t="s">
        <v>108</v>
      </c>
      <c r="O21" s="2269" t="s">
        <v>109</v>
      </c>
      <c r="P21" s="2269" t="s">
        <v>109</v>
      </c>
      <c r="Q21" s="2269" t="s">
        <v>109</v>
      </c>
      <c r="R21" s="2428" t="s">
        <v>110</v>
      </c>
      <c r="S21" s="2428" t="s">
        <v>110</v>
      </c>
      <c r="T21" s="2429" t="s">
        <v>110</v>
      </c>
      <c r="U21" s="2430" t="s">
        <v>109</v>
      </c>
      <c r="V21" s="2430" t="s">
        <v>109</v>
      </c>
      <c r="W21" s="2428" t="s">
        <v>110</v>
      </c>
      <c r="X21" s="2428" t="s">
        <v>110</v>
      </c>
      <c r="Y21" s="2428" t="s">
        <v>110</v>
      </c>
      <c r="Z21" s="2431" t="s">
        <v>109</v>
      </c>
      <c r="AA21" s="2428" t="s">
        <v>110</v>
      </c>
      <c r="AB21" s="2283" t="s">
        <v>109</v>
      </c>
      <c r="AC21" s="2428" t="s">
        <v>109</v>
      </c>
      <c r="AD21" s="2428" t="s">
        <v>110</v>
      </c>
      <c r="AE21" s="2446" t="s">
        <v>119</v>
      </c>
      <c r="AF21" s="2445" t="s">
        <v>119</v>
      </c>
      <c r="AG21" s="2447" t="s">
        <v>119</v>
      </c>
      <c r="AH21" s="2445" t="s">
        <v>119</v>
      </c>
      <c r="AI21" s="2445" t="s">
        <v>119</v>
      </c>
      <c r="AJ21" s="2445" t="s">
        <v>119</v>
      </c>
      <c r="AK21" s="2445" t="s">
        <v>119</v>
      </c>
      <c r="AL21" s="2447" t="s">
        <v>119</v>
      </c>
    </row>
    <row r="22" ht="18.75" customHeight="1">
      <c r="A22" s="159"/>
      <c r="B22" s="658"/>
      <c r="C22" s="2454" t="s">
        <v>122</v>
      </c>
      <c r="D22" s="2269" t="s">
        <v>119</v>
      </c>
      <c r="E22" s="2269" t="s">
        <v>119</v>
      </c>
      <c r="F22" s="2270" t="s">
        <v>119</v>
      </c>
      <c r="G22" s="2440" t="s">
        <v>119</v>
      </c>
      <c r="H22" s="2269" t="s">
        <v>119</v>
      </c>
      <c r="I22" s="2269" t="s">
        <v>119</v>
      </c>
      <c r="J22" s="2269" t="s">
        <v>119</v>
      </c>
      <c r="K22" s="2270" t="s">
        <v>119</v>
      </c>
      <c r="L22" s="2440" t="s">
        <v>119</v>
      </c>
      <c r="M22" s="2269" t="s">
        <v>119</v>
      </c>
      <c r="N22" s="2441" t="s">
        <v>119</v>
      </c>
      <c r="O22" s="2442" t="s">
        <v>119</v>
      </c>
      <c r="P22" s="2443" t="s">
        <v>119</v>
      </c>
      <c r="Q22" s="2443" t="s">
        <v>119</v>
      </c>
      <c r="R22" s="2443" t="s">
        <v>119</v>
      </c>
      <c r="S22" s="2443" t="s">
        <v>119</v>
      </c>
      <c r="T22" s="2444" t="s">
        <v>119</v>
      </c>
      <c r="U22" s="2443" t="s">
        <v>119</v>
      </c>
      <c r="V22" s="2443" t="s">
        <v>119</v>
      </c>
      <c r="W22" s="2443" t="s">
        <v>119</v>
      </c>
      <c r="X22" s="2443" t="s">
        <v>119</v>
      </c>
      <c r="Y22" s="2443" t="s">
        <v>119</v>
      </c>
      <c r="Z22" s="2455" t="s">
        <v>119</v>
      </c>
      <c r="AA22" s="2443" t="s">
        <v>119</v>
      </c>
      <c r="AB22" s="2456" t="s">
        <v>119</v>
      </c>
      <c r="AC22" s="2443" t="s">
        <v>119</v>
      </c>
      <c r="AD22" s="2443" t="s">
        <v>119</v>
      </c>
      <c r="AE22" s="2457" t="s">
        <v>110</v>
      </c>
      <c r="AF22" s="2457" t="s">
        <v>109</v>
      </c>
      <c r="AG22" s="2458" t="s">
        <v>110</v>
      </c>
      <c r="AH22" s="2457" t="s">
        <v>110</v>
      </c>
      <c r="AI22" s="2459" t="s">
        <v>110</v>
      </c>
      <c r="AJ22" s="2459" t="s">
        <v>110</v>
      </c>
      <c r="AK22" s="2459" t="s">
        <v>110</v>
      </c>
      <c r="AL22" s="2458" t="s">
        <v>110</v>
      </c>
    </row>
    <row r="23" ht="9.75" customHeight="1">
      <c r="A23" s="2300"/>
      <c r="B23" s="2301"/>
      <c r="C23" s="2460"/>
      <c r="D23" s="1988" t="str">
        <f t="shared" ref="D23:AL23" si="1">LINKURL(D5)</f>
        <v>https://www.reddit.com/r/RMTK/comments/bldkk7</v>
      </c>
      <c r="E23" s="1988" t="str">
        <f t="shared" si="1"/>
        <v>https://www.reddit.com/r/RMTK/comments/bj9hku</v>
      </c>
      <c r="F23" s="2103" t="str">
        <f t="shared" si="1"/>
        <v>https://www.reddit.com/r/RMTK/comments/bluekl</v>
      </c>
      <c r="G23" s="1988" t="str">
        <f t="shared" si="1"/>
        <v>https://www.reddit.com/r/RMTK/comments/bo84o0</v>
      </c>
      <c r="H23" s="1988" t="str">
        <f t="shared" si="1"/>
        <v>https://www.reddit.com/r/RMTK/comments/bolxzd</v>
      </c>
      <c r="I23" s="1988" t="str">
        <f t="shared" si="1"/>
        <v>https://www.reddit.com/r/RMTK/comments/bp1yrt</v>
      </c>
      <c r="J23" s="1988" t="str">
        <f t="shared" si="1"/>
        <v>https://www.reddit.com/r/RMTK/comments/bpg279</v>
      </c>
      <c r="K23" s="2103" t="str">
        <f t="shared" si="1"/>
        <v>https://www.reddit.com/r/RMTK/comments/bjlxhu</v>
      </c>
      <c r="L23" s="1988" t="str">
        <f t="shared" si="1"/>
        <v>https://www.reddit.com/r/RMTK/comments/bqyh4h</v>
      </c>
      <c r="M23" s="1988" t="str">
        <f t="shared" si="1"/>
        <v>https://www.reddit.com/r/RMTK/comments/bre7w0</v>
      </c>
      <c r="N23" s="2461" t="str">
        <f t="shared" si="1"/>
        <v>https://www.reddit.com/r/RMTK/comments/bsdur4</v>
      </c>
      <c r="O23" s="2462" t="str">
        <f t="shared" si="1"/>
        <v>https://www.reddit.com/r/RMTK/comments/btpiig</v>
      </c>
      <c r="P23" s="2462" t="str">
        <f t="shared" si="1"/>
        <v>https://www.reddit.com/r/RMTK/comments/bu3gzh</v>
      </c>
      <c r="Q23" s="2462" t="str">
        <f t="shared" si="1"/>
        <v>https://www.reddit.com/r/RMTK/comments/buj9zq</v>
      </c>
      <c r="R23" s="2462" t="str">
        <f t="shared" si="1"/>
        <v>https://www.reddit.com/r/RMTK/comments/buv49l</v>
      </c>
      <c r="S23" s="2462" t="str">
        <f t="shared" si="1"/>
        <v>https://www.reddit.com/r/RMTK/comments/buw274</v>
      </c>
      <c r="T23" s="2462" t="str">
        <f t="shared" si="1"/>
        <v>https://www.reddit.com/r/RMTK/comments/bu3zq8</v>
      </c>
      <c r="U23" s="2463" t="str">
        <f t="shared" si="1"/>
        <v>https://www.reddit.com/r/RMTK/comments/bwsh5f</v>
      </c>
      <c r="V23" s="2463" t="str">
        <f t="shared" si="1"/>
        <v>https://www.reddit.com/r/RMTK/comments/bx5ji9</v>
      </c>
      <c r="W23" s="2463" t="str">
        <f t="shared" si="1"/>
        <v>https://www.reddit.com/r/RMTK/comments/bxlc67</v>
      </c>
      <c r="X23" s="2463" t="str">
        <f t="shared" si="1"/>
        <v>https://www.reddit.com/r/RMTK/comments/bwf39d</v>
      </c>
      <c r="Y23" s="2463" t="str">
        <f t="shared" si="1"/>
        <v>https://www.reddit.com/r/RMTK/comments/bwr7df</v>
      </c>
      <c r="Z23" s="2463" t="str">
        <f t="shared" si="1"/>
        <v>https://www.reddit.com/r/RMTK/comments/bz0k2u</v>
      </c>
      <c r="AA23" s="2463" t="str">
        <f t="shared" si="1"/>
        <v>https://www.reddit.com/r/RMTK/comments/bztdwa</v>
      </c>
      <c r="AB23" s="2305" t="str">
        <f t="shared" si="1"/>
        <v>https://www.reddit.com/r/RMTK/comments/bzupg1</v>
      </c>
      <c r="AC23" s="2463" t="str">
        <f t="shared" si="1"/>
        <v>https://www.reddit.com/r/RMTK/comments/bzfz9f</v>
      </c>
      <c r="AD23" s="2463" t="str">
        <f t="shared" si="1"/>
        <v>https://www.reddit.com/r/RMTK/comments/c09536</v>
      </c>
      <c r="AE23" s="2463" t="str">
        <f t="shared" si="1"/>
        <v>https://reddit.com/r/RMTK/comments/bxktln/w0023_wetswijziging_tot_verandering_erfbelasting/</v>
      </c>
      <c r="AF23" s="2463" t="str">
        <f t="shared" si="1"/>
        <v>https://reddit.com/r/RMTK/comments/c2juo6/w0026_wet_reclame_alcoholhoudende_dranken/</v>
      </c>
      <c r="AG23" s="2463" t="str">
        <f t="shared" si="1"/>
        <v>https://reddit.com/r/RMTK/comments/c2ykuk/w0025i_amendement_op_koepelwet_kerncentrales/</v>
      </c>
      <c r="AH23" s="2463" t="str">
        <f t="shared" si="1"/>
        <v>https://www.reddit.com/r/RMTK/comments/c5cgq4/m0072_motie_tot_betere_bereikbaarheid_zeeland/</v>
      </c>
      <c r="AI23" s="2017" t="str">
        <f t="shared" si="1"/>
        <v>https://www.reddit.com/r/RMTK/comments/c5sd9y/m0073_motie_tot_verbetering_internationaal/</v>
      </c>
      <c r="AJ23" s="2017" t="str">
        <f t="shared" si="1"/>
        <v>https://www.reddit.com/r/RMTK/comments/c67sej/m0074_motie_tot_onderzoek_doen_naar_milieuplafonds/</v>
      </c>
      <c r="AK23" s="2017" t="str">
        <f t="shared" si="1"/>
        <v>https://www.reddit.com/r/RMTK/comments/c26kl0/w0025_koepelwet_kerncentrales/</v>
      </c>
      <c r="AL23" s="2017" t="str">
        <f t="shared" si="1"/>
        <v>https://www.reddit.com/r/RMTK/comments/c4pqxl/w0027_wetswijziging_tot_verbieden_discriminatie/</v>
      </c>
    </row>
    <row r="24" ht="18.75" customHeight="1">
      <c r="A24" s="2307" t="s">
        <v>147</v>
      </c>
      <c r="B24" s="2267" t="s">
        <v>31</v>
      </c>
      <c r="C24" s="2464" t="s">
        <v>32</v>
      </c>
      <c r="D24" s="2269" t="s">
        <v>110</v>
      </c>
      <c r="E24" s="2269" t="s">
        <v>110</v>
      </c>
      <c r="F24" s="2270" t="s">
        <v>109</v>
      </c>
      <c r="G24" s="2269" t="s">
        <v>109</v>
      </c>
      <c r="H24" s="2269" t="s">
        <v>110</v>
      </c>
      <c r="I24" s="2269" t="s">
        <v>110</v>
      </c>
      <c r="J24" s="2269" t="s">
        <v>110</v>
      </c>
      <c r="K24" s="2270" t="s">
        <v>110</v>
      </c>
      <c r="L24" s="2269" t="s">
        <v>110</v>
      </c>
      <c r="M24" s="2269" t="s">
        <v>110</v>
      </c>
      <c r="N24" s="2284" t="s">
        <v>110</v>
      </c>
      <c r="O24" s="2428" t="s">
        <v>110</v>
      </c>
      <c r="P24" s="2428" t="s">
        <v>110</v>
      </c>
      <c r="Q24" s="2428" t="s">
        <v>110</v>
      </c>
      <c r="R24" s="2428" t="s">
        <v>110</v>
      </c>
      <c r="S24" s="2428" t="s">
        <v>110</v>
      </c>
      <c r="T24" s="2429" t="s">
        <v>110</v>
      </c>
      <c r="U24" s="2428" t="s">
        <v>110</v>
      </c>
      <c r="V24" s="2428" t="s">
        <v>110</v>
      </c>
      <c r="W24" s="2428" t="s">
        <v>110</v>
      </c>
      <c r="X24" s="2430" t="s">
        <v>117</v>
      </c>
      <c r="Y24" s="2430" t="s">
        <v>109</v>
      </c>
      <c r="Z24" s="2431" t="s">
        <v>110</v>
      </c>
      <c r="AA24" s="2428" t="s">
        <v>110</v>
      </c>
      <c r="AB24" s="2283" t="s">
        <v>109</v>
      </c>
      <c r="AC24" s="2428" t="s">
        <v>110</v>
      </c>
      <c r="AD24" s="2428" t="s">
        <v>110</v>
      </c>
      <c r="AE24" s="2431" t="s">
        <v>109</v>
      </c>
      <c r="AF24" s="2428" t="s">
        <v>110</v>
      </c>
      <c r="AG24" s="2429" t="s">
        <v>110</v>
      </c>
      <c r="AH24" s="2428" t="s">
        <v>110</v>
      </c>
      <c r="AI24" s="2428" t="s">
        <v>110</v>
      </c>
      <c r="AJ24" s="2428" t="s">
        <v>110</v>
      </c>
      <c r="AK24" s="2428" t="s">
        <v>110</v>
      </c>
      <c r="AL24" s="2429" t="s">
        <v>110</v>
      </c>
    </row>
    <row r="25" ht="18.75" customHeight="1">
      <c r="A25" s="147"/>
      <c r="B25" s="644"/>
      <c r="C25" s="2273" t="s">
        <v>650</v>
      </c>
      <c r="D25" s="2269" t="s">
        <v>110</v>
      </c>
      <c r="E25" s="2269" t="s">
        <v>110</v>
      </c>
      <c r="F25" s="2270" t="s">
        <v>109</v>
      </c>
      <c r="G25" s="2269" t="s">
        <v>109</v>
      </c>
      <c r="H25" s="2269" t="s">
        <v>110</v>
      </c>
      <c r="I25" s="2269" t="s">
        <v>110</v>
      </c>
      <c r="J25" s="2269" t="s">
        <v>110</v>
      </c>
      <c r="K25" s="2270" t="s">
        <v>110</v>
      </c>
      <c r="L25" s="2269" t="s">
        <v>110</v>
      </c>
      <c r="M25" s="2269" t="s">
        <v>110</v>
      </c>
      <c r="N25" s="2284" t="s">
        <v>110</v>
      </c>
      <c r="O25" s="2428" t="s">
        <v>110</v>
      </c>
      <c r="P25" s="2428" t="s">
        <v>110</v>
      </c>
      <c r="Q25" s="2428" t="s">
        <v>110</v>
      </c>
      <c r="R25" s="2428" t="s">
        <v>110</v>
      </c>
      <c r="S25" s="2428" t="s">
        <v>110</v>
      </c>
      <c r="T25" s="2429" t="s">
        <v>110</v>
      </c>
      <c r="U25" s="2428" t="s">
        <v>110</v>
      </c>
      <c r="V25" s="2428" t="s">
        <v>110</v>
      </c>
      <c r="W25" s="2428" t="s">
        <v>110</v>
      </c>
      <c r="X25" s="2428" t="s">
        <v>110</v>
      </c>
      <c r="Y25" s="2430" t="s">
        <v>109</v>
      </c>
      <c r="Z25" s="2431" t="s">
        <v>110</v>
      </c>
      <c r="AA25" s="2428" t="s">
        <v>110</v>
      </c>
      <c r="AB25" s="2283" t="s">
        <v>109</v>
      </c>
      <c r="AC25" s="2428" t="s">
        <v>110</v>
      </c>
      <c r="AD25" s="2428" t="s">
        <v>110</v>
      </c>
      <c r="AE25" s="2431" t="s">
        <v>109</v>
      </c>
      <c r="AF25" s="2428" t="s">
        <v>110</v>
      </c>
      <c r="AG25" s="2429" t="s">
        <v>110</v>
      </c>
      <c r="AH25" s="2428" t="s">
        <v>110</v>
      </c>
      <c r="AI25" s="2428" t="s">
        <v>110</v>
      </c>
      <c r="AJ25" s="2428" t="s">
        <v>110</v>
      </c>
      <c r="AK25" s="2428" t="s">
        <v>110</v>
      </c>
      <c r="AL25" s="2429" t="s">
        <v>110</v>
      </c>
    </row>
    <row r="26" ht="18.75" customHeight="1">
      <c r="A26" s="147"/>
      <c r="B26" s="644"/>
      <c r="C26" s="2273" t="s">
        <v>148</v>
      </c>
      <c r="D26" s="2269" t="s">
        <v>110</v>
      </c>
      <c r="E26" s="2269" t="s">
        <v>110</v>
      </c>
      <c r="F26" s="2270" t="s">
        <v>109</v>
      </c>
      <c r="G26" s="2269" t="s">
        <v>109</v>
      </c>
      <c r="H26" s="2269" t="s">
        <v>110</v>
      </c>
      <c r="I26" s="2269" t="s">
        <v>110</v>
      </c>
      <c r="J26" s="2269" t="s">
        <v>110</v>
      </c>
      <c r="K26" s="2270" t="s">
        <v>110</v>
      </c>
      <c r="L26" s="2269" t="s">
        <v>110</v>
      </c>
      <c r="M26" s="2269" t="s">
        <v>110</v>
      </c>
      <c r="N26" s="2284" t="s">
        <v>110</v>
      </c>
      <c r="O26" s="2438" t="s">
        <v>108</v>
      </c>
      <c r="P26" s="2438" t="s">
        <v>108</v>
      </c>
      <c r="Q26" s="2438" t="s">
        <v>108</v>
      </c>
      <c r="R26" s="2438" t="s">
        <v>108</v>
      </c>
      <c r="S26" s="2438" t="s">
        <v>108</v>
      </c>
      <c r="T26" s="2439" t="s">
        <v>108</v>
      </c>
      <c r="U26" s="2428" t="s">
        <v>110</v>
      </c>
      <c r="V26" s="2428" t="s">
        <v>110</v>
      </c>
      <c r="W26" s="2428" t="s">
        <v>110</v>
      </c>
      <c r="X26" s="2430" t="s">
        <v>117</v>
      </c>
      <c r="Y26" s="2430" t="s">
        <v>109</v>
      </c>
      <c r="Z26" s="2431" t="s">
        <v>110</v>
      </c>
      <c r="AA26" s="2428" t="s">
        <v>110</v>
      </c>
      <c r="AB26" s="2283" t="s">
        <v>109</v>
      </c>
      <c r="AC26" s="2428" t="s">
        <v>110</v>
      </c>
      <c r="AD26" s="2428" t="s">
        <v>110</v>
      </c>
      <c r="AE26" s="2431" t="s">
        <v>109</v>
      </c>
      <c r="AF26" s="2428" t="s">
        <v>110</v>
      </c>
      <c r="AG26" s="2429" t="s">
        <v>110</v>
      </c>
      <c r="AH26" s="2428" t="s">
        <v>110</v>
      </c>
      <c r="AI26" s="2428" t="s">
        <v>110</v>
      </c>
      <c r="AJ26" s="2428" t="s">
        <v>110</v>
      </c>
      <c r="AK26" s="2428" t="s">
        <v>110</v>
      </c>
      <c r="AL26" s="2429" t="s">
        <v>110</v>
      </c>
    </row>
    <row r="27" ht="18.75" customHeight="1">
      <c r="A27" s="147"/>
      <c r="B27" s="644"/>
      <c r="C27" s="2465" t="s">
        <v>1282</v>
      </c>
      <c r="D27" s="2269" t="s">
        <v>110</v>
      </c>
      <c r="E27" s="2269" t="s">
        <v>110</v>
      </c>
      <c r="F27" s="2270" t="s">
        <v>109</v>
      </c>
      <c r="G27" s="2269" t="s">
        <v>108</v>
      </c>
      <c r="H27" s="2269" t="s">
        <v>108</v>
      </c>
      <c r="I27" s="2269" t="s">
        <v>108</v>
      </c>
      <c r="J27" s="2269" t="s">
        <v>108</v>
      </c>
      <c r="K27" s="2270" t="s">
        <v>108</v>
      </c>
      <c r="L27" s="2269" t="s">
        <v>108</v>
      </c>
      <c r="M27" s="2269" t="s">
        <v>108</v>
      </c>
      <c r="N27" s="2275" t="s">
        <v>108</v>
      </c>
      <c r="O27" s="2440" t="s">
        <v>119</v>
      </c>
      <c r="P27" s="2445" t="s">
        <v>119</v>
      </c>
      <c r="Q27" s="2445" t="s">
        <v>119</v>
      </c>
      <c r="R27" s="2445" t="s">
        <v>119</v>
      </c>
      <c r="S27" s="2445" t="s">
        <v>119</v>
      </c>
      <c r="T27" s="2447" t="s">
        <v>119</v>
      </c>
      <c r="U27" s="2445" t="s">
        <v>119</v>
      </c>
      <c r="V27" s="2445" t="s">
        <v>119</v>
      </c>
      <c r="W27" s="2445" t="s">
        <v>119</v>
      </c>
      <c r="X27" s="2445" t="s">
        <v>119</v>
      </c>
      <c r="Y27" s="2445" t="s">
        <v>119</v>
      </c>
      <c r="Z27" s="2446" t="s">
        <v>119</v>
      </c>
      <c r="AA27" s="2445" t="s">
        <v>119</v>
      </c>
      <c r="AB27" s="2277" t="s">
        <v>119</v>
      </c>
      <c r="AC27" s="2445" t="s">
        <v>119</v>
      </c>
      <c r="AD27" s="2445" t="s">
        <v>119</v>
      </c>
      <c r="AE27" s="2446" t="s">
        <v>119</v>
      </c>
      <c r="AF27" s="2445" t="s">
        <v>119</v>
      </c>
      <c r="AG27" s="2447" t="s">
        <v>119</v>
      </c>
      <c r="AH27" s="2445" t="s">
        <v>119</v>
      </c>
      <c r="AI27" s="2445" t="s">
        <v>119</v>
      </c>
      <c r="AJ27" s="2445" t="s">
        <v>119</v>
      </c>
      <c r="AK27" s="2445" t="s">
        <v>119</v>
      </c>
      <c r="AL27" s="2447" t="s">
        <v>119</v>
      </c>
    </row>
    <row r="28" ht="18.75" customHeight="1">
      <c r="A28" s="147"/>
      <c r="B28" s="644"/>
      <c r="C28" s="2465" t="s">
        <v>1283</v>
      </c>
      <c r="D28" s="2269" t="s">
        <v>119</v>
      </c>
      <c r="E28" s="2269" t="s">
        <v>119</v>
      </c>
      <c r="F28" s="2270" t="s">
        <v>119</v>
      </c>
      <c r="G28" s="2440" t="s">
        <v>119</v>
      </c>
      <c r="H28" s="2269" t="s">
        <v>119</v>
      </c>
      <c r="I28" s="2269" t="s">
        <v>119</v>
      </c>
      <c r="J28" s="2269" t="s">
        <v>119</v>
      </c>
      <c r="K28" s="2270" t="s">
        <v>119</v>
      </c>
      <c r="L28" s="2269" t="s">
        <v>119</v>
      </c>
      <c r="M28" s="2269" t="s">
        <v>119</v>
      </c>
      <c r="N28" s="2270" t="s">
        <v>119</v>
      </c>
      <c r="O28" s="2428" t="s">
        <v>110</v>
      </c>
      <c r="P28" s="2428" t="s">
        <v>110</v>
      </c>
      <c r="Q28" s="2428" t="s">
        <v>110</v>
      </c>
      <c r="R28" s="2428" t="s">
        <v>110</v>
      </c>
      <c r="S28" s="2428" t="s">
        <v>110</v>
      </c>
      <c r="T28" s="2429" t="s">
        <v>110</v>
      </c>
      <c r="U28" s="2430" t="s">
        <v>109</v>
      </c>
      <c r="V28" s="2428" t="s">
        <v>110</v>
      </c>
      <c r="W28" s="2428" t="s">
        <v>110</v>
      </c>
      <c r="X28" s="2430" t="s">
        <v>109</v>
      </c>
      <c r="Y28" s="2430" t="s">
        <v>109</v>
      </c>
      <c r="Z28" s="2431" t="s">
        <v>110</v>
      </c>
      <c r="AA28" s="2428" t="s">
        <v>110</v>
      </c>
      <c r="AB28" s="2283" t="s">
        <v>109</v>
      </c>
      <c r="AC28" s="2428" t="s">
        <v>110</v>
      </c>
      <c r="AD28" s="2428" t="s">
        <v>110</v>
      </c>
      <c r="AE28" s="2446" t="s">
        <v>119</v>
      </c>
      <c r="AF28" s="2445" t="s">
        <v>119</v>
      </c>
      <c r="AG28" s="2447" t="s">
        <v>119</v>
      </c>
      <c r="AH28" s="2445" t="s">
        <v>119</v>
      </c>
      <c r="AI28" s="2445" t="s">
        <v>119</v>
      </c>
      <c r="AJ28" s="2445" t="s">
        <v>119</v>
      </c>
      <c r="AK28" s="2445" t="s">
        <v>119</v>
      </c>
      <c r="AL28" s="2447" t="s">
        <v>119</v>
      </c>
    </row>
    <row r="29" ht="18.75" customHeight="1">
      <c r="A29" s="147"/>
      <c r="B29" s="644"/>
      <c r="C29" s="2273" t="s">
        <v>629</v>
      </c>
      <c r="D29" s="2269" t="s">
        <v>119</v>
      </c>
      <c r="E29" s="2269" t="s">
        <v>119</v>
      </c>
      <c r="F29" s="2270" t="s">
        <v>119</v>
      </c>
      <c r="G29" s="2440" t="s">
        <v>119</v>
      </c>
      <c r="H29" s="2269" t="s">
        <v>119</v>
      </c>
      <c r="I29" s="2269" t="s">
        <v>119</v>
      </c>
      <c r="J29" s="2269" t="s">
        <v>119</v>
      </c>
      <c r="K29" s="2270" t="s">
        <v>119</v>
      </c>
      <c r="L29" s="2269" t="s">
        <v>119</v>
      </c>
      <c r="M29" s="2269" t="s">
        <v>119</v>
      </c>
      <c r="N29" s="2270" t="s">
        <v>119</v>
      </c>
      <c r="O29" s="2440" t="s">
        <v>119</v>
      </c>
      <c r="P29" s="2445" t="s">
        <v>119</v>
      </c>
      <c r="Q29" s="2445" t="s">
        <v>119</v>
      </c>
      <c r="R29" s="2445" t="s">
        <v>119</v>
      </c>
      <c r="S29" s="2445" t="s">
        <v>119</v>
      </c>
      <c r="T29" s="2447" t="s">
        <v>119</v>
      </c>
      <c r="U29" s="2445" t="s">
        <v>119</v>
      </c>
      <c r="V29" s="2445" t="s">
        <v>119</v>
      </c>
      <c r="W29" s="2445" t="s">
        <v>119</v>
      </c>
      <c r="X29" s="2445" t="s">
        <v>119</v>
      </c>
      <c r="Y29" s="2445" t="s">
        <v>119</v>
      </c>
      <c r="Z29" s="2446" t="s">
        <v>119</v>
      </c>
      <c r="AA29" s="2445" t="s">
        <v>119</v>
      </c>
      <c r="AB29" s="2277" t="s">
        <v>119</v>
      </c>
      <c r="AC29" s="2445" t="s">
        <v>119</v>
      </c>
      <c r="AD29" s="2445" t="s">
        <v>119</v>
      </c>
      <c r="AE29" s="2431" t="s">
        <v>109</v>
      </c>
      <c r="AF29" s="2428" t="s">
        <v>109</v>
      </c>
      <c r="AG29" s="2429" t="s">
        <v>110</v>
      </c>
      <c r="AH29" s="2428" t="s">
        <v>110</v>
      </c>
      <c r="AI29" s="2428" t="s">
        <v>110</v>
      </c>
      <c r="AJ29" s="2428" t="s">
        <v>110</v>
      </c>
      <c r="AK29" s="2428" t="s">
        <v>110</v>
      </c>
      <c r="AL29" s="2429" t="s">
        <v>110</v>
      </c>
    </row>
    <row r="30" ht="18.75" customHeight="1">
      <c r="A30" s="147"/>
      <c r="B30" s="644"/>
      <c r="C30" s="2465" t="s">
        <v>1286</v>
      </c>
      <c r="D30" s="2269" t="s">
        <v>110</v>
      </c>
      <c r="E30" s="2269" t="s">
        <v>110</v>
      </c>
      <c r="F30" s="2270" t="s">
        <v>109</v>
      </c>
      <c r="G30" s="2269" t="s">
        <v>108</v>
      </c>
      <c r="H30" s="2269" t="s">
        <v>108</v>
      </c>
      <c r="I30" s="2269" t="s">
        <v>108</v>
      </c>
      <c r="J30" s="2269" t="s">
        <v>108</v>
      </c>
      <c r="K30" s="2270" t="s">
        <v>108</v>
      </c>
      <c r="L30" s="2269" t="s">
        <v>108</v>
      </c>
      <c r="M30" s="2269" t="s">
        <v>108</v>
      </c>
      <c r="N30" s="2275" t="s">
        <v>108</v>
      </c>
      <c r="O30" s="2269" t="s">
        <v>119</v>
      </c>
      <c r="P30" s="2445" t="s">
        <v>119</v>
      </c>
      <c r="Q30" s="2445" t="s">
        <v>119</v>
      </c>
      <c r="R30" s="2445" t="s">
        <v>119</v>
      </c>
      <c r="S30" s="2445" t="s">
        <v>119</v>
      </c>
      <c r="T30" s="2447" t="s">
        <v>119</v>
      </c>
      <c r="U30" s="2445" t="s">
        <v>119</v>
      </c>
      <c r="V30" s="2445" t="s">
        <v>119</v>
      </c>
      <c r="W30" s="2445" t="s">
        <v>119</v>
      </c>
      <c r="X30" s="2445" t="s">
        <v>119</v>
      </c>
      <c r="Y30" s="2445" t="s">
        <v>119</v>
      </c>
      <c r="Z30" s="2446" t="s">
        <v>119</v>
      </c>
      <c r="AA30" s="2445" t="s">
        <v>119</v>
      </c>
      <c r="AB30" s="2277" t="s">
        <v>119</v>
      </c>
      <c r="AC30" s="2445" t="s">
        <v>119</v>
      </c>
      <c r="AD30" s="2445" t="s">
        <v>119</v>
      </c>
      <c r="AE30" s="2446" t="s">
        <v>119</v>
      </c>
      <c r="AF30" s="2445" t="s">
        <v>119</v>
      </c>
      <c r="AG30" s="2447" t="s">
        <v>119</v>
      </c>
      <c r="AH30" s="2445" t="s">
        <v>119</v>
      </c>
      <c r="AI30" s="2445" t="s">
        <v>119</v>
      </c>
      <c r="AJ30" s="2445" t="s">
        <v>119</v>
      </c>
      <c r="AK30" s="2445" t="s">
        <v>119</v>
      </c>
      <c r="AL30" s="2447" t="s">
        <v>119</v>
      </c>
    </row>
    <row r="31" ht="18.75" customHeight="1">
      <c r="A31" s="147"/>
      <c r="B31" s="644"/>
      <c r="C31" s="2273" t="s">
        <v>25</v>
      </c>
      <c r="D31" s="2269" t="s">
        <v>119</v>
      </c>
      <c r="E31" s="2269" t="s">
        <v>119</v>
      </c>
      <c r="F31" s="2270" t="s">
        <v>119</v>
      </c>
      <c r="G31" s="2440" t="s">
        <v>119</v>
      </c>
      <c r="H31" s="2269" t="s">
        <v>119</v>
      </c>
      <c r="I31" s="2269" t="s">
        <v>119</v>
      </c>
      <c r="J31" s="2269" t="s">
        <v>119</v>
      </c>
      <c r="K31" s="2270" t="s">
        <v>119</v>
      </c>
      <c r="L31" s="2269" t="s">
        <v>119</v>
      </c>
      <c r="M31" s="2269" t="s">
        <v>119</v>
      </c>
      <c r="N31" s="2270" t="s">
        <v>119</v>
      </c>
      <c r="O31" s="2428" t="s">
        <v>110</v>
      </c>
      <c r="P31" s="2428" t="s">
        <v>110</v>
      </c>
      <c r="Q31" s="2428" t="s">
        <v>110</v>
      </c>
      <c r="R31" s="2428" t="s">
        <v>110</v>
      </c>
      <c r="S31" s="2428" t="s">
        <v>110</v>
      </c>
      <c r="T31" s="2429" t="s">
        <v>110</v>
      </c>
      <c r="U31" s="2428" t="s">
        <v>110</v>
      </c>
      <c r="V31" s="2428" t="s">
        <v>110</v>
      </c>
      <c r="W31" s="2428" t="s">
        <v>110</v>
      </c>
      <c r="X31" s="2430" t="s">
        <v>109</v>
      </c>
      <c r="Y31" s="2430" t="s">
        <v>109</v>
      </c>
      <c r="Z31" s="2431" t="s">
        <v>110</v>
      </c>
      <c r="AA31" s="2428" t="s">
        <v>110</v>
      </c>
      <c r="AB31" s="2283" t="s">
        <v>110</v>
      </c>
      <c r="AC31" s="2428" t="s">
        <v>110</v>
      </c>
      <c r="AD31" s="2428" t="s">
        <v>110</v>
      </c>
      <c r="AE31" s="2431" t="s">
        <v>109</v>
      </c>
      <c r="AF31" s="2428" t="s">
        <v>110</v>
      </c>
      <c r="AG31" s="2429" t="s">
        <v>110</v>
      </c>
      <c r="AH31" s="2428" t="s">
        <v>110</v>
      </c>
      <c r="AI31" s="2428" t="s">
        <v>110</v>
      </c>
      <c r="AJ31" s="2428" t="s">
        <v>110</v>
      </c>
      <c r="AK31" s="2428" t="s">
        <v>110</v>
      </c>
      <c r="AL31" s="2429" t="s">
        <v>110</v>
      </c>
    </row>
    <row r="32" ht="18.75" customHeight="1">
      <c r="A32" s="147"/>
      <c r="B32" s="644"/>
      <c r="C32" s="2273" t="s">
        <v>1285</v>
      </c>
      <c r="D32" s="2269" t="s">
        <v>110</v>
      </c>
      <c r="E32" s="2269" t="s">
        <v>117</v>
      </c>
      <c r="F32" s="2270" t="s">
        <v>109</v>
      </c>
      <c r="G32" s="2269" t="s">
        <v>109</v>
      </c>
      <c r="H32" s="2269" t="s">
        <v>110</v>
      </c>
      <c r="I32" s="2269" t="s">
        <v>110</v>
      </c>
      <c r="J32" s="2269" t="s">
        <v>110</v>
      </c>
      <c r="K32" s="2270" t="s">
        <v>110</v>
      </c>
      <c r="L32" s="2269" t="s">
        <v>110</v>
      </c>
      <c r="M32" s="2269" t="s">
        <v>110</v>
      </c>
      <c r="N32" s="2284" t="s">
        <v>110</v>
      </c>
      <c r="O32" s="2428" t="s">
        <v>110</v>
      </c>
      <c r="P32" s="2428" t="s">
        <v>110</v>
      </c>
      <c r="Q32" s="2428" t="s">
        <v>110</v>
      </c>
      <c r="R32" s="2428" t="s">
        <v>110</v>
      </c>
      <c r="S32" s="2428" t="s">
        <v>110</v>
      </c>
      <c r="T32" s="2429" t="s">
        <v>110</v>
      </c>
      <c r="U32" s="2428" t="s">
        <v>110</v>
      </c>
      <c r="V32" s="2428" t="s">
        <v>110</v>
      </c>
      <c r="W32" s="2428" t="s">
        <v>110</v>
      </c>
      <c r="X32" s="2430" t="s">
        <v>117</v>
      </c>
      <c r="Y32" s="2430" t="s">
        <v>109</v>
      </c>
      <c r="Z32" s="2431" t="s">
        <v>110</v>
      </c>
      <c r="AA32" s="2428" t="s">
        <v>110</v>
      </c>
      <c r="AB32" s="2283" t="s">
        <v>109</v>
      </c>
      <c r="AC32" s="2428" t="s">
        <v>110</v>
      </c>
      <c r="AD32" s="2428" t="s">
        <v>110</v>
      </c>
      <c r="AE32" s="2431" t="s">
        <v>109</v>
      </c>
      <c r="AF32" s="2428" t="s">
        <v>110</v>
      </c>
      <c r="AG32" s="2429" t="s">
        <v>110</v>
      </c>
      <c r="AH32" s="2428" t="s">
        <v>110</v>
      </c>
      <c r="AI32" s="2428" t="s">
        <v>110</v>
      </c>
      <c r="AJ32" s="2428" t="s">
        <v>110</v>
      </c>
      <c r="AK32" s="2428" t="s">
        <v>110</v>
      </c>
      <c r="AL32" s="2429" t="s">
        <v>110</v>
      </c>
    </row>
    <row r="33" ht="18.75" customHeight="1">
      <c r="A33" s="147"/>
      <c r="B33" s="658"/>
      <c r="C33" s="2466" t="s">
        <v>662</v>
      </c>
      <c r="D33" s="2269" t="s">
        <v>119</v>
      </c>
      <c r="E33" s="2269" t="s">
        <v>119</v>
      </c>
      <c r="F33" s="2270" t="s">
        <v>119</v>
      </c>
      <c r="G33" s="2440" t="s">
        <v>119</v>
      </c>
      <c r="H33" s="2269" t="s">
        <v>119</v>
      </c>
      <c r="I33" s="2269" t="s">
        <v>119</v>
      </c>
      <c r="J33" s="2269" t="s">
        <v>119</v>
      </c>
      <c r="K33" s="2270" t="s">
        <v>119</v>
      </c>
      <c r="L33" s="2269" t="s">
        <v>119</v>
      </c>
      <c r="M33" s="2269" t="s">
        <v>119</v>
      </c>
      <c r="N33" s="2270" t="s">
        <v>119</v>
      </c>
      <c r="O33" s="2269" t="s">
        <v>119</v>
      </c>
      <c r="P33" s="2445" t="s">
        <v>119</v>
      </c>
      <c r="Q33" s="2445" t="s">
        <v>119</v>
      </c>
      <c r="R33" s="2445" t="s">
        <v>119</v>
      </c>
      <c r="S33" s="2445" t="s">
        <v>119</v>
      </c>
      <c r="T33" s="2447" t="s">
        <v>119</v>
      </c>
      <c r="U33" s="2445" t="s">
        <v>119</v>
      </c>
      <c r="V33" s="2445" t="s">
        <v>119</v>
      </c>
      <c r="W33" s="2445" t="s">
        <v>119</v>
      </c>
      <c r="X33" s="2445" t="s">
        <v>119</v>
      </c>
      <c r="Y33" s="2445" t="s">
        <v>119</v>
      </c>
      <c r="Z33" s="2446" t="s">
        <v>119</v>
      </c>
      <c r="AA33" s="2445" t="s">
        <v>119</v>
      </c>
      <c r="AB33" s="2277" t="s">
        <v>119</v>
      </c>
      <c r="AC33" s="2445" t="s">
        <v>119</v>
      </c>
      <c r="AD33" s="2445" t="s">
        <v>119</v>
      </c>
      <c r="AE33" s="2431" t="s">
        <v>109</v>
      </c>
      <c r="AF33" s="2428" t="s">
        <v>110</v>
      </c>
      <c r="AG33" s="2429" t="s">
        <v>110</v>
      </c>
      <c r="AH33" s="2428" t="s">
        <v>110</v>
      </c>
      <c r="AI33" s="2428" t="s">
        <v>110</v>
      </c>
      <c r="AJ33" s="2428" t="s">
        <v>110</v>
      </c>
      <c r="AK33" s="2428" t="s">
        <v>110</v>
      </c>
      <c r="AL33" s="2429" t="s">
        <v>110</v>
      </c>
    </row>
    <row r="34" ht="18.75" customHeight="1">
      <c r="A34" s="147"/>
      <c r="B34" s="2293" t="s">
        <v>449</v>
      </c>
      <c r="C34" s="2294" t="s">
        <v>299</v>
      </c>
      <c r="D34" s="2269" t="s">
        <v>110</v>
      </c>
      <c r="E34" s="2269" t="s">
        <v>110</v>
      </c>
      <c r="F34" s="2270" t="s">
        <v>109</v>
      </c>
      <c r="G34" s="2269" t="s">
        <v>108</v>
      </c>
      <c r="H34" s="2269" t="s">
        <v>108</v>
      </c>
      <c r="I34" s="2269" t="s">
        <v>108</v>
      </c>
      <c r="J34" s="2269" t="s">
        <v>108</v>
      </c>
      <c r="K34" s="2270" t="s">
        <v>108</v>
      </c>
      <c r="L34" s="2269" t="s">
        <v>108</v>
      </c>
      <c r="M34" s="2269" t="s">
        <v>108</v>
      </c>
      <c r="N34" s="2275" t="s">
        <v>108</v>
      </c>
      <c r="O34" s="2467" t="s">
        <v>110</v>
      </c>
      <c r="P34" s="2281" t="s">
        <v>110</v>
      </c>
      <c r="Q34" s="2281" t="s">
        <v>110</v>
      </c>
      <c r="R34" s="2281" t="s">
        <v>110</v>
      </c>
      <c r="S34" s="2281" t="s">
        <v>110</v>
      </c>
      <c r="T34" s="2468" t="s">
        <v>109</v>
      </c>
      <c r="U34" s="2428" t="s">
        <v>110</v>
      </c>
      <c r="V34" s="2430" t="s">
        <v>109</v>
      </c>
      <c r="W34" s="2428" t="s">
        <v>110</v>
      </c>
      <c r="X34" s="2430" t="s">
        <v>109</v>
      </c>
      <c r="Y34" s="2430" t="s">
        <v>109</v>
      </c>
      <c r="Z34" s="2431" t="s">
        <v>110</v>
      </c>
      <c r="AA34" s="2428" t="s">
        <v>110</v>
      </c>
      <c r="AB34" s="2283" t="s">
        <v>110</v>
      </c>
      <c r="AC34" s="2428" t="s">
        <v>109</v>
      </c>
      <c r="AD34" s="2428" t="s">
        <v>110</v>
      </c>
      <c r="AE34" s="2437" t="s">
        <v>108</v>
      </c>
      <c r="AF34" s="2438" t="s">
        <v>108</v>
      </c>
      <c r="AG34" s="2439" t="s">
        <v>108</v>
      </c>
      <c r="AH34" s="2428" t="s">
        <v>110</v>
      </c>
      <c r="AI34" s="2428" t="s">
        <v>110</v>
      </c>
      <c r="AJ34" s="2428" t="s">
        <v>109</v>
      </c>
      <c r="AK34" s="2428" t="s">
        <v>110</v>
      </c>
      <c r="AL34" s="2429" t="s">
        <v>109</v>
      </c>
    </row>
    <row r="35" ht="18.75" customHeight="1">
      <c r="A35" s="147"/>
      <c r="B35" s="147"/>
      <c r="C35" s="2295" t="s">
        <v>154</v>
      </c>
      <c r="D35" s="2269" t="s">
        <v>110</v>
      </c>
      <c r="E35" s="2269" t="s">
        <v>110</v>
      </c>
      <c r="F35" s="2270" t="s">
        <v>109</v>
      </c>
      <c r="G35" s="2269" t="s">
        <v>110</v>
      </c>
      <c r="H35" s="2269" t="s">
        <v>110</v>
      </c>
      <c r="I35" s="2269" t="s">
        <v>110</v>
      </c>
      <c r="J35" s="2269" t="s">
        <v>110</v>
      </c>
      <c r="K35" s="2270" t="s">
        <v>110</v>
      </c>
      <c r="L35" s="2269" t="s">
        <v>108</v>
      </c>
      <c r="M35" s="2269" t="s">
        <v>108</v>
      </c>
      <c r="N35" s="2275" t="s">
        <v>108</v>
      </c>
      <c r="O35" s="2428" t="s">
        <v>110</v>
      </c>
      <c r="P35" s="2428" t="s">
        <v>110</v>
      </c>
      <c r="Q35" s="2428" t="s">
        <v>110</v>
      </c>
      <c r="R35" s="2428" t="s">
        <v>110</v>
      </c>
      <c r="S35" s="2428" t="s">
        <v>110</v>
      </c>
      <c r="T35" s="2427" t="s">
        <v>109</v>
      </c>
      <c r="U35" s="2428" t="s">
        <v>110</v>
      </c>
      <c r="V35" s="2430" t="s">
        <v>109</v>
      </c>
      <c r="W35" s="2428" t="s">
        <v>110</v>
      </c>
      <c r="X35" s="2430" t="s">
        <v>117</v>
      </c>
      <c r="Y35" s="2430" t="s">
        <v>109</v>
      </c>
      <c r="Z35" s="2431" t="s">
        <v>110</v>
      </c>
      <c r="AA35" s="2428" t="s">
        <v>110</v>
      </c>
      <c r="AB35" s="2283" t="s">
        <v>110</v>
      </c>
      <c r="AC35" s="2428" t="s">
        <v>109</v>
      </c>
      <c r="AD35" s="2428" t="s">
        <v>110</v>
      </c>
      <c r="AE35" s="2437" t="s">
        <v>108</v>
      </c>
      <c r="AF35" s="2438" t="s">
        <v>108</v>
      </c>
      <c r="AG35" s="2439" t="s">
        <v>108</v>
      </c>
      <c r="AH35" s="2428" t="s">
        <v>108</v>
      </c>
      <c r="AI35" s="2428" t="s">
        <v>108</v>
      </c>
      <c r="AJ35" s="2428" t="s">
        <v>108</v>
      </c>
      <c r="AK35" s="2428" t="s">
        <v>108</v>
      </c>
      <c r="AL35" s="2429" t="s">
        <v>108</v>
      </c>
    </row>
    <row r="36" ht="18.75" customHeight="1">
      <c r="A36" s="147"/>
      <c r="B36" s="159"/>
      <c r="C36" s="2295" t="s">
        <v>44</v>
      </c>
      <c r="D36" s="2269" t="s">
        <v>110</v>
      </c>
      <c r="E36" s="2269" t="s">
        <v>110</v>
      </c>
      <c r="F36" s="2270" t="s">
        <v>109</v>
      </c>
      <c r="G36" s="2269" t="s">
        <v>110</v>
      </c>
      <c r="H36" s="2269" t="s">
        <v>110</v>
      </c>
      <c r="I36" s="2269" t="s">
        <v>110</v>
      </c>
      <c r="J36" s="2269" t="s">
        <v>110</v>
      </c>
      <c r="K36" s="2270" t="s">
        <v>110</v>
      </c>
      <c r="L36" s="2269" t="s">
        <v>109</v>
      </c>
      <c r="M36" s="2269" t="s">
        <v>109</v>
      </c>
      <c r="N36" s="2427" t="s">
        <v>109</v>
      </c>
      <c r="O36" s="2428" t="s">
        <v>110</v>
      </c>
      <c r="P36" s="2428" t="s">
        <v>110</v>
      </c>
      <c r="Q36" s="2428" t="s">
        <v>110</v>
      </c>
      <c r="R36" s="2428" t="s">
        <v>110</v>
      </c>
      <c r="S36" s="2428" t="s">
        <v>110</v>
      </c>
      <c r="T36" s="2427" t="s">
        <v>109</v>
      </c>
      <c r="U36" s="2428" t="s">
        <v>110</v>
      </c>
      <c r="V36" s="2430" t="s">
        <v>109</v>
      </c>
      <c r="W36" s="2428" t="s">
        <v>110</v>
      </c>
      <c r="X36" s="2430" t="s">
        <v>109</v>
      </c>
      <c r="Y36" s="2430" t="s">
        <v>117</v>
      </c>
      <c r="Z36" s="2431" t="s">
        <v>110</v>
      </c>
      <c r="AA36" s="2428" t="s">
        <v>110</v>
      </c>
      <c r="AB36" s="2283" t="s">
        <v>110</v>
      </c>
      <c r="AC36" s="2428" t="s">
        <v>109</v>
      </c>
      <c r="AD36" s="2428" t="s">
        <v>110</v>
      </c>
      <c r="AE36" s="2431" t="s">
        <v>110</v>
      </c>
      <c r="AF36" s="2428" t="s">
        <v>109</v>
      </c>
      <c r="AG36" s="2429" t="s">
        <v>110</v>
      </c>
      <c r="AH36" s="2428" t="s">
        <v>110</v>
      </c>
      <c r="AI36" s="2428" t="s">
        <v>110</v>
      </c>
      <c r="AJ36" s="2428" t="s">
        <v>109</v>
      </c>
      <c r="AK36" s="2428" t="s">
        <v>110</v>
      </c>
      <c r="AL36" s="2429" t="s">
        <v>109</v>
      </c>
    </row>
    <row r="37" ht="18.75" customHeight="1">
      <c r="A37" s="147"/>
      <c r="B37" s="2469" t="s">
        <v>452</v>
      </c>
      <c r="C37" s="2316" t="s">
        <v>1245</v>
      </c>
      <c r="D37" s="2269" t="s">
        <v>109</v>
      </c>
      <c r="E37" s="2269" t="s">
        <v>110</v>
      </c>
      <c r="F37" s="2270" t="s">
        <v>110</v>
      </c>
      <c r="G37" s="2269" t="s">
        <v>109</v>
      </c>
      <c r="H37" s="2269" t="s">
        <v>110</v>
      </c>
      <c r="I37" s="2269" t="s">
        <v>110</v>
      </c>
      <c r="J37" s="2269" t="s">
        <v>110</v>
      </c>
      <c r="K37" s="2270" t="s">
        <v>110</v>
      </c>
      <c r="L37" s="2269" t="s">
        <v>108</v>
      </c>
      <c r="M37" s="2269" t="s">
        <v>108</v>
      </c>
      <c r="N37" s="2275" t="s">
        <v>108</v>
      </c>
      <c r="O37" s="2438" t="s">
        <v>108</v>
      </c>
      <c r="P37" s="2438" t="s">
        <v>108</v>
      </c>
      <c r="Q37" s="2438" t="s">
        <v>108</v>
      </c>
      <c r="R37" s="2438" t="s">
        <v>108</v>
      </c>
      <c r="S37" s="2438" t="s">
        <v>108</v>
      </c>
      <c r="T37" s="2439" t="s">
        <v>108</v>
      </c>
      <c r="U37" s="2428" t="s">
        <v>110</v>
      </c>
      <c r="V37" s="2430" t="s">
        <v>109</v>
      </c>
      <c r="W37" s="2430" t="s">
        <v>109</v>
      </c>
      <c r="X37" s="2430" t="s">
        <v>109</v>
      </c>
      <c r="Y37" s="2430" t="s">
        <v>109</v>
      </c>
      <c r="Z37" s="2437" t="s">
        <v>108</v>
      </c>
      <c r="AA37" s="2438" t="s">
        <v>108</v>
      </c>
      <c r="AB37" s="2274" t="s">
        <v>108</v>
      </c>
      <c r="AC37" s="2438" t="s">
        <v>108</v>
      </c>
      <c r="AD37" s="2438" t="s">
        <v>108</v>
      </c>
      <c r="AE37" s="2431" t="s">
        <v>109</v>
      </c>
      <c r="AF37" s="2428" t="s">
        <v>109</v>
      </c>
      <c r="AG37" s="2429" t="s">
        <v>109</v>
      </c>
      <c r="AH37" s="2428" t="s">
        <v>109</v>
      </c>
      <c r="AI37" s="2428" t="s">
        <v>109</v>
      </c>
      <c r="AJ37" s="2428" t="s">
        <v>109</v>
      </c>
      <c r="AK37" s="2428" t="s">
        <v>110</v>
      </c>
      <c r="AL37" s="2429" t="s">
        <v>109</v>
      </c>
    </row>
    <row r="38" ht="18.75" customHeight="1">
      <c r="A38" s="147"/>
      <c r="B38" s="2296" t="s">
        <v>456</v>
      </c>
      <c r="C38" s="2297" t="s">
        <v>118</v>
      </c>
      <c r="D38" s="2269" t="s">
        <v>110</v>
      </c>
      <c r="E38" s="2269" t="s">
        <v>110</v>
      </c>
      <c r="F38" s="2270" t="s">
        <v>110</v>
      </c>
      <c r="G38" s="2269" t="s">
        <v>109</v>
      </c>
      <c r="H38" s="2269" t="s">
        <v>110</v>
      </c>
      <c r="I38" s="2269" t="s">
        <v>110</v>
      </c>
      <c r="J38" s="2269" t="s">
        <v>110</v>
      </c>
      <c r="K38" s="2270" t="s">
        <v>110</v>
      </c>
      <c r="L38" s="2269" t="s">
        <v>110</v>
      </c>
      <c r="M38" s="2269" t="s">
        <v>110</v>
      </c>
      <c r="N38" s="2284" t="s">
        <v>110</v>
      </c>
      <c r="O38" s="2428" t="s">
        <v>110</v>
      </c>
      <c r="P38" s="2428" t="s">
        <v>110</v>
      </c>
      <c r="Q38" s="2269" t="s">
        <v>117</v>
      </c>
      <c r="R38" s="2428" t="s">
        <v>110</v>
      </c>
      <c r="S38" s="2428" t="s">
        <v>110</v>
      </c>
      <c r="T38" s="2429" t="s">
        <v>110</v>
      </c>
      <c r="U38" s="2430" t="s">
        <v>109</v>
      </c>
      <c r="V38" s="2428" t="s">
        <v>110</v>
      </c>
      <c r="W38" s="2428" t="s">
        <v>110</v>
      </c>
      <c r="X38" s="2428" t="s">
        <v>110</v>
      </c>
      <c r="Y38" s="2428" t="s">
        <v>110</v>
      </c>
      <c r="Z38" s="2431" t="s">
        <v>110</v>
      </c>
      <c r="AA38" s="2428" t="s">
        <v>110</v>
      </c>
      <c r="AB38" s="2283" t="s">
        <v>109</v>
      </c>
      <c r="AC38" s="2428" t="s">
        <v>109</v>
      </c>
      <c r="AD38" s="2428" t="s">
        <v>110</v>
      </c>
      <c r="AE38" s="2431" t="s">
        <v>109</v>
      </c>
      <c r="AF38" s="2428" t="s">
        <v>110</v>
      </c>
      <c r="AG38" s="2429" t="s">
        <v>110</v>
      </c>
      <c r="AH38" s="2428" t="s">
        <v>110</v>
      </c>
      <c r="AI38" s="2428" t="s">
        <v>110</v>
      </c>
      <c r="AJ38" s="2428" t="s">
        <v>110</v>
      </c>
      <c r="AK38" s="2428" t="s">
        <v>110</v>
      </c>
      <c r="AL38" s="2429" t="s">
        <v>110</v>
      </c>
    </row>
    <row r="39" ht="18.75" customHeight="1">
      <c r="A39" s="147"/>
      <c r="B39" s="2470" t="s">
        <v>458</v>
      </c>
      <c r="C39" s="2471" t="s">
        <v>155</v>
      </c>
      <c r="D39" s="2269" t="s">
        <v>110</v>
      </c>
      <c r="E39" s="2269" t="s">
        <v>110</v>
      </c>
      <c r="F39" s="2270" t="s">
        <v>109</v>
      </c>
      <c r="G39" s="2269" t="s">
        <v>110</v>
      </c>
      <c r="H39" s="2269" t="s">
        <v>110</v>
      </c>
      <c r="I39" s="2269" t="s">
        <v>110</v>
      </c>
      <c r="J39" s="2269" t="s">
        <v>109</v>
      </c>
      <c r="K39" s="2270" t="s">
        <v>109</v>
      </c>
      <c r="L39" s="2269" t="s">
        <v>109</v>
      </c>
      <c r="M39" s="2269" t="s">
        <v>109</v>
      </c>
      <c r="N39" s="2472" t="s">
        <v>109</v>
      </c>
      <c r="O39" s="2428" t="s">
        <v>110</v>
      </c>
      <c r="P39" s="2428" t="s">
        <v>110</v>
      </c>
      <c r="Q39" s="2428" t="s">
        <v>110</v>
      </c>
      <c r="R39" s="2428" t="s">
        <v>110</v>
      </c>
      <c r="S39" s="2428" t="s">
        <v>110</v>
      </c>
      <c r="T39" s="2270" t="s">
        <v>117</v>
      </c>
      <c r="U39" s="2473" t="s">
        <v>110</v>
      </c>
      <c r="V39" s="2474" t="s">
        <v>109</v>
      </c>
      <c r="W39" s="2473" t="s">
        <v>110</v>
      </c>
      <c r="X39" s="2474" t="s">
        <v>109</v>
      </c>
      <c r="Y39" s="2475" t="s">
        <v>109</v>
      </c>
      <c r="Z39" s="2476" t="s">
        <v>110</v>
      </c>
      <c r="AA39" s="2473" t="s">
        <v>110</v>
      </c>
      <c r="AB39" s="2319" t="s">
        <v>110</v>
      </c>
      <c r="AC39" s="2473" t="s">
        <v>109</v>
      </c>
      <c r="AD39" s="2473" t="s">
        <v>110</v>
      </c>
      <c r="AE39" s="2476" t="s">
        <v>110</v>
      </c>
      <c r="AF39" s="2473" t="s">
        <v>109</v>
      </c>
      <c r="AG39" s="2477" t="s">
        <v>110</v>
      </c>
      <c r="AH39" s="2473" t="s">
        <v>110</v>
      </c>
      <c r="AI39" s="2473" t="s">
        <v>110</v>
      </c>
      <c r="AJ39" s="2473" t="s">
        <v>109</v>
      </c>
      <c r="AK39" s="2473" t="s">
        <v>110</v>
      </c>
      <c r="AL39" s="2477" t="s">
        <v>109</v>
      </c>
    </row>
    <row r="40" ht="11.25" customHeight="1">
      <c r="A40" s="2323"/>
      <c r="B40" s="2324"/>
      <c r="C40" s="2478"/>
      <c r="D40" s="2007" t="str">
        <f t="shared" ref="D40:AL40" si="2">CONCATENATE("{""status"": ", IF(GT(D41, D42), """aangenomen""", """verworpen"""), ", ""title"": """, D5, """, ""url"": """,D23  , """, ""voor"":", D41,", ""tegen"": ", D42, ", ""onthouden"":", D43, "}")</f>
        <v>{"status": "aangenomen", "title": "M0051", "url": "https://www.reddit.com/r/RMTK/comments/bldkk7", "voor":24, "tegen": 1, "onthouden":0}</v>
      </c>
      <c r="E40" s="2007" t="str">
        <f t="shared" si="2"/>
        <v>{"status": "aangenomen", "title": "W0018", "url": "https://www.reddit.com/r/RMTK/comments/bj9hku", "voor":24, "tegen": 0, "onthouden":1}</v>
      </c>
      <c r="F40" s="2007" t="str">
        <f t="shared" si="2"/>
        <v>{"status": "aangenomen", "title": "W0019-I", "url": "https://www.reddit.com/r/RMTK/comments/bluekl", "voor":15, "tegen": 10, "onthouden":0}</v>
      </c>
      <c r="G40" s="2007" t="str">
        <f t="shared" si="2"/>
        <v>{"status": "verworpen", "title": "M0052", "url": "https://www.reddit.com/r/RMTK/comments/bo84o0", "voor":3, "tegen": 19, "onthouden":0}</v>
      </c>
      <c r="H40" s="2007" t="str">
        <f t="shared" si="2"/>
        <v>{"status": "aangenomen", "title": "M0053", "url": "https://www.reddit.com/r/RMTK/comments/bolxzd", "voor":15, "tegen": 5, "onthouden":2}</v>
      </c>
      <c r="I40" s="2007" t="str">
        <f t="shared" si="2"/>
        <v>{"status": "verworpen", "title": "M0054", "url": "https://www.reddit.com/r/RMTK/comments/bp1yrt", "voor":9, "tegen": 13, "onthouden":0}</v>
      </c>
      <c r="J40" s="2007" t="str">
        <f t="shared" si="2"/>
        <v>{"status": "aangenomen", "title": "M0055", "url": "https://www.reddit.com/r/RMTK/comments/bpg279", "voor":13, "tegen": 9, "onthouden":0}</v>
      </c>
      <c r="K40" s="2007" t="str">
        <f t="shared" si="2"/>
        <v>{"status": "aangenomen", "title": "W0019", "url": "https://www.reddit.com/r/RMTK/comments/bjlxhu", "voor":21, "tegen": 1, "onthouden":0}</v>
      </c>
      <c r="L40" s="2007" t="str">
        <f t="shared" si="2"/>
        <v>{"status": "verworpen", "title": "M0056", "url": "https://www.reddit.com/r/RMTK/comments/bqyh4h", "voor":5, "tegen": 14, "onthouden":0}</v>
      </c>
      <c r="M40" s="2007" t="str">
        <f t="shared" si="2"/>
        <v>{"status": "aangenomen", "title": "M0057", "url": "https://www.reddit.com/r/RMTK/comments/bre7w0", "voor":15, "tegen": 3, "onthouden":1}</v>
      </c>
      <c r="N40" s="2008" t="str">
        <f t="shared" si="2"/>
        <v>{"status": "verworpen", "title": "M0058", "url": "https://www.reddit.com/r/RMTK/comments/bsdur4", "voor":5, "tegen": 14, "onthouden":0}</v>
      </c>
      <c r="O40" s="2327" t="str">
        <f t="shared" si="2"/>
        <v>{"status": "verworpen", "title": "M0059", "url": "https://www.reddit.com/r/RMTK/comments/btpiig", "voor":10, "tegen": 13, "onthouden":0}</v>
      </c>
      <c r="P40" s="2327" t="str">
        <f t="shared" si="2"/>
        <v>{"status": "verworpen", "title": "M0060", "url": "https://www.reddit.com/r/RMTK/comments/bu3gzh", "voor":11, "tegen": 12, "onthouden":0}</v>
      </c>
      <c r="Q40" s="2328" t="str">
        <f t="shared" si="2"/>
        <v>{"status": "aangenomen", "title": "M0061", "url": "https://www.reddit.com/r/RMTK/comments/buj9zq", "voor":11, "tegen": 10, "onthouden":2}</v>
      </c>
      <c r="R40" s="2328" t="str">
        <f t="shared" si="2"/>
        <v>{"status": "aangenomen", "title": "M0062", "url": "https://www.reddit.com/r/RMTK/comments/buv49l", "voor":22, "tegen": 1, "onthouden":0}</v>
      </c>
      <c r="S40" s="2328" t="str">
        <f t="shared" si="2"/>
        <v>{"status": "aangenomen", "title": "M0063", "url": "https://www.reddit.com/r/RMTK/comments/buw274", "voor":19, "tegen": 2, "onthouden":2}</v>
      </c>
      <c r="T40" s="2328" t="str">
        <f t="shared" si="2"/>
        <v>{"status": "aangenomen", "title": "W0020", "url": "https://www.reddit.com/r/RMTK/comments/bu3zq8", "voor":19, "tegen": 3, "onthouden":1}</v>
      </c>
      <c r="U40" s="2479" t="str">
        <f t="shared" si="2"/>
        <v>{"status": "verworpen", "title": "M0064", "url": "https://www.reddit.com/r/RMTK/comments/bwsh5f", "voor":10, "tegen": 14, "onthouden":0}</v>
      </c>
      <c r="V40" s="2479" t="str">
        <f t="shared" si="2"/>
        <v>{"status": "verworpen", "title": "M0065", "url": "https://www.reddit.com/r/RMTK/comments/bx5ji9", "voor":7, "tegen": 16, "onthouden":1}</v>
      </c>
      <c r="W40" s="2479" t="str">
        <f t="shared" si="2"/>
        <v>{"status": "aangenomen", "title": "M0066", "url": "https://www.reddit.com/r/RMTK/comments/bxlc67", "voor":22, "tegen": 2, "onthouden":0}</v>
      </c>
      <c r="X40" s="2479" t="str">
        <f t="shared" si="2"/>
        <v>{"status": "aangenomen", "title": "W0021", "url": "https://www.reddit.com/r/RMTK/comments/bwf39d", "voor":14, "tegen": 6, "onthouden":4}</v>
      </c>
      <c r="Y40" s="2479" t="str">
        <f t="shared" si="2"/>
        <v>{"status": "aangenomen", "title": "W0022", "url": "https://www.reddit.com/r/RMTK/comments/bwr7df", "voor":13, "tegen": 10, "onthouden":1}</v>
      </c>
      <c r="Z40" s="2479" t="str">
        <f t="shared" si="2"/>
        <v>{"status": "aangenomen", "title": "M0068", "url": "https://www.reddit.com/r/RMTK/comments/bz0k2u", "voor":13, "tegen": 10, "onthouden":0}</v>
      </c>
      <c r="AA40" s="2479" t="str">
        <f t="shared" si="2"/>
        <v>{"status": "aangenomen", "title": "M0069", "url": "https://www.reddit.com/r/RMTK/comments/bztdwa", "voor":22, "tegen": 1, "onthouden":0}</v>
      </c>
      <c r="AB40" s="2479" t="str">
        <f t="shared" si="2"/>
        <v>{"status": "verworpen", "title": "M0070", "url": "https://www.reddit.com/r/RMTK/comments/bzupg1", "voor":5, "tegen": 18, "onthouden":0}</v>
      </c>
      <c r="AC40" s="2479" t="str">
        <f t="shared" si="2"/>
        <v>{"status": "verworpen", "title": "W0023-I", "url": "https://www.reddit.com/r/RMTK/comments/bzfz9f", "voor":6, "tegen": 17, "onthouden":0}</v>
      </c>
      <c r="AD40" s="2479" t="str">
        <f t="shared" si="2"/>
        <v>{"status": "aangenomen", "title": "W0024", "url": "https://www.reddit.com/r/RMTK/comments/c09536", "voor":23, "tegen": 0, "onthouden":0}</v>
      </c>
      <c r="AE40" s="2479" t="str">
        <f t="shared" si="2"/>
        <v>{"status": "aangenomen", "title": "W0023", "url": "https://reddit.com/r/RMTK/comments/bxktln/w0023_wetswijziging_tot_verandering_erfbelasting/", "voor":13, "tegen": 9, "onthouden":0}</v>
      </c>
      <c r="AF40" s="2479" t="str">
        <f t="shared" si="2"/>
        <v>{"status": "verworpen", "title": "W0026", "url": "https://reddit.com/r/RMTK/comments/c2juo6/w0026_wet_reclame_alcoholhoudende_dranken/", "voor":9, "tegen": 13, "onthouden":0}</v>
      </c>
      <c r="AG40" s="2479" t="str">
        <f t="shared" si="2"/>
        <v>{"status": "aangenomen", "title": "W0025-I", "url": "https://reddit.com/r/RMTK/comments/c2ykuk/w0025i_amendement_op_koepelwet_kerncentrales/", "voor":21, "tegen": 1, "onthouden":0}</v>
      </c>
      <c r="AH40" s="2479" t="str">
        <f t="shared" si="2"/>
        <v>{"status": "aangenomen", "title": "M0072", "url": "https://www.reddit.com/r/RMTK/comments/c5cgq4/m0072_motie_tot_betere_bereikbaarheid_zeeland/", "voor":18, "tegen": 3, "onthouden":0}</v>
      </c>
      <c r="AI40" s="2479" t="str">
        <f t="shared" si="2"/>
        <v>{"status": "aangenomen", "title": "M0073", "url": "https://www.reddit.com/r/RMTK/comments/c5sd9y/m0073_motie_tot_verbetering_internationaal/", "voor":20, "tegen": 1, "onthouden":0}</v>
      </c>
      <c r="AJ40" s="2479" t="str">
        <f t="shared" si="2"/>
        <v>{"status": "aangenomen", "title": "M0074", "url": "https://www.reddit.com/r/RMTK/comments/c67sej/m0074_motie_tot_onderzoek_doen_naar_milieuplafonds/", "voor":17, "tegen": 4, "onthouden":0}</v>
      </c>
      <c r="AK40" s="2479" t="str">
        <f t="shared" si="2"/>
        <v>{"status": "aangenomen", "title": "W0025", "url": "https://www.reddit.com/r/RMTK/comments/c26kl0/w0025_koepelwet_kerncentrales/", "voor":20, "tegen": 1, "onthouden":0}</v>
      </c>
      <c r="AL40" s="2479" t="str">
        <f t="shared" si="2"/>
        <v>{"status": "aangenomen", "title": "W0027", "url": "https://www.reddit.com/r/RMTK/comments/c4pqxl/w0027_wetswijziging_tot_verbieden_discriminatie/", "voor":17, "tegen": 4, "onthouden":0}</v>
      </c>
    </row>
    <row r="41" ht="18.0" customHeight="1">
      <c r="A41" s="2332" t="s">
        <v>158</v>
      </c>
      <c r="B41" s="2333" t="s">
        <v>110</v>
      </c>
      <c r="C41" s="44"/>
      <c r="D41" s="2334">
        <f t="shared" ref="D41:T41" si="3">COUNTIF(D5:D39,"Voor")</f>
        <v>24</v>
      </c>
      <c r="E41" s="2334">
        <f t="shared" si="3"/>
        <v>24</v>
      </c>
      <c r="F41" s="2334">
        <f t="shared" si="3"/>
        <v>15</v>
      </c>
      <c r="G41" s="2334">
        <f t="shared" si="3"/>
        <v>3</v>
      </c>
      <c r="H41" s="2334">
        <f t="shared" si="3"/>
        <v>15</v>
      </c>
      <c r="I41" s="2334">
        <f t="shared" si="3"/>
        <v>9</v>
      </c>
      <c r="J41" s="2334">
        <f t="shared" si="3"/>
        <v>13</v>
      </c>
      <c r="K41" s="2334">
        <f t="shared" si="3"/>
        <v>21</v>
      </c>
      <c r="L41" s="2334">
        <f t="shared" si="3"/>
        <v>5</v>
      </c>
      <c r="M41" s="2334">
        <f t="shared" si="3"/>
        <v>15</v>
      </c>
      <c r="N41" s="2335">
        <f t="shared" si="3"/>
        <v>5</v>
      </c>
      <c r="O41" s="2336">
        <f t="shared" si="3"/>
        <v>10</v>
      </c>
      <c r="P41" s="2336">
        <f t="shared" si="3"/>
        <v>11</v>
      </c>
      <c r="Q41" s="2336">
        <f t="shared" si="3"/>
        <v>11</v>
      </c>
      <c r="R41" s="2336">
        <f t="shared" si="3"/>
        <v>22</v>
      </c>
      <c r="S41" s="2336">
        <f t="shared" si="3"/>
        <v>19</v>
      </c>
      <c r="T41" s="2336">
        <f t="shared" si="3"/>
        <v>19</v>
      </c>
      <c r="U41" s="2335">
        <f t="shared" ref="U41:Y41" si="4">COUNTIF(U7:U39,"Voor")</f>
        <v>10</v>
      </c>
      <c r="V41" s="2335">
        <f t="shared" si="4"/>
        <v>7</v>
      </c>
      <c r="W41" s="2335">
        <f t="shared" si="4"/>
        <v>22</v>
      </c>
      <c r="X41" s="2335">
        <f t="shared" si="4"/>
        <v>14</v>
      </c>
      <c r="Y41" s="2335">
        <f t="shared" si="4"/>
        <v>13</v>
      </c>
      <c r="Z41" s="2335">
        <f t="shared" ref="Z41:AL41" si="5">COUNTIF(Z5:Z39,"Voor")</f>
        <v>13</v>
      </c>
      <c r="AA41" s="2335">
        <f t="shared" si="5"/>
        <v>22</v>
      </c>
      <c r="AB41" s="2335">
        <f t="shared" si="5"/>
        <v>5</v>
      </c>
      <c r="AC41" s="2335">
        <f t="shared" si="5"/>
        <v>6</v>
      </c>
      <c r="AD41" s="2335">
        <f t="shared" si="5"/>
        <v>23</v>
      </c>
      <c r="AE41" s="2335">
        <f t="shared" si="5"/>
        <v>13</v>
      </c>
      <c r="AF41" s="2334">
        <f t="shared" si="5"/>
        <v>9</v>
      </c>
      <c r="AG41" s="2334">
        <f t="shared" si="5"/>
        <v>21</v>
      </c>
      <c r="AH41" s="2334">
        <f t="shared" si="5"/>
        <v>18</v>
      </c>
      <c r="AI41" s="2334">
        <f t="shared" si="5"/>
        <v>20</v>
      </c>
      <c r="AJ41" s="2334">
        <f t="shared" si="5"/>
        <v>17</v>
      </c>
      <c r="AK41" s="2334">
        <f t="shared" si="5"/>
        <v>20</v>
      </c>
      <c r="AL41" s="2334">
        <f t="shared" si="5"/>
        <v>17</v>
      </c>
    </row>
    <row r="42" ht="18.75" customHeight="1">
      <c r="A42" s="44"/>
      <c r="B42" s="2338" t="s">
        <v>109</v>
      </c>
      <c r="C42" s="44"/>
      <c r="D42" s="2339">
        <f t="shared" ref="D42:T42" si="6">COUNTIF(D5:D39,"Tegen")</f>
        <v>1</v>
      </c>
      <c r="E42" s="2339">
        <f t="shared" si="6"/>
        <v>0</v>
      </c>
      <c r="F42" s="2339">
        <f t="shared" si="6"/>
        <v>10</v>
      </c>
      <c r="G42" s="2339">
        <f t="shared" si="6"/>
        <v>19</v>
      </c>
      <c r="H42" s="2339">
        <f t="shared" si="6"/>
        <v>5</v>
      </c>
      <c r="I42" s="2339">
        <f t="shared" si="6"/>
        <v>13</v>
      </c>
      <c r="J42" s="2339">
        <f t="shared" si="6"/>
        <v>9</v>
      </c>
      <c r="K42" s="2339">
        <f t="shared" si="6"/>
        <v>1</v>
      </c>
      <c r="L42" s="2339">
        <f t="shared" si="6"/>
        <v>14</v>
      </c>
      <c r="M42" s="2339">
        <f t="shared" si="6"/>
        <v>3</v>
      </c>
      <c r="N42" s="2340">
        <f t="shared" si="6"/>
        <v>14</v>
      </c>
      <c r="O42" s="2341">
        <f t="shared" si="6"/>
        <v>13</v>
      </c>
      <c r="P42" s="2341">
        <f t="shared" si="6"/>
        <v>12</v>
      </c>
      <c r="Q42" s="2341">
        <f t="shared" si="6"/>
        <v>10</v>
      </c>
      <c r="R42" s="2341">
        <f t="shared" si="6"/>
        <v>1</v>
      </c>
      <c r="S42" s="2341">
        <f t="shared" si="6"/>
        <v>2</v>
      </c>
      <c r="T42" s="2341">
        <f t="shared" si="6"/>
        <v>3</v>
      </c>
      <c r="U42" s="2340">
        <f t="shared" ref="U42:Y42" si="7">COUNTIF(U7:U39,"Tegen")</f>
        <v>14</v>
      </c>
      <c r="V42" s="2340">
        <f t="shared" si="7"/>
        <v>16</v>
      </c>
      <c r="W42" s="2340">
        <f t="shared" si="7"/>
        <v>2</v>
      </c>
      <c r="X42" s="2340">
        <f t="shared" si="7"/>
        <v>6</v>
      </c>
      <c r="Y42" s="2340">
        <f t="shared" si="7"/>
        <v>10</v>
      </c>
      <c r="Z42" s="2340">
        <f t="shared" ref="Z42:AL42" si="8">COUNTIF(Z5:Z39,"Tegen")</f>
        <v>10</v>
      </c>
      <c r="AA42" s="2340">
        <f t="shared" si="8"/>
        <v>1</v>
      </c>
      <c r="AB42" s="2340">
        <f t="shared" si="8"/>
        <v>18</v>
      </c>
      <c r="AC42" s="2340">
        <f t="shared" si="8"/>
        <v>17</v>
      </c>
      <c r="AD42" s="2340">
        <f t="shared" si="8"/>
        <v>0</v>
      </c>
      <c r="AE42" s="2340">
        <f t="shared" si="8"/>
        <v>9</v>
      </c>
      <c r="AF42" s="2339">
        <f t="shared" si="8"/>
        <v>13</v>
      </c>
      <c r="AG42" s="2339">
        <f t="shared" si="8"/>
        <v>1</v>
      </c>
      <c r="AH42" s="2339">
        <f t="shared" si="8"/>
        <v>3</v>
      </c>
      <c r="AI42" s="2339">
        <f t="shared" si="8"/>
        <v>1</v>
      </c>
      <c r="AJ42" s="2339">
        <f t="shared" si="8"/>
        <v>4</v>
      </c>
      <c r="AK42" s="2339">
        <f t="shared" si="8"/>
        <v>1</v>
      </c>
      <c r="AL42" s="2339">
        <f t="shared" si="8"/>
        <v>4</v>
      </c>
    </row>
    <row r="43" ht="18.75" customHeight="1">
      <c r="A43" s="44"/>
      <c r="B43" s="2343" t="s">
        <v>159</v>
      </c>
      <c r="C43" s="44"/>
      <c r="D43" s="2344">
        <f t="shared" ref="D43:T43" si="9">COUNTIF(D5:D39,"SO")</f>
        <v>0</v>
      </c>
      <c r="E43" s="2344">
        <f t="shared" si="9"/>
        <v>1</v>
      </c>
      <c r="F43" s="2344">
        <f t="shared" si="9"/>
        <v>0</v>
      </c>
      <c r="G43" s="2344">
        <f t="shared" si="9"/>
        <v>0</v>
      </c>
      <c r="H43" s="2344">
        <f t="shared" si="9"/>
        <v>2</v>
      </c>
      <c r="I43" s="2344">
        <f t="shared" si="9"/>
        <v>0</v>
      </c>
      <c r="J43" s="2344">
        <f t="shared" si="9"/>
        <v>0</v>
      </c>
      <c r="K43" s="2344">
        <f t="shared" si="9"/>
        <v>0</v>
      </c>
      <c r="L43" s="2344">
        <f t="shared" si="9"/>
        <v>0</v>
      </c>
      <c r="M43" s="2344">
        <f t="shared" si="9"/>
        <v>1</v>
      </c>
      <c r="N43" s="2345">
        <f t="shared" si="9"/>
        <v>0</v>
      </c>
      <c r="O43" s="2346">
        <f t="shared" si="9"/>
        <v>0</v>
      </c>
      <c r="P43" s="2346">
        <f t="shared" si="9"/>
        <v>0</v>
      </c>
      <c r="Q43" s="2346">
        <f t="shared" si="9"/>
        <v>2</v>
      </c>
      <c r="R43" s="2346">
        <f t="shared" si="9"/>
        <v>0</v>
      </c>
      <c r="S43" s="2346">
        <f t="shared" si="9"/>
        <v>2</v>
      </c>
      <c r="T43" s="2346">
        <f t="shared" si="9"/>
        <v>1</v>
      </c>
      <c r="U43" s="2345">
        <f t="shared" ref="U43:Y43" si="10">COUNTIF(U7:U39,"SO")</f>
        <v>0</v>
      </c>
      <c r="V43" s="2345">
        <f t="shared" si="10"/>
        <v>1</v>
      </c>
      <c r="W43" s="2345">
        <f t="shared" si="10"/>
        <v>0</v>
      </c>
      <c r="X43" s="2345">
        <f t="shared" si="10"/>
        <v>4</v>
      </c>
      <c r="Y43" s="2345">
        <f t="shared" si="10"/>
        <v>1</v>
      </c>
      <c r="Z43" s="2345">
        <f t="shared" ref="Z43:AL43" si="11">COUNTIF(Z5:Z39,"SO")</f>
        <v>0</v>
      </c>
      <c r="AA43" s="2345">
        <f t="shared" si="11"/>
        <v>0</v>
      </c>
      <c r="AB43" s="2345">
        <f t="shared" si="11"/>
        <v>0</v>
      </c>
      <c r="AC43" s="2345">
        <f t="shared" si="11"/>
        <v>0</v>
      </c>
      <c r="AD43" s="2345">
        <f t="shared" si="11"/>
        <v>0</v>
      </c>
      <c r="AE43" s="2345">
        <f t="shared" si="11"/>
        <v>0</v>
      </c>
      <c r="AF43" s="2344">
        <f t="shared" si="11"/>
        <v>0</v>
      </c>
      <c r="AG43" s="2344">
        <f t="shared" si="11"/>
        <v>0</v>
      </c>
      <c r="AH43" s="2344">
        <f t="shared" si="11"/>
        <v>0</v>
      </c>
      <c r="AI43" s="2344">
        <f t="shared" si="11"/>
        <v>0</v>
      </c>
      <c r="AJ43" s="2344">
        <f t="shared" si="11"/>
        <v>0</v>
      </c>
      <c r="AK43" s="2344">
        <f t="shared" si="11"/>
        <v>0</v>
      </c>
      <c r="AL43" s="2344">
        <f t="shared" si="11"/>
        <v>0</v>
      </c>
    </row>
    <row r="44" ht="18.75" customHeight="1">
      <c r="A44" s="44"/>
      <c r="B44" s="2348" t="s">
        <v>160</v>
      </c>
      <c r="C44" s="44"/>
      <c r="D44" s="2349">
        <f t="shared" ref="D44:T44" si="12">COUNTIF(D5:D39,"NG")</f>
        <v>0</v>
      </c>
      <c r="E44" s="2349">
        <f t="shared" si="12"/>
        <v>0</v>
      </c>
      <c r="F44" s="2349">
        <f t="shared" si="12"/>
        <v>0</v>
      </c>
      <c r="G44" s="2349">
        <f t="shared" si="12"/>
        <v>3</v>
      </c>
      <c r="H44" s="2349">
        <f t="shared" si="12"/>
        <v>3</v>
      </c>
      <c r="I44" s="2349">
        <f t="shared" si="12"/>
        <v>3</v>
      </c>
      <c r="J44" s="2349">
        <f t="shared" si="12"/>
        <v>3</v>
      </c>
      <c r="K44" s="2349">
        <f t="shared" si="12"/>
        <v>3</v>
      </c>
      <c r="L44" s="2349">
        <f t="shared" si="12"/>
        <v>6</v>
      </c>
      <c r="M44" s="2349">
        <f t="shared" si="12"/>
        <v>6</v>
      </c>
      <c r="N44" s="2350">
        <f t="shared" si="12"/>
        <v>6</v>
      </c>
      <c r="O44" s="2351">
        <f t="shared" si="12"/>
        <v>2</v>
      </c>
      <c r="P44" s="2351">
        <f t="shared" si="12"/>
        <v>2</v>
      </c>
      <c r="Q44" s="2351">
        <f t="shared" si="12"/>
        <v>2</v>
      </c>
      <c r="R44" s="2351">
        <f t="shared" si="12"/>
        <v>2</v>
      </c>
      <c r="S44" s="2351">
        <f t="shared" si="12"/>
        <v>2</v>
      </c>
      <c r="T44" s="2351">
        <f t="shared" si="12"/>
        <v>2</v>
      </c>
      <c r="U44" s="2350">
        <f t="shared" ref="U44:Y44" si="13">COUNTIF(U7:U39,"NG")</f>
        <v>1</v>
      </c>
      <c r="V44" s="2350">
        <f t="shared" si="13"/>
        <v>1</v>
      </c>
      <c r="W44" s="2350">
        <f t="shared" si="13"/>
        <v>1</v>
      </c>
      <c r="X44" s="2350">
        <f t="shared" si="13"/>
        <v>1</v>
      </c>
      <c r="Y44" s="2350">
        <f t="shared" si="13"/>
        <v>1</v>
      </c>
      <c r="Z44" s="2350">
        <f t="shared" ref="Z44:AL44" si="14">COUNTIF(Z5:Z39,"NG")</f>
        <v>2</v>
      </c>
      <c r="AA44" s="2350">
        <f t="shared" si="14"/>
        <v>2</v>
      </c>
      <c r="AB44" s="2350">
        <f t="shared" si="14"/>
        <v>2</v>
      </c>
      <c r="AC44" s="2350">
        <f t="shared" si="14"/>
        <v>2</v>
      </c>
      <c r="AD44" s="2350">
        <f t="shared" si="14"/>
        <v>2</v>
      </c>
      <c r="AE44" s="2350">
        <f t="shared" si="14"/>
        <v>3</v>
      </c>
      <c r="AF44" s="2349">
        <f t="shared" si="14"/>
        <v>3</v>
      </c>
      <c r="AG44" s="2349">
        <f t="shared" si="14"/>
        <v>3</v>
      </c>
      <c r="AH44" s="2349">
        <f t="shared" si="14"/>
        <v>4</v>
      </c>
      <c r="AI44" s="2349">
        <f t="shared" si="14"/>
        <v>4</v>
      </c>
      <c r="AJ44" s="2349">
        <f t="shared" si="14"/>
        <v>4</v>
      </c>
      <c r="AK44" s="2349">
        <f t="shared" si="14"/>
        <v>4</v>
      </c>
      <c r="AL44" s="2349">
        <f t="shared" si="14"/>
        <v>4</v>
      </c>
    </row>
    <row r="45" ht="18.75" customHeight="1">
      <c r="A45" s="44"/>
      <c r="B45" s="2353" t="s">
        <v>161</v>
      </c>
      <c r="C45" s="44"/>
      <c r="D45" s="2354">
        <f t="shared" ref="D45:AL45" si="15">SUM(D41:D44)</f>
        <v>25</v>
      </c>
      <c r="E45" s="2354">
        <f t="shared" si="15"/>
        <v>25</v>
      </c>
      <c r="F45" s="2354">
        <f t="shared" si="15"/>
        <v>25</v>
      </c>
      <c r="G45" s="2354">
        <f t="shared" si="15"/>
        <v>25</v>
      </c>
      <c r="H45" s="2354">
        <f t="shared" si="15"/>
        <v>25</v>
      </c>
      <c r="I45" s="2354">
        <f t="shared" si="15"/>
        <v>25</v>
      </c>
      <c r="J45" s="2354">
        <f t="shared" si="15"/>
        <v>25</v>
      </c>
      <c r="K45" s="2354">
        <f t="shared" si="15"/>
        <v>25</v>
      </c>
      <c r="L45" s="2354">
        <f t="shared" si="15"/>
        <v>25</v>
      </c>
      <c r="M45" s="2354">
        <f t="shared" si="15"/>
        <v>25</v>
      </c>
      <c r="N45" s="2355">
        <f t="shared" si="15"/>
        <v>25</v>
      </c>
      <c r="O45" s="2356">
        <f t="shared" si="15"/>
        <v>25</v>
      </c>
      <c r="P45" s="2356">
        <f t="shared" si="15"/>
        <v>25</v>
      </c>
      <c r="Q45" s="2356">
        <f t="shared" si="15"/>
        <v>25</v>
      </c>
      <c r="R45" s="2356">
        <f t="shared" si="15"/>
        <v>25</v>
      </c>
      <c r="S45" s="2356">
        <f t="shared" si="15"/>
        <v>25</v>
      </c>
      <c r="T45" s="2356">
        <f t="shared" si="15"/>
        <v>25</v>
      </c>
      <c r="U45" s="2355">
        <f t="shared" si="15"/>
        <v>25</v>
      </c>
      <c r="V45" s="2355">
        <f t="shared" si="15"/>
        <v>25</v>
      </c>
      <c r="W45" s="2355">
        <f t="shared" si="15"/>
        <v>25</v>
      </c>
      <c r="X45" s="2355">
        <f t="shared" si="15"/>
        <v>25</v>
      </c>
      <c r="Y45" s="2355">
        <f t="shared" si="15"/>
        <v>25</v>
      </c>
      <c r="Z45" s="2355">
        <f t="shared" si="15"/>
        <v>25</v>
      </c>
      <c r="AA45" s="2355">
        <f t="shared" si="15"/>
        <v>25</v>
      </c>
      <c r="AB45" s="2355">
        <f t="shared" si="15"/>
        <v>25</v>
      </c>
      <c r="AC45" s="2355">
        <f t="shared" si="15"/>
        <v>25</v>
      </c>
      <c r="AD45" s="2355">
        <f t="shared" si="15"/>
        <v>25</v>
      </c>
      <c r="AE45" s="2355">
        <f t="shared" si="15"/>
        <v>25</v>
      </c>
      <c r="AF45" s="2354">
        <f t="shared" si="15"/>
        <v>25</v>
      </c>
      <c r="AG45" s="2354">
        <f t="shared" si="15"/>
        <v>25</v>
      </c>
      <c r="AH45" s="2354">
        <f t="shared" si="15"/>
        <v>25</v>
      </c>
      <c r="AI45" s="2354">
        <f t="shared" si="15"/>
        <v>25</v>
      </c>
      <c r="AJ45" s="2354">
        <f t="shared" si="15"/>
        <v>25</v>
      </c>
      <c r="AK45" s="2354">
        <f t="shared" si="15"/>
        <v>25</v>
      </c>
      <c r="AL45" s="2354">
        <f t="shared" si="15"/>
        <v>25</v>
      </c>
    </row>
    <row r="46" ht="18.75" customHeight="1">
      <c r="A46" s="44"/>
      <c r="B46" s="2358" t="s">
        <v>162</v>
      </c>
      <c r="C46" s="44"/>
      <c r="D46" s="2359">
        <f t="shared" ref="D46:AL46" si="16">D41+D42+D43</f>
        <v>25</v>
      </c>
      <c r="E46" s="2359">
        <f t="shared" si="16"/>
        <v>25</v>
      </c>
      <c r="F46" s="2359">
        <f t="shared" si="16"/>
        <v>25</v>
      </c>
      <c r="G46" s="2359">
        <f t="shared" si="16"/>
        <v>22</v>
      </c>
      <c r="H46" s="2359">
        <f t="shared" si="16"/>
        <v>22</v>
      </c>
      <c r="I46" s="2359">
        <f t="shared" si="16"/>
        <v>22</v>
      </c>
      <c r="J46" s="2359">
        <f t="shared" si="16"/>
        <v>22</v>
      </c>
      <c r="K46" s="2359">
        <f t="shared" si="16"/>
        <v>22</v>
      </c>
      <c r="L46" s="2359">
        <f t="shared" si="16"/>
        <v>19</v>
      </c>
      <c r="M46" s="2359">
        <f t="shared" si="16"/>
        <v>19</v>
      </c>
      <c r="N46" s="2360">
        <f t="shared" si="16"/>
        <v>19</v>
      </c>
      <c r="O46" s="2361">
        <f t="shared" si="16"/>
        <v>23</v>
      </c>
      <c r="P46" s="2361">
        <f t="shared" si="16"/>
        <v>23</v>
      </c>
      <c r="Q46" s="2361">
        <f t="shared" si="16"/>
        <v>23</v>
      </c>
      <c r="R46" s="2361">
        <f t="shared" si="16"/>
        <v>23</v>
      </c>
      <c r="S46" s="2361">
        <f t="shared" si="16"/>
        <v>23</v>
      </c>
      <c r="T46" s="2361">
        <f t="shared" si="16"/>
        <v>23</v>
      </c>
      <c r="U46" s="2360">
        <f t="shared" si="16"/>
        <v>24</v>
      </c>
      <c r="V46" s="2360">
        <f t="shared" si="16"/>
        <v>24</v>
      </c>
      <c r="W46" s="2360">
        <f t="shared" si="16"/>
        <v>24</v>
      </c>
      <c r="X46" s="2360">
        <f t="shared" si="16"/>
        <v>24</v>
      </c>
      <c r="Y46" s="2360">
        <f t="shared" si="16"/>
        <v>24</v>
      </c>
      <c r="Z46" s="2360">
        <f t="shared" si="16"/>
        <v>23</v>
      </c>
      <c r="AA46" s="2360">
        <f t="shared" si="16"/>
        <v>23</v>
      </c>
      <c r="AB46" s="2360">
        <f t="shared" si="16"/>
        <v>23</v>
      </c>
      <c r="AC46" s="2360">
        <f t="shared" si="16"/>
        <v>23</v>
      </c>
      <c r="AD46" s="2360">
        <f t="shared" si="16"/>
        <v>23</v>
      </c>
      <c r="AE46" s="2360">
        <f t="shared" si="16"/>
        <v>22</v>
      </c>
      <c r="AF46" s="2359">
        <f t="shared" si="16"/>
        <v>22</v>
      </c>
      <c r="AG46" s="2359">
        <f t="shared" si="16"/>
        <v>22</v>
      </c>
      <c r="AH46" s="2359">
        <f t="shared" si="16"/>
        <v>21</v>
      </c>
      <c r="AI46" s="2359">
        <f t="shared" si="16"/>
        <v>21</v>
      </c>
      <c r="AJ46" s="2359">
        <f t="shared" si="16"/>
        <v>21</v>
      </c>
      <c r="AK46" s="2359">
        <f t="shared" si="16"/>
        <v>21</v>
      </c>
      <c r="AL46" s="2359">
        <f t="shared" si="16"/>
        <v>21</v>
      </c>
    </row>
    <row r="47" ht="18.75" customHeight="1">
      <c r="A47" s="230"/>
      <c r="B47" s="2363" t="s">
        <v>163</v>
      </c>
      <c r="C47" s="230"/>
      <c r="D47" s="2364">
        <f t="shared" ref="D47:AL47" si="17">IFERROR(D46/D45,"")</f>
        <v>1</v>
      </c>
      <c r="E47" s="2364">
        <f t="shared" si="17"/>
        <v>1</v>
      </c>
      <c r="F47" s="2364">
        <f t="shared" si="17"/>
        <v>1</v>
      </c>
      <c r="G47" s="2364">
        <f t="shared" si="17"/>
        <v>0.88</v>
      </c>
      <c r="H47" s="2364">
        <f t="shared" si="17"/>
        <v>0.88</v>
      </c>
      <c r="I47" s="2364">
        <f t="shared" si="17"/>
        <v>0.88</v>
      </c>
      <c r="J47" s="2364">
        <f t="shared" si="17"/>
        <v>0.88</v>
      </c>
      <c r="K47" s="2364">
        <f t="shared" si="17"/>
        <v>0.88</v>
      </c>
      <c r="L47" s="2364">
        <f t="shared" si="17"/>
        <v>0.76</v>
      </c>
      <c r="M47" s="2364">
        <f t="shared" si="17"/>
        <v>0.76</v>
      </c>
      <c r="N47" s="2365">
        <f t="shared" si="17"/>
        <v>0.76</v>
      </c>
      <c r="O47" s="2366">
        <f t="shared" si="17"/>
        <v>0.92</v>
      </c>
      <c r="P47" s="2366">
        <f t="shared" si="17"/>
        <v>0.92</v>
      </c>
      <c r="Q47" s="2366">
        <f t="shared" si="17"/>
        <v>0.92</v>
      </c>
      <c r="R47" s="2366">
        <f t="shared" si="17"/>
        <v>0.92</v>
      </c>
      <c r="S47" s="2366">
        <f t="shared" si="17"/>
        <v>0.92</v>
      </c>
      <c r="T47" s="2366">
        <f t="shared" si="17"/>
        <v>0.92</v>
      </c>
      <c r="U47" s="2365">
        <f t="shared" si="17"/>
        <v>0.96</v>
      </c>
      <c r="V47" s="2365">
        <f t="shared" si="17"/>
        <v>0.96</v>
      </c>
      <c r="W47" s="2365">
        <f t="shared" si="17"/>
        <v>0.96</v>
      </c>
      <c r="X47" s="2365">
        <f t="shared" si="17"/>
        <v>0.96</v>
      </c>
      <c r="Y47" s="2365">
        <f t="shared" si="17"/>
        <v>0.96</v>
      </c>
      <c r="Z47" s="2365">
        <f t="shared" si="17"/>
        <v>0.92</v>
      </c>
      <c r="AA47" s="2365">
        <f t="shared" si="17"/>
        <v>0.92</v>
      </c>
      <c r="AB47" s="2365">
        <f t="shared" si="17"/>
        <v>0.92</v>
      </c>
      <c r="AC47" s="2365">
        <f t="shared" si="17"/>
        <v>0.92</v>
      </c>
      <c r="AD47" s="2365">
        <f t="shared" si="17"/>
        <v>0.92</v>
      </c>
      <c r="AE47" s="2365">
        <f t="shared" si="17"/>
        <v>0.88</v>
      </c>
      <c r="AF47" s="2364">
        <f t="shared" si="17"/>
        <v>0.88</v>
      </c>
      <c r="AG47" s="2364">
        <f t="shared" si="17"/>
        <v>0.88</v>
      </c>
      <c r="AH47" s="2364">
        <f t="shared" si="17"/>
        <v>0.84</v>
      </c>
      <c r="AI47" s="2364">
        <f t="shared" si="17"/>
        <v>0.84</v>
      </c>
      <c r="AJ47" s="2364">
        <f t="shared" si="17"/>
        <v>0.84</v>
      </c>
      <c r="AK47" s="2364">
        <f t="shared" si="17"/>
        <v>0.84</v>
      </c>
      <c r="AL47" s="2364">
        <f t="shared" si="17"/>
        <v>0.84</v>
      </c>
    </row>
  </sheetData>
  <mergeCells count="17">
    <mergeCell ref="A2:C2"/>
    <mergeCell ref="D2:AL4"/>
    <mergeCell ref="A3:C4"/>
    <mergeCell ref="A7:A22"/>
    <mergeCell ref="B7:B14"/>
    <mergeCell ref="B15:B22"/>
    <mergeCell ref="A24:A39"/>
    <mergeCell ref="B45:C45"/>
    <mergeCell ref="B46:C46"/>
    <mergeCell ref="B24:B33"/>
    <mergeCell ref="B34:B36"/>
    <mergeCell ref="A41:A47"/>
    <mergeCell ref="B41:C41"/>
    <mergeCell ref="B42:C42"/>
    <mergeCell ref="B43:C43"/>
    <mergeCell ref="B44:C44"/>
    <mergeCell ref="B47:C47"/>
  </mergeCells>
  <conditionalFormatting sqref="O7:O18 P7:P10 Q7:Q17 U7:Y18 Z7:AD7 R8 L9:N9 S9 Z9:AD10 N11:N12 S11:S13 L12:M12 P12:P19 L14:N14 Z14:AD17 D16 F16:K16 L16:N20 R16:T16 AE16:AL16 C19:C20 S19 U20:U22 O21:Q22 V21:AD22 L22:N22 AF25:AL26 AH29:AL29 X31 AH31:AL38 D34:U34 V34:W37 X34:Y34 Z34:AD36 AE34:AG34 U36 X36:X37 Y36 AE36:AG36 U38">
    <cfRule type="containsText" dxfId="5" priority="1" operator="containsText" text="NG">
      <formula>NOT(ISERROR(SEARCH(("NG"),(O7))))</formula>
    </cfRule>
  </conditionalFormatting>
  <conditionalFormatting sqref="D7:AL39 B15:C22">
    <cfRule type="containsText" dxfId="2" priority="2" operator="containsText" text="SO">
      <formula>NOT(ISERROR(SEARCH(("SO"),(D7))))</formula>
    </cfRule>
  </conditionalFormatting>
  <conditionalFormatting sqref="A3 D7:AL39 B15:C22">
    <cfRule type="containsText" dxfId="3" priority="3" operator="containsText" text="tegen">
      <formula>NOT(ISERROR(SEARCH(("tegen"),(A3))))</formula>
    </cfRule>
  </conditionalFormatting>
  <conditionalFormatting sqref="D7:AL39 B15:C22">
    <cfRule type="containsText" dxfId="4" priority="4" operator="containsText" text="voor">
      <formula>NOT(ISERROR(SEARCH(("voor"),(D7))))</formula>
    </cfRule>
  </conditionalFormatting>
  <conditionalFormatting sqref="D7:AL39 B15:C22">
    <cfRule type="cellIs" dxfId="5" priority="5" operator="equal">
      <formula>"NG"</formula>
    </cfRule>
  </conditionalFormatting>
  <conditionalFormatting sqref="D7:AL39 B15:C22">
    <cfRule type="containsText" dxfId="6" priority="6" operator="containsText" text="NVT">
      <formula>NOT(ISERROR(SEARCH(("NVT"),(D7))))</formula>
    </cfRule>
  </conditionalFormatting>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B0F00"/>
    <outlinePr summaryBelow="0" summaryRight="0"/>
  </sheetPr>
  <sheetViews>
    <sheetView workbookViewId="0">
      <pane xSplit="3.0" topLeftCell="D1" activePane="topRight" state="frozen"/>
      <selection activeCell="E2" sqref="E2" pane="topRight"/>
    </sheetView>
  </sheetViews>
  <sheetFormatPr customHeight="1" defaultColWidth="14.43" defaultRowHeight="15.75"/>
  <cols>
    <col customWidth="1" min="1" max="1" width="10.86"/>
    <col customWidth="1" min="2" max="2" width="11.0"/>
    <col customWidth="1" min="3" max="3" width="21.86"/>
  </cols>
  <sheetData>
    <row r="1" ht="18.75" customHeight="1">
      <c r="A1" s="2368" t="s">
        <v>1658</v>
      </c>
      <c r="B1" s="1601"/>
      <c r="C1" s="1601"/>
      <c r="D1" s="1601"/>
      <c r="E1" s="1601"/>
      <c r="F1" s="1601"/>
      <c r="G1" s="1601"/>
      <c r="H1" s="1601"/>
      <c r="I1" s="1601"/>
      <c r="J1" s="1601"/>
      <c r="K1" s="1601"/>
      <c r="L1" s="1601"/>
      <c r="M1" s="1601"/>
      <c r="N1" s="1601"/>
      <c r="O1" s="1601"/>
      <c r="P1" s="1601"/>
      <c r="Q1" s="1601"/>
      <c r="R1" s="1601"/>
      <c r="S1" s="1601"/>
      <c r="T1" s="1601"/>
      <c r="U1" s="1601"/>
      <c r="V1" s="1601"/>
      <c r="W1" s="1601"/>
      <c r="X1" s="1601"/>
    </row>
    <row r="2" ht="18.75" customHeight="1">
      <c r="A2" s="2369"/>
      <c r="B2" s="2109"/>
      <c r="C2" s="2110"/>
      <c r="D2" s="2370" t="s">
        <v>1659</v>
      </c>
      <c r="E2" s="16"/>
      <c r="F2" s="16"/>
      <c r="G2" s="16"/>
      <c r="H2" s="16"/>
      <c r="I2" s="16"/>
      <c r="J2" s="17"/>
      <c r="K2" s="1601"/>
      <c r="L2" s="1601"/>
      <c r="M2" s="1601"/>
      <c r="N2" s="1601"/>
      <c r="O2" s="1601"/>
      <c r="P2" s="1601"/>
      <c r="Q2" s="1601"/>
      <c r="R2" s="1601"/>
      <c r="S2" s="1601"/>
      <c r="T2" s="1601"/>
      <c r="U2" s="1601"/>
      <c r="V2" s="1601"/>
      <c r="W2" s="1601"/>
      <c r="X2" s="1601"/>
    </row>
    <row r="3" ht="18.75" customHeight="1">
      <c r="A3" s="1601"/>
      <c r="B3" s="1601"/>
      <c r="C3" s="1601"/>
      <c r="D3" s="1599"/>
      <c r="E3" s="1599"/>
      <c r="F3" s="1599"/>
      <c r="G3" s="1601"/>
      <c r="H3" s="1601"/>
      <c r="I3" s="1601"/>
      <c r="J3" s="1601"/>
      <c r="K3" s="1601"/>
      <c r="L3" s="1601"/>
      <c r="M3" s="1601"/>
      <c r="N3" s="1601"/>
      <c r="O3" s="1601"/>
      <c r="P3" s="1601"/>
      <c r="Q3" s="1601"/>
      <c r="R3" s="1601"/>
      <c r="S3" s="1601"/>
      <c r="T3" s="1601"/>
      <c r="U3" s="1601"/>
      <c r="V3" s="1601"/>
      <c r="W3" s="1601"/>
      <c r="X3" s="1601"/>
    </row>
    <row r="4" ht="18.75" customHeight="1">
      <c r="A4" s="2369" t="s">
        <v>1013</v>
      </c>
      <c r="B4" s="2109"/>
      <c r="C4" s="2110"/>
      <c r="D4" s="2371" t="s">
        <v>165</v>
      </c>
      <c r="E4" s="112"/>
      <c r="F4" s="112"/>
      <c r="G4" s="112"/>
      <c r="H4" s="112"/>
      <c r="I4" s="2114"/>
      <c r="J4" s="1601"/>
      <c r="K4" s="1601"/>
      <c r="L4" s="1601"/>
      <c r="M4" s="1601"/>
      <c r="N4" s="1601"/>
      <c r="O4" s="1601"/>
      <c r="P4" s="1601"/>
      <c r="Q4" s="1601"/>
      <c r="R4" s="1601"/>
      <c r="S4" s="1601"/>
      <c r="T4" s="1601"/>
      <c r="U4" s="1601"/>
      <c r="V4" s="1601"/>
      <c r="W4" s="1601"/>
      <c r="X4" s="1601"/>
    </row>
    <row r="5" ht="18.75" customHeight="1">
      <c r="A5" s="2421" t="s">
        <v>1787</v>
      </c>
      <c r="C5" s="115"/>
      <c r="D5" s="43"/>
      <c r="I5" s="1129"/>
      <c r="J5" s="1601"/>
      <c r="K5" s="1601"/>
      <c r="L5" s="1601"/>
      <c r="M5" s="1601"/>
      <c r="N5" s="1601"/>
      <c r="O5" s="1601"/>
      <c r="P5" s="1601"/>
      <c r="Q5" s="1601"/>
      <c r="R5" s="1601"/>
      <c r="S5" s="1601"/>
      <c r="T5" s="1601"/>
      <c r="U5" s="1601"/>
      <c r="V5" s="1601"/>
      <c r="W5" s="1601"/>
      <c r="X5" s="1601"/>
    </row>
    <row r="6" ht="18.75" customHeight="1">
      <c r="C6" s="115"/>
      <c r="D6" s="2115"/>
      <c r="E6" s="1621"/>
      <c r="F6" s="1621"/>
      <c r="G6" s="1621"/>
      <c r="H6" s="1621"/>
      <c r="I6" s="1639"/>
      <c r="J6" s="1601"/>
      <c r="K6" s="1601"/>
      <c r="L6" s="1601"/>
      <c r="M6" s="1601"/>
      <c r="N6" s="1601"/>
      <c r="O6" s="1601"/>
      <c r="P6" s="1601"/>
      <c r="Q6" s="1601"/>
      <c r="R6" s="1601"/>
      <c r="S6" s="1601"/>
      <c r="T6" s="1601"/>
      <c r="U6" s="1601"/>
      <c r="V6" s="1601"/>
      <c r="W6" s="1601"/>
      <c r="X6" s="1601"/>
    </row>
    <row r="7" ht="18.75" customHeight="1">
      <c r="A7" s="2372" t="s">
        <v>82</v>
      </c>
      <c r="B7" s="2373" t="s">
        <v>83</v>
      </c>
      <c r="C7" s="2374" t="s">
        <v>84</v>
      </c>
      <c r="D7" s="2258" t="str">
        <f>HYPERLINK("https://www.reddit.com/r/RMTK/comments/bqgy91/stemming_eerste_kamer_over_w0018/","W0018")</f>
        <v>W0018</v>
      </c>
      <c r="E7" s="2258" t="str">
        <f>HYPERLINK("https://www.reddit.com/r/RMTK/comments/btqvxh/stemming_eerste_kamer_over_w0019/","W0019")</f>
        <v>W0019</v>
      </c>
      <c r="F7" s="2258" t="str">
        <f>HYPERLINK("https://www.reddit.com/r/RMTK/comments/bz11dm/stemming_eerste_kamer_over_w0020/","W0020")</f>
        <v>W0020</v>
      </c>
      <c r="G7" s="2258" t="str">
        <f>HYPERLINK("https://www.reddit.com/r/RMTK/comments/c1tsv5/stemming_eerste_kamer_over_w0021/","W0021")</f>
        <v>W0021</v>
      </c>
      <c r="H7" s="2258" t="str">
        <f>HYPERLINK("https://www.reddit.com/r/RMTK/comments/c4a8tc/stemming_eerste_kamer_over_w0024/","W0024")</f>
        <v>W0024</v>
      </c>
      <c r="I7" s="2258" t="str">
        <f>HYPERLINK("https://www.reddit.com/r/RMTK/comments/c7c07p/stemming_eerste_kamer_over_w0023/","W0023")</f>
        <v>W0023</v>
      </c>
      <c r="J7" s="1601"/>
      <c r="K7" s="1601"/>
      <c r="L7" s="1601"/>
      <c r="M7" s="1601"/>
      <c r="N7" s="1601"/>
      <c r="O7" s="1601"/>
      <c r="P7" s="1601"/>
      <c r="Q7" s="1601"/>
      <c r="R7" s="1601"/>
      <c r="S7" s="1601"/>
      <c r="T7" s="1601"/>
      <c r="U7" s="1601"/>
      <c r="V7" s="1601"/>
      <c r="W7" s="1601"/>
      <c r="X7" s="1601"/>
    </row>
    <row r="8" ht="6.0" customHeight="1">
      <c r="A8" s="2376"/>
      <c r="B8" s="2377"/>
      <c r="C8" s="2377"/>
      <c r="D8" s="2260"/>
      <c r="E8" s="2260"/>
      <c r="F8" s="2260"/>
      <c r="G8" s="2263"/>
      <c r="H8" s="2260"/>
      <c r="I8" s="2263"/>
      <c r="J8" s="1601"/>
      <c r="K8" s="1601"/>
      <c r="L8" s="1601"/>
      <c r="M8" s="1601"/>
      <c r="N8" s="1601"/>
      <c r="O8" s="1601"/>
      <c r="P8" s="1601"/>
      <c r="Q8" s="1601"/>
      <c r="R8" s="1601"/>
      <c r="S8" s="1601"/>
      <c r="T8" s="1601"/>
      <c r="U8" s="1601"/>
      <c r="V8" s="1601"/>
      <c r="W8" s="1601"/>
      <c r="X8" s="1601"/>
    </row>
    <row r="9" ht="18.75" customHeight="1">
      <c r="A9" s="2480" t="s">
        <v>173</v>
      </c>
      <c r="B9" s="2384" t="s">
        <v>440</v>
      </c>
      <c r="C9" s="2481" t="s">
        <v>1305</v>
      </c>
      <c r="D9" s="2381" t="s">
        <v>110</v>
      </c>
      <c r="E9" s="2381" t="s">
        <v>110</v>
      </c>
      <c r="F9" s="2381" t="s">
        <v>110</v>
      </c>
      <c r="G9" s="2381" t="s">
        <v>110</v>
      </c>
      <c r="H9" s="2381" t="s">
        <v>110</v>
      </c>
      <c r="I9" s="2381" t="s">
        <v>110</v>
      </c>
      <c r="J9" s="1601"/>
      <c r="K9" s="1601"/>
      <c r="L9" s="1601"/>
      <c r="M9" s="1601"/>
      <c r="N9" s="1601"/>
      <c r="O9" s="1601"/>
      <c r="P9" s="1601"/>
      <c r="Q9" s="1601"/>
      <c r="R9" s="1601"/>
      <c r="S9" s="1601"/>
      <c r="T9" s="1601"/>
      <c r="U9" s="1601"/>
      <c r="V9" s="1601"/>
      <c r="W9" s="1601"/>
      <c r="X9" s="1601"/>
    </row>
    <row r="10" ht="18.75" customHeight="1">
      <c r="A10" s="658"/>
      <c r="B10" s="2482" t="s">
        <v>446</v>
      </c>
      <c r="C10" s="2483" t="s">
        <v>521</v>
      </c>
      <c r="D10" s="2381" t="s">
        <v>110</v>
      </c>
      <c r="E10" s="2381" t="s">
        <v>110</v>
      </c>
      <c r="F10" s="2381" t="s">
        <v>110</v>
      </c>
      <c r="G10" s="2381" t="s">
        <v>108</v>
      </c>
      <c r="H10" s="2381" t="s">
        <v>110</v>
      </c>
      <c r="I10" s="2381" t="s">
        <v>110</v>
      </c>
      <c r="J10" s="1601"/>
      <c r="K10" s="1601"/>
      <c r="L10" s="1601"/>
      <c r="M10" s="1601"/>
      <c r="N10" s="1601"/>
      <c r="O10" s="1601"/>
      <c r="P10" s="1601"/>
      <c r="Q10" s="1601"/>
      <c r="R10" s="1601"/>
      <c r="S10" s="1601"/>
      <c r="T10" s="1601"/>
      <c r="U10" s="1601"/>
      <c r="V10" s="1601"/>
      <c r="W10" s="1601"/>
      <c r="X10" s="1601"/>
    </row>
    <row r="11" ht="7.5" customHeight="1">
      <c r="A11" s="2484"/>
      <c r="B11" s="2485"/>
      <c r="C11" s="2486"/>
      <c r="D11" s="2392" t="str">
        <f t="shared" ref="D11:I11" si="1">LINKURL(D7)</f>
        <v>https://www.reddit.com/r/RMTK/comments/bqgy91/stemming_eerste_kamer_over_w0018/</v>
      </c>
      <c r="E11" s="2392" t="str">
        <f t="shared" si="1"/>
        <v>https://www.reddit.com/r/RMTK/comments/btqvxh/stemming_eerste_kamer_over_w0019/</v>
      </c>
      <c r="F11" s="2392" t="str">
        <f t="shared" si="1"/>
        <v>https://www.reddit.com/r/RMTK/comments/bz11dm/stemming_eerste_kamer_over_w0020/</v>
      </c>
      <c r="G11" s="2392" t="str">
        <f t="shared" si="1"/>
        <v>https://www.reddit.com/r/RMTK/comments/c1tsv5/stemming_eerste_kamer_over_w0021/</v>
      </c>
      <c r="H11" s="2392" t="str">
        <f t="shared" si="1"/>
        <v>https://www.reddit.com/r/RMTK/comments/c4a8tc/stemming_eerste_kamer_over_w0024/</v>
      </c>
      <c r="I11" s="2394" t="str">
        <f t="shared" si="1"/>
        <v>https://www.reddit.com/r/RMTK/comments/c7c07p/stemming_eerste_kamer_over_w0023/</v>
      </c>
      <c r="J11" s="1601"/>
      <c r="K11" s="1601"/>
      <c r="L11" s="1601"/>
      <c r="M11" s="1601"/>
      <c r="N11" s="1601"/>
      <c r="O11" s="1601"/>
      <c r="P11" s="1601"/>
      <c r="Q11" s="1601"/>
      <c r="R11" s="1601"/>
      <c r="S11" s="1601"/>
      <c r="T11" s="1601"/>
      <c r="U11" s="1601"/>
      <c r="V11" s="1601"/>
      <c r="W11" s="1601"/>
      <c r="X11" s="1601"/>
    </row>
    <row r="12" ht="18.75" customHeight="1">
      <c r="A12" s="2378" t="s">
        <v>1578</v>
      </c>
      <c r="B12" s="2487" t="s">
        <v>31</v>
      </c>
      <c r="C12" s="2488" t="s">
        <v>16</v>
      </c>
      <c r="D12" s="2381" t="s">
        <v>110</v>
      </c>
      <c r="E12" s="2381" t="s">
        <v>110</v>
      </c>
      <c r="F12" s="2381" t="s">
        <v>110</v>
      </c>
      <c r="G12" s="2381" t="s">
        <v>110</v>
      </c>
      <c r="H12" s="2381" t="s">
        <v>110</v>
      </c>
      <c r="I12" s="2381" t="s">
        <v>109</v>
      </c>
      <c r="J12" s="1601"/>
      <c r="K12" s="1601"/>
      <c r="L12" s="1601"/>
      <c r="M12" s="1601"/>
      <c r="N12" s="1601"/>
      <c r="O12" s="1601"/>
      <c r="P12" s="1601"/>
      <c r="Q12" s="1601"/>
      <c r="R12" s="1601"/>
      <c r="S12" s="1601"/>
      <c r="T12" s="1601"/>
      <c r="U12" s="1601"/>
      <c r="V12" s="1601"/>
      <c r="W12" s="1601"/>
      <c r="X12" s="1601"/>
    </row>
    <row r="13" ht="18.75" customHeight="1">
      <c r="A13" s="644"/>
      <c r="B13" s="2386" t="s">
        <v>449</v>
      </c>
      <c r="C13" s="2387" t="s">
        <v>610</v>
      </c>
      <c r="D13" s="2381" t="s">
        <v>110</v>
      </c>
      <c r="E13" s="2381" t="s">
        <v>110</v>
      </c>
      <c r="F13" s="2381" t="s">
        <v>110</v>
      </c>
      <c r="G13" s="2381" t="s">
        <v>110</v>
      </c>
      <c r="H13" s="2381" t="s">
        <v>110</v>
      </c>
      <c r="I13" s="2381" t="s">
        <v>110</v>
      </c>
      <c r="J13" s="1601"/>
      <c r="K13" s="1601"/>
      <c r="L13" s="1601"/>
      <c r="M13" s="1601"/>
      <c r="N13" s="1601"/>
      <c r="O13" s="1601"/>
      <c r="P13" s="1601"/>
      <c r="Q13" s="1601"/>
      <c r="R13" s="1601"/>
      <c r="S13" s="1601"/>
      <c r="T13" s="1601"/>
      <c r="U13" s="1601"/>
      <c r="V13" s="1601"/>
      <c r="W13" s="1601"/>
      <c r="X13" s="1601"/>
    </row>
    <row r="14" ht="18.75" customHeight="1">
      <c r="A14" s="644"/>
      <c r="B14" s="2400" t="s">
        <v>452</v>
      </c>
      <c r="C14" s="2489" t="s">
        <v>1311</v>
      </c>
      <c r="D14" s="2381" t="s">
        <v>108</v>
      </c>
      <c r="E14" s="2381" t="s">
        <v>108</v>
      </c>
      <c r="F14" s="2381" t="s">
        <v>108</v>
      </c>
      <c r="G14" s="2446" t="s">
        <v>119</v>
      </c>
      <c r="H14" s="2490" t="s">
        <v>119</v>
      </c>
      <c r="I14" s="2490" t="s">
        <v>119</v>
      </c>
      <c r="J14" s="1601"/>
      <c r="K14" s="1601"/>
      <c r="L14" s="1601"/>
      <c r="M14" s="1601"/>
      <c r="N14" s="1601"/>
      <c r="O14" s="1601"/>
      <c r="P14" s="1601"/>
      <c r="Q14" s="1601"/>
      <c r="R14" s="1601"/>
      <c r="S14" s="1601"/>
      <c r="T14" s="1601"/>
      <c r="U14" s="1601"/>
      <c r="V14" s="1601"/>
      <c r="W14" s="1601"/>
      <c r="X14" s="1601"/>
    </row>
    <row r="15" ht="18.75" customHeight="1">
      <c r="A15" s="658"/>
      <c r="B15" s="109"/>
      <c r="C15" s="2491" t="s">
        <v>530</v>
      </c>
      <c r="D15" s="2446" t="s">
        <v>119</v>
      </c>
      <c r="E15" s="2446" t="s">
        <v>119</v>
      </c>
      <c r="F15" s="2446" t="s">
        <v>119</v>
      </c>
      <c r="G15" s="2490" t="s">
        <v>119</v>
      </c>
      <c r="H15" s="2381" t="s">
        <v>108</v>
      </c>
      <c r="I15" s="2381" t="s">
        <v>108</v>
      </c>
      <c r="J15" s="1601"/>
      <c r="K15" s="1601"/>
      <c r="L15" s="1601"/>
      <c r="M15" s="1601"/>
      <c r="N15" s="1601"/>
      <c r="O15" s="1601"/>
      <c r="P15" s="1601"/>
      <c r="Q15" s="1601"/>
      <c r="R15" s="1601"/>
      <c r="S15" s="1601"/>
      <c r="T15" s="1601"/>
      <c r="U15" s="1601"/>
      <c r="V15" s="1601"/>
      <c r="W15" s="1601"/>
      <c r="X15" s="1601"/>
    </row>
    <row r="16" ht="12.0" customHeight="1">
      <c r="A16" s="2403"/>
      <c r="B16" s="2324"/>
      <c r="C16" s="2404"/>
      <c r="D16" s="2007" t="str">
        <f t="shared" ref="D16:I16" si="2">CONCATENATE("{""status"": ", IF(GT(D17, D18), """aangenomen""", """verworpen"""), ", ""title"": """, D7, """, ""url"": """,D11  , """, ""voor"":", D17,", ""tegen"": ", D18, ", ""onthouden"":", D19, "}")</f>
        <v>{"status": "aangenomen", "title": "W0018", "url": "https://www.reddit.com/r/RMTK/comments/bqgy91/stemming_eerste_kamer_over_w0018/", "voor":4, "tegen": 0, "onthouden":0}</v>
      </c>
      <c r="E16" s="2007" t="str">
        <f t="shared" si="2"/>
        <v>{"status": "aangenomen", "title": "W0019", "url": "https://www.reddit.com/r/RMTK/comments/btqvxh/stemming_eerste_kamer_over_w0019/", "voor":4, "tegen": 0, "onthouden":0}</v>
      </c>
      <c r="F16" s="2007" t="str">
        <f t="shared" si="2"/>
        <v>{"status": "aangenomen", "title": "W0020", "url": "https://www.reddit.com/r/RMTK/comments/bz11dm/stemming_eerste_kamer_over_w0020/", "voor":4, "tegen": 0, "onthouden":0}</v>
      </c>
      <c r="G16" s="2007" t="str">
        <f t="shared" si="2"/>
        <v>{"status": "aangenomen", "title": "W0021", "url": "https://www.reddit.com/r/RMTK/comments/c1tsv5/stemming_eerste_kamer_over_w0021/", "voor":3, "tegen": 0, "onthouden":0}</v>
      </c>
      <c r="H16" s="2405" t="str">
        <f t="shared" si="2"/>
        <v>{"status": "aangenomen", "title": "W0024", "url": "https://www.reddit.com/r/RMTK/comments/c4a8tc/stemming_eerste_kamer_over_w0024/", "voor":4, "tegen": 0, "onthouden":0}</v>
      </c>
      <c r="I16" s="2405" t="str">
        <f t="shared" si="2"/>
        <v>{"status": "aangenomen", "title": "W0023", "url": "https://www.reddit.com/r/RMTK/comments/c7c07p/stemming_eerste_kamer_over_w0023/", "voor":3, "tegen": 1, "onthouden":0}</v>
      </c>
      <c r="J16" s="1601"/>
      <c r="K16" s="1601"/>
      <c r="L16" s="1601"/>
      <c r="M16" s="1601"/>
      <c r="N16" s="1601"/>
      <c r="O16" s="1601"/>
      <c r="P16" s="1601"/>
      <c r="Q16" s="1601"/>
      <c r="R16" s="1601"/>
      <c r="S16" s="1601"/>
      <c r="T16" s="1601"/>
      <c r="U16" s="1601"/>
      <c r="V16" s="1601"/>
      <c r="W16" s="1601"/>
      <c r="X16" s="1601"/>
    </row>
    <row r="17" ht="18.75" customHeight="1">
      <c r="A17" s="2406" t="s">
        <v>158</v>
      </c>
      <c r="B17" s="2407" t="s">
        <v>110</v>
      </c>
      <c r="D17" s="2408">
        <f t="shared" ref="D17:I17" si="3">COUNTIF(D6:D15,"Voor")</f>
        <v>4</v>
      </c>
      <c r="E17" s="2408">
        <f t="shared" si="3"/>
        <v>4</v>
      </c>
      <c r="F17" s="2408">
        <f t="shared" si="3"/>
        <v>4</v>
      </c>
      <c r="G17" s="2408">
        <f t="shared" si="3"/>
        <v>3</v>
      </c>
      <c r="H17" s="2408">
        <f t="shared" si="3"/>
        <v>4</v>
      </c>
      <c r="I17" s="2408">
        <f t="shared" si="3"/>
        <v>3</v>
      </c>
      <c r="J17" s="1601"/>
      <c r="K17" s="1601"/>
      <c r="L17" s="1601"/>
      <c r="M17" s="1601"/>
      <c r="N17" s="1601"/>
      <c r="O17" s="1601"/>
      <c r="P17" s="1601"/>
      <c r="Q17" s="1601"/>
      <c r="R17" s="1601"/>
      <c r="S17" s="1601"/>
      <c r="T17" s="1601"/>
      <c r="U17" s="1601"/>
      <c r="V17" s="1601"/>
      <c r="W17" s="1601"/>
      <c r="X17" s="1601"/>
    </row>
    <row r="18" ht="18.75" customHeight="1">
      <c r="B18" s="2409" t="s">
        <v>109</v>
      </c>
      <c r="D18" s="2410">
        <f t="shared" ref="D18:I18" si="4">COUNTIF(D6:D15,"Tegen")</f>
        <v>0</v>
      </c>
      <c r="E18" s="2410">
        <f t="shared" si="4"/>
        <v>0</v>
      </c>
      <c r="F18" s="2410">
        <f t="shared" si="4"/>
        <v>0</v>
      </c>
      <c r="G18" s="2410">
        <f t="shared" si="4"/>
        <v>0</v>
      </c>
      <c r="H18" s="2410">
        <f t="shared" si="4"/>
        <v>0</v>
      </c>
      <c r="I18" s="2410">
        <f t="shared" si="4"/>
        <v>1</v>
      </c>
      <c r="J18" s="1601"/>
      <c r="K18" s="1601"/>
      <c r="L18" s="1601"/>
      <c r="M18" s="1601"/>
      <c r="N18" s="1601"/>
      <c r="O18" s="1601"/>
      <c r="P18" s="1601"/>
      <c r="Q18" s="1601"/>
      <c r="R18" s="1601"/>
      <c r="S18" s="1601"/>
      <c r="T18" s="1601"/>
      <c r="U18" s="1601"/>
      <c r="V18" s="1601"/>
      <c r="W18" s="1601"/>
      <c r="X18" s="1601"/>
    </row>
    <row r="19" ht="18.75" customHeight="1">
      <c r="B19" s="2411" t="s">
        <v>159</v>
      </c>
      <c r="D19" s="2412">
        <f t="shared" ref="D19:I19" si="5">COUNTIF(D6:D15,"SO")</f>
        <v>0</v>
      </c>
      <c r="E19" s="2412">
        <f t="shared" si="5"/>
        <v>0</v>
      </c>
      <c r="F19" s="2412">
        <f t="shared" si="5"/>
        <v>0</v>
      </c>
      <c r="G19" s="2412">
        <f t="shared" si="5"/>
        <v>0</v>
      </c>
      <c r="H19" s="2412">
        <f t="shared" si="5"/>
        <v>0</v>
      </c>
      <c r="I19" s="2412">
        <f t="shared" si="5"/>
        <v>0</v>
      </c>
      <c r="J19" s="1601"/>
      <c r="K19" s="1601"/>
      <c r="L19" s="1601"/>
      <c r="M19" s="1601"/>
      <c r="N19" s="1601"/>
      <c r="O19" s="1601"/>
      <c r="P19" s="1601"/>
      <c r="Q19" s="1601"/>
      <c r="R19" s="1601"/>
      <c r="S19" s="1601"/>
      <c r="T19" s="1601"/>
      <c r="U19" s="1601"/>
      <c r="V19" s="1601"/>
      <c r="W19" s="1601"/>
      <c r="X19" s="1601"/>
    </row>
    <row r="20" ht="18.75" customHeight="1">
      <c r="B20" s="2413" t="s">
        <v>160</v>
      </c>
      <c r="D20" s="2414">
        <f t="shared" ref="D20:I20" si="6">COUNTIF(D6:D15,"NG")</f>
        <v>1</v>
      </c>
      <c r="E20" s="2414">
        <f t="shared" si="6"/>
        <v>1</v>
      </c>
      <c r="F20" s="2414">
        <f t="shared" si="6"/>
        <v>1</v>
      </c>
      <c r="G20" s="2414">
        <f t="shared" si="6"/>
        <v>1</v>
      </c>
      <c r="H20" s="2414">
        <f t="shared" si="6"/>
        <v>1</v>
      </c>
      <c r="I20" s="2414">
        <f t="shared" si="6"/>
        <v>1</v>
      </c>
      <c r="J20" s="1601"/>
      <c r="K20" s="1601"/>
      <c r="L20" s="1601"/>
      <c r="M20" s="1601"/>
      <c r="N20" s="1601"/>
      <c r="O20" s="1601"/>
      <c r="P20" s="1601"/>
      <c r="Q20" s="1601"/>
      <c r="R20" s="1601"/>
      <c r="S20" s="1601"/>
      <c r="T20" s="1601"/>
      <c r="U20" s="1601"/>
      <c r="V20" s="1601"/>
      <c r="W20" s="1601"/>
      <c r="X20" s="1601"/>
    </row>
    <row r="21" ht="18.75" customHeight="1">
      <c r="B21" s="2415" t="s">
        <v>161</v>
      </c>
      <c r="D21" s="2492">
        <f t="shared" ref="D21:I21" si="7">SUM(D17:D20)</f>
        <v>5</v>
      </c>
      <c r="E21" s="2416">
        <f t="shared" si="7"/>
        <v>5</v>
      </c>
      <c r="F21" s="2416">
        <f t="shared" si="7"/>
        <v>5</v>
      </c>
      <c r="G21" s="2416">
        <f t="shared" si="7"/>
        <v>4</v>
      </c>
      <c r="H21" s="2416">
        <f t="shared" si="7"/>
        <v>5</v>
      </c>
      <c r="I21" s="2416">
        <f t="shared" si="7"/>
        <v>5</v>
      </c>
      <c r="J21" s="1601"/>
      <c r="K21" s="1601"/>
      <c r="L21" s="1601"/>
      <c r="M21" s="1601"/>
      <c r="N21" s="1601"/>
      <c r="O21" s="1601"/>
      <c r="P21" s="1601"/>
      <c r="Q21" s="1601"/>
      <c r="R21" s="1601"/>
      <c r="S21" s="1601"/>
      <c r="T21" s="1601"/>
      <c r="U21" s="1601"/>
      <c r="V21" s="1601"/>
      <c r="W21" s="1601"/>
      <c r="X21" s="1601"/>
    </row>
    <row r="22" ht="18.75" customHeight="1">
      <c r="B22" s="2417" t="s">
        <v>162</v>
      </c>
      <c r="D22" s="2493">
        <f t="shared" ref="D22:I22" si="8">D17+D18+D19</f>
        <v>4</v>
      </c>
      <c r="E22" s="2418">
        <f t="shared" si="8"/>
        <v>4</v>
      </c>
      <c r="F22" s="2418">
        <f t="shared" si="8"/>
        <v>4</v>
      </c>
      <c r="G22" s="2418">
        <f t="shared" si="8"/>
        <v>3</v>
      </c>
      <c r="H22" s="2418">
        <f t="shared" si="8"/>
        <v>4</v>
      </c>
      <c r="I22" s="2418">
        <f t="shared" si="8"/>
        <v>4</v>
      </c>
      <c r="J22" s="1601"/>
      <c r="K22" s="1601"/>
      <c r="L22" s="1601"/>
      <c r="M22" s="1601"/>
      <c r="N22" s="1601"/>
      <c r="O22" s="1601"/>
      <c r="P22" s="1601"/>
      <c r="Q22" s="1601"/>
      <c r="R22" s="1601"/>
      <c r="S22" s="1601"/>
      <c r="T22" s="1601"/>
      <c r="U22" s="1601"/>
      <c r="V22" s="1601"/>
      <c r="W22" s="1601"/>
      <c r="X22" s="1601"/>
    </row>
    <row r="23" ht="18.75" customHeight="1">
      <c r="B23" s="2419" t="s">
        <v>163</v>
      </c>
      <c r="C23" s="109"/>
      <c r="D23" s="2494">
        <f t="shared" ref="D23:I23" si="9">IFERROR(D22/D21,"")</f>
        <v>0.8</v>
      </c>
      <c r="E23" s="2420">
        <f t="shared" si="9"/>
        <v>0.8</v>
      </c>
      <c r="F23" s="2420">
        <f t="shared" si="9"/>
        <v>0.8</v>
      </c>
      <c r="G23" s="2420">
        <f t="shared" si="9"/>
        <v>0.75</v>
      </c>
      <c r="H23" s="2420">
        <f t="shared" si="9"/>
        <v>0.8</v>
      </c>
      <c r="I23" s="2420">
        <f t="shared" si="9"/>
        <v>0.8</v>
      </c>
      <c r="J23" s="1601"/>
      <c r="K23" s="1601"/>
      <c r="L23" s="1601"/>
      <c r="M23" s="1601"/>
      <c r="N23" s="1601"/>
      <c r="O23" s="1601"/>
      <c r="P23" s="1601"/>
      <c r="Q23" s="1601"/>
      <c r="R23" s="1601"/>
      <c r="S23" s="1601"/>
      <c r="T23" s="1601"/>
      <c r="U23" s="1601"/>
      <c r="V23" s="1601"/>
      <c r="W23" s="1601"/>
      <c r="X23" s="1601"/>
    </row>
    <row r="24" ht="18.75" customHeight="1">
      <c r="A24" s="1599"/>
      <c r="B24" s="1599"/>
      <c r="C24" s="1599"/>
      <c r="D24" s="1601"/>
      <c r="E24" s="1601"/>
      <c r="F24" s="1601"/>
      <c r="G24" s="1601"/>
      <c r="H24" s="1601"/>
      <c r="I24" s="1601"/>
      <c r="J24" s="1601"/>
      <c r="K24" s="1601"/>
      <c r="L24" s="1601"/>
      <c r="M24" s="1601"/>
      <c r="N24" s="1601"/>
      <c r="O24" s="1601"/>
      <c r="P24" s="1601"/>
      <c r="Q24" s="1601"/>
      <c r="R24" s="1601"/>
      <c r="S24" s="1601"/>
      <c r="T24" s="1601"/>
      <c r="U24" s="1601"/>
      <c r="V24" s="1601"/>
      <c r="W24" s="1601"/>
      <c r="X24" s="1601"/>
    </row>
    <row r="25" ht="18.75" customHeight="1">
      <c r="A25" s="1601"/>
      <c r="B25" s="1601"/>
      <c r="C25" s="1601"/>
      <c r="D25" s="1601"/>
      <c r="E25" s="1601"/>
      <c r="F25" s="1601"/>
      <c r="G25" s="1601"/>
      <c r="H25" s="1601"/>
      <c r="I25" s="1601"/>
      <c r="J25" s="1601"/>
      <c r="K25" s="1601"/>
      <c r="L25" s="1601"/>
      <c r="M25" s="1601"/>
      <c r="N25" s="1601"/>
      <c r="O25" s="1601"/>
      <c r="P25" s="1601"/>
      <c r="Q25" s="1601"/>
      <c r="R25" s="1601"/>
      <c r="S25" s="1601"/>
      <c r="T25" s="1601"/>
      <c r="U25" s="1601"/>
      <c r="V25" s="1601"/>
      <c r="W25" s="1601"/>
      <c r="X25" s="1601"/>
    </row>
  </sheetData>
  <mergeCells count="16">
    <mergeCell ref="A12:A15"/>
    <mergeCell ref="A17:A23"/>
    <mergeCell ref="B17:C17"/>
    <mergeCell ref="B18:C18"/>
    <mergeCell ref="B19:C19"/>
    <mergeCell ref="B20:C20"/>
    <mergeCell ref="B21:C21"/>
    <mergeCell ref="B22:C22"/>
    <mergeCell ref="B23:C23"/>
    <mergeCell ref="A2:C2"/>
    <mergeCell ref="D2:J2"/>
    <mergeCell ref="A4:C4"/>
    <mergeCell ref="D4:I6"/>
    <mergeCell ref="A5:C6"/>
    <mergeCell ref="A9:A10"/>
    <mergeCell ref="B14:B15"/>
  </mergeCells>
  <conditionalFormatting sqref="G14:G15 H14:I14 D15:F15">
    <cfRule type="containsText" dxfId="3" priority="1" operator="containsText" text="tegen">
      <formula>NOT(ISERROR(SEARCH(("tegen"),(G14))))</formula>
    </cfRule>
  </conditionalFormatting>
  <conditionalFormatting sqref="G14:G15 H14:I14 D15:F15">
    <cfRule type="cellIs" dxfId="5" priority="2" operator="equal">
      <formula>"NG"</formula>
    </cfRule>
  </conditionalFormatting>
  <conditionalFormatting sqref="D9:I10 B10:C10 D12:I15">
    <cfRule type="containsText" dxfId="4" priority="3" operator="containsText" text="voor">
      <formula>NOT(ISERROR(SEARCH(("voor"),(D9))))</formula>
    </cfRule>
  </conditionalFormatting>
  <conditionalFormatting sqref="D9:I10 B10:C10 D12:I15">
    <cfRule type="containsText" dxfId="2" priority="4" operator="containsText" text="SO">
      <formula>NOT(ISERROR(SEARCH(("SO"),(D9))))</formula>
    </cfRule>
  </conditionalFormatting>
  <conditionalFormatting sqref="D9:I10 B10:C10 D12:I15">
    <cfRule type="containsText" dxfId="5" priority="5" operator="containsText" text="NG">
      <formula>NOT(ISERROR(SEARCH(("NG"),(D9))))</formula>
    </cfRule>
  </conditionalFormatting>
  <conditionalFormatting sqref="D9:I10 B10:C10 D12:I15">
    <cfRule type="containsText" dxfId="6" priority="6" operator="containsText" text="NVT">
      <formula>NOT(ISERROR(SEARCH(("NVT"),(D9))))</formula>
    </cfRule>
  </conditionalFormatting>
  <conditionalFormatting sqref="A1:I3 J1:X24 G8:I10 D9:F10 B10:C10 E12:I15 D15 G17:I24 A24:C24 D24:F25">
    <cfRule type="containsText" dxfId="39" priority="7" operator="containsText" text="SO">
      <formula>NOT(ISERROR(SEARCH(("SO"),(A1))))</formula>
    </cfRule>
  </conditionalFormatting>
  <conditionalFormatting sqref="A1:I3 J1:X24 G8:I10 D9:F10 B10:C10 E12:I15 D15 G17:I24 A24:C24 D24:F25">
    <cfRule type="containsText" dxfId="40" priority="8" operator="containsText" text="N.v.t.">
      <formula>NOT(ISERROR(SEARCH(("N.v.t."),(A1))))</formula>
    </cfRule>
  </conditionalFormatting>
  <conditionalFormatting sqref="A1:I3 J1:X24 G8:I10 D9:F10 B10:C10 E12:I15 D15 G17:I24 A24:C24 D24:F25">
    <cfRule type="containsText" dxfId="23" priority="9" operator="containsText" text="Voor">
      <formula>NOT(ISERROR(SEARCH(("Voor"),(A1))))</formula>
    </cfRule>
  </conditionalFormatting>
  <conditionalFormatting sqref="A1:I3 J1:X24 G8:I10 D9:F10 B10:C10 E12:I15 D15 G17:I24 A24:C24 D24:F25">
    <cfRule type="containsText" dxfId="41" priority="10" operator="containsText" text="Tegen">
      <formula>NOT(ISERROR(SEARCH(("Tegen"),(A1))))</formula>
    </cfRule>
  </conditionalFormatting>
  <conditionalFormatting sqref="A1:I3 J1:X24 G8:I10 D9:F10 B10:C10 E12:I15 D15 G17:I24 A24:C24 D24:F25">
    <cfRule type="containsText" dxfId="42" priority="11" operator="containsText" text="N.v.t.">
      <formula>NOT(ISERROR(SEARCH(("N.v.t."),(A1))))</formula>
    </cfRule>
  </conditionalFormatting>
  <conditionalFormatting sqref="A1:I3 J1:X24 G8:I10 D9:F10 B10:C10 E12:I15 D15 G17:I24 A24:C24 D24:F25">
    <cfRule type="cellIs" dxfId="39" priority="12" operator="equal">
      <formula>"SO"</formula>
    </cfRule>
  </conditionalFormatting>
  <conditionalFormatting sqref="A1:I3 J1:X24 G8:I10 D9:F10 B10:C10 E12:I15 D15 G17:I24 A24:C24 D24:F25">
    <cfRule type="cellIs" dxfId="43" priority="13" operator="equal">
      <formula>"NG"</formula>
    </cfRule>
  </conditionalFormatting>
  <conditionalFormatting sqref="A1:A5 B1:C4 D1:I6 J1:X24 A7:A8 B7:C12 D8:I10 A10:A11 D12:I15 A16:C24 D17:F25 G17:I24">
    <cfRule type="containsText" dxfId="0" priority="14" operator="containsText" text="voor">
      <formula>NOT(ISERROR(SEARCH(("voor"),(A1))))</formula>
    </cfRule>
  </conditionalFormatting>
  <conditionalFormatting sqref="A1:A5 B1:C4 D1:I6 J1:X24 A7:A8 B7:C12 D8:I10 A10:A11 D12:I15 A16:C24 D17:F25 G17:I24">
    <cfRule type="containsText" dxfId="1" priority="15" operator="containsText" text="tegen">
      <formula>NOT(ISERROR(SEARCH(("tegen"),(A1))))</formula>
    </cfRule>
  </conditionalFormatting>
  <conditionalFormatting sqref="A1:C3 D1:I6 J1:X24 D8:I10 B10:C10 D12:I15 D17:F25 G17:I24 A24:C24">
    <cfRule type="containsText" dxfId="44" priority="16" operator="containsText" text="SO">
      <formula>NOT(ISERROR(SEARCH(("SO"),(A1))))</formula>
    </cfRule>
  </conditionalFormatting>
  <conditionalFormatting sqref="A1:C3 D1:I6 J1:X24 D8:I10 B10:C10 D12:I15 D17:F25 G17:I24 A24:C24">
    <cfRule type="containsText" dxfId="45" priority="17" operator="containsText" text="NG">
      <formula>NOT(ISERROR(SEARCH(("NG"),(A1))))</formula>
    </cfRule>
  </conditionalFormatting>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4125"/>
    <outlinePr summaryBelow="0" summaryRight="0"/>
  </sheetPr>
  <sheetViews>
    <sheetView workbookViewId="0">
      <pane xSplit="3.0" ySplit="5.0" topLeftCell="D6" activePane="bottomRight" state="frozen"/>
      <selection activeCell="D1" sqref="D1" pane="topRight"/>
      <selection activeCell="A6" sqref="A6" pane="bottomLeft"/>
      <selection activeCell="D6" sqref="D6" pane="bottomRight"/>
    </sheetView>
  </sheetViews>
  <sheetFormatPr customHeight="1" defaultColWidth="14.43" defaultRowHeight="15.75"/>
  <cols>
    <col customWidth="1" min="1" max="1" width="10.86"/>
    <col customWidth="1" min="2" max="2" width="11.0"/>
    <col customWidth="1" min="3" max="3" width="26.29"/>
  </cols>
  <sheetData>
    <row r="1" ht="18.75" customHeight="1">
      <c r="A1" s="2248" t="s">
        <v>164</v>
      </c>
      <c r="B1" s="2249"/>
      <c r="C1" s="2249"/>
      <c r="D1" s="2249"/>
      <c r="E1" s="2249"/>
      <c r="F1" s="2249"/>
      <c r="G1" s="2250"/>
      <c r="H1" s="2250"/>
      <c r="I1" s="2250"/>
      <c r="J1" s="2250"/>
      <c r="K1" s="2250"/>
      <c r="L1" s="2250"/>
      <c r="M1" s="2250"/>
      <c r="N1" s="2250"/>
      <c r="O1" s="2250"/>
      <c r="P1" s="2250"/>
      <c r="Q1" s="2250"/>
      <c r="R1" s="2250"/>
      <c r="S1" s="2250"/>
      <c r="T1" s="2250"/>
    </row>
    <row r="2" ht="18.75" customHeight="1">
      <c r="A2" s="2252" t="s">
        <v>1013</v>
      </c>
      <c r="B2" s="109"/>
      <c r="C2" s="110"/>
      <c r="D2" s="2253" t="s">
        <v>1571</v>
      </c>
      <c r="E2" s="112"/>
      <c r="F2" s="112"/>
      <c r="G2" s="112"/>
      <c r="H2" s="112"/>
      <c r="I2" s="112"/>
      <c r="J2" s="112"/>
      <c r="K2" s="112"/>
      <c r="L2" s="112"/>
      <c r="M2" s="112"/>
      <c r="N2" s="112"/>
      <c r="O2" s="112"/>
      <c r="P2" s="112"/>
      <c r="Q2" s="112"/>
      <c r="R2" s="112"/>
      <c r="S2" s="112"/>
      <c r="T2" s="20"/>
    </row>
    <row r="3" ht="18.75" customHeight="1">
      <c r="A3" s="2421" t="s">
        <v>1788</v>
      </c>
      <c r="C3" s="115"/>
      <c r="D3" s="43"/>
      <c r="T3" s="44"/>
    </row>
    <row r="4" ht="18.75" customHeight="1">
      <c r="C4" s="115"/>
      <c r="D4" s="26"/>
      <c r="E4" s="504"/>
      <c r="F4" s="504"/>
      <c r="G4" s="504"/>
      <c r="H4" s="504"/>
      <c r="I4" s="504"/>
      <c r="J4" s="504"/>
      <c r="K4" s="504"/>
      <c r="L4" s="504"/>
      <c r="M4" s="504"/>
      <c r="N4" s="504"/>
      <c r="O4" s="504"/>
      <c r="P4" s="504"/>
      <c r="Q4" s="504"/>
      <c r="R4" s="504"/>
      <c r="S4" s="504"/>
      <c r="T4" s="27"/>
    </row>
    <row r="5" ht="18.75" customHeight="1">
      <c r="A5" s="2255" t="s">
        <v>82</v>
      </c>
      <c r="B5" s="2256" t="s">
        <v>83</v>
      </c>
      <c r="C5" s="2257" t="s">
        <v>84</v>
      </c>
      <c r="D5" s="2258" t="str">
        <f>HYPERLINK("https://www.reddit.com/r/RMTK/comments/axlw0k","M0040")</f>
        <v>M0040</v>
      </c>
      <c r="E5" s="2258" t="str">
        <f>HYPERLINK("https://www.reddit.com/r/RMTK/comments/ay3ege","M0041")</f>
        <v>M0041</v>
      </c>
      <c r="F5" s="2258" t="str">
        <f>HYPERLINK("https://www.reddit.com/r/RMTK/comments/axb6a2","W0012")</f>
        <v>W0012</v>
      </c>
      <c r="G5" s="2258" t="str">
        <f>HYPERLINK("https://www.reddit.com/r/RMTK/comments/axyq3e","W0013")</f>
        <v>W0013</v>
      </c>
      <c r="H5" s="2258" t="str">
        <f>HYPERLINK("https://www.reddit.com/r/RMTK/comments/ayfy8u","W0014")</f>
        <v>W0014</v>
      </c>
      <c r="I5" s="2258" t="str">
        <f>HYPERLINK("https://www.reddit.com/r/RMTK/comments/aygvku","W0015")</f>
        <v>W0015</v>
      </c>
      <c r="J5" s="2258" t="str">
        <f>HYPERLINK("https://www.reddit.com/r/RMTK/comments/bbclrd","W0016")</f>
        <v>W0016</v>
      </c>
      <c r="K5" s="2258" t="str">
        <f>HYPERLINK("https://www.reddit.com/r/RMTK/comments/bdjnhg","M0043")</f>
        <v>M0043</v>
      </c>
      <c r="L5" s="2258" t="str">
        <f>HYPERLINK("https://www.reddit.com/r/RMTK/comments/bdvyaj","M0044")</f>
        <v>M0044</v>
      </c>
      <c r="M5" s="2258" t="str">
        <f>HYPERLINK("https://www.reddit.com/r/RMTK/comments/beaf0d","M0045")</f>
        <v>M0045</v>
      </c>
      <c r="N5" s="2258" t="str">
        <f>HYPERLINK("https://www.reddit.com/r/RMTK/comments/beo0o2","M0046")</f>
        <v>M0046</v>
      </c>
      <c r="O5" s="2258" t="str">
        <f>HYPERLINK("https://www.reddit.com/r/RMTK/comments/bdxiws","W0017")</f>
        <v>W0017</v>
      </c>
      <c r="P5" s="2258" t="str">
        <f>HYPERLINK("https://www.reddit.com/r/RMTK/comments/bgkw11","M0047")</f>
        <v>M0047</v>
      </c>
      <c r="Q5" s="2258" t="str">
        <f>HYPERLINK("https://www.reddit.com/r/RMTK/comments/bgyk5e","M0048")</f>
        <v>M0048</v>
      </c>
      <c r="R5" s="2258" t="str">
        <f>HYPERLINK("https://www.reddit.com/r/RMTK/comments/biskko","M0049")</f>
        <v>M0049</v>
      </c>
      <c r="S5" s="2258" t="str">
        <f>HYPERLINK("https://www.reddit.com/r/RMTK/comments/bjxm9b","M0050")</f>
        <v>M0050</v>
      </c>
      <c r="T5" s="2258" t="str">
        <f>HYPERLINK("https://www.reddit.com/r/RMTK/comments/bjym6d","W0018-I")</f>
        <v>W0018-I</v>
      </c>
    </row>
    <row r="6" ht="6.0" customHeight="1">
      <c r="A6" s="2260"/>
      <c r="B6" s="2377"/>
      <c r="C6" s="2261"/>
      <c r="D6" s="2422"/>
      <c r="E6" s="2422"/>
      <c r="F6" s="2422"/>
      <c r="G6" s="2422"/>
      <c r="H6" s="2422"/>
      <c r="I6" s="2495"/>
      <c r="J6" s="2422"/>
      <c r="K6" s="2422"/>
      <c r="L6" s="2422"/>
      <c r="M6" s="2422"/>
      <c r="N6" s="2422"/>
      <c r="O6" s="2422"/>
      <c r="P6" s="2422"/>
      <c r="Q6" s="2422"/>
      <c r="R6" s="2422"/>
      <c r="S6" s="2422"/>
      <c r="T6" s="2422"/>
    </row>
    <row r="7" ht="18.75" customHeight="1">
      <c r="A7" s="2266" t="s">
        <v>106</v>
      </c>
      <c r="B7" s="2425" t="s">
        <v>440</v>
      </c>
      <c r="C7" s="2426" t="s">
        <v>1782</v>
      </c>
      <c r="D7" s="2269" t="s">
        <v>110</v>
      </c>
      <c r="E7" s="2269" t="s">
        <v>109</v>
      </c>
      <c r="F7" s="2269" t="s">
        <v>109</v>
      </c>
      <c r="G7" s="2269" t="s">
        <v>110</v>
      </c>
      <c r="H7" s="2269" t="s">
        <v>109</v>
      </c>
      <c r="I7" s="2270" t="s">
        <v>110</v>
      </c>
      <c r="J7" s="2270" t="s">
        <v>109</v>
      </c>
      <c r="K7" s="2269" t="s">
        <v>109</v>
      </c>
      <c r="L7" s="2269" t="s">
        <v>110</v>
      </c>
      <c r="M7" s="2269" t="s">
        <v>109</v>
      </c>
      <c r="N7" s="2269" t="s">
        <v>109</v>
      </c>
      <c r="O7" s="2270" t="s">
        <v>110</v>
      </c>
      <c r="P7" s="2269" t="s">
        <v>110</v>
      </c>
      <c r="Q7" s="2270" t="s">
        <v>110</v>
      </c>
      <c r="R7" s="2269" t="s">
        <v>109</v>
      </c>
      <c r="S7" s="2269" t="s">
        <v>110</v>
      </c>
      <c r="T7" s="2270" t="s">
        <v>110</v>
      </c>
    </row>
    <row r="8" ht="18.75" customHeight="1">
      <c r="A8" s="147"/>
      <c r="B8" s="644"/>
      <c r="C8" s="2435" t="s">
        <v>120</v>
      </c>
      <c r="D8" s="2269" t="s">
        <v>109</v>
      </c>
      <c r="E8" s="2269" t="s">
        <v>109</v>
      </c>
      <c r="F8" s="2269" t="s">
        <v>109</v>
      </c>
      <c r="G8" s="2269" t="s">
        <v>110</v>
      </c>
      <c r="H8" s="2269" t="s">
        <v>110</v>
      </c>
      <c r="I8" s="2270" t="s">
        <v>110</v>
      </c>
      <c r="J8" s="2270" t="s">
        <v>109</v>
      </c>
      <c r="K8" s="2269" t="s">
        <v>109</v>
      </c>
      <c r="L8" s="2269" t="s">
        <v>109</v>
      </c>
      <c r="M8" s="2269" t="s">
        <v>109</v>
      </c>
      <c r="N8" s="2269" t="s">
        <v>109</v>
      </c>
      <c r="O8" s="2270" t="s">
        <v>110</v>
      </c>
      <c r="P8" s="2269" t="s">
        <v>109</v>
      </c>
      <c r="Q8" s="2270" t="s">
        <v>109</v>
      </c>
      <c r="R8" s="2269" t="s">
        <v>109</v>
      </c>
      <c r="S8" s="2269" t="s">
        <v>109</v>
      </c>
      <c r="T8" s="2270" t="s">
        <v>110</v>
      </c>
    </row>
    <row r="9" ht="18.75" customHeight="1">
      <c r="A9" s="147"/>
      <c r="B9" s="644"/>
      <c r="C9" s="2435" t="s">
        <v>1305</v>
      </c>
      <c r="D9" s="2269" t="s">
        <v>110</v>
      </c>
      <c r="E9" s="2269" t="s">
        <v>109</v>
      </c>
      <c r="F9" s="2269" t="s">
        <v>110</v>
      </c>
      <c r="G9" s="2269" t="s">
        <v>110</v>
      </c>
      <c r="H9" s="2269" t="s">
        <v>109</v>
      </c>
      <c r="I9" s="2270" t="s">
        <v>110</v>
      </c>
      <c r="J9" s="2270" t="s">
        <v>117</v>
      </c>
      <c r="K9" s="2269" t="s">
        <v>109</v>
      </c>
      <c r="L9" s="2269" t="s">
        <v>110</v>
      </c>
      <c r="M9" s="2269" t="s">
        <v>109</v>
      </c>
      <c r="N9" s="2269" t="s">
        <v>109</v>
      </c>
      <c r="O9" s="2270" t="s">
        <v>110</v>
      </c>
      <c r="P9" s="2269" t="s">
        <v>109</v>
      </c>
      <c r="Q9" s="2270" t="s">
        <v>109</v>
      </c>
      <c r="R9" s="2269" t="s">
        <v>109</v>
      </c>
      <c r="S9" s="2269" t="s">
        <v>110</v>
      </c>
      <c r="T9" s="2270" t="s">
        <v>110</v>
      </c>
    </row>
    <row r="10" ht="18.75" customHeight="1">
      <c r="A10" s="147"/>
      <c r="B10" s="644"/>
      <c r="C10" s="2435" t="s">
        <v>1269</v>
      </c>
      <c r="D10" s="2269" t="s">
        <v>110</v>
      </c>
      <c r="E10" s="2269" t="s">
        <v>109</v>
      </c>
      <c r="F10" s="2269" t="s">
        <v>109</v>
      </c>
      <c r="G10" s="2269" t="s">
        <v>110</v>
      </c>
      <c r="H10" s="2269" t="s">
        <v>109</v>
      </c>
      <c r="I10" s="2270" t="s">
        <v>110</v>
      </c>
      <c r="J10" s="2270" t="s">
        <v>109</v>
      </c>
      <c r="K10" s="2269" t="s">
        <v>109</v>
      </c>
      <c r="L10" s="2269" t="s">
        <v>110</v>
      </c>
      <c r="M10" s="2269" t="s">
        <v>109</v>
      </c>
      <c r="N10" s="2269" t="s">
        <v>109</v>
      </c>
      <c r="O10" s="2270" t="s">
        <v>110</v>
      </c>
      <c r="P10" s="2269" t="s">
        <v>110</v>
      </c>
      <c r="Q10" s="2270" t="s">
        <v>109</v>
      </c>
      <c r="R10" s="2269" t="s">
        <v>109</v>
      </c>
      <c r="S10" s="2269" t="s">
        <v>110</v>
      </c>
      <c r="T10" s="2270" t="s">
        <v>110</v>
      </c>
    </row>
    <row r="11" ht="18.75" customHeight="1">
      <c r="A11" s="147"/>
      <c r="B11" s="644"/>
      <c r="C11" s="2435" t="s">
        <v>1789</v>
      </c>
      <c r="D11" s="2269" t="s">
        <v>110</v>
      </c>
      <c r="E11" s="2269" t="s">
        <v>110</v>
      </c>
      <c r="F11" s="2269" t="s">
        <v>110</v>
      </c>
      <c r="G11" s="2269" t="s">
        <v>110</v>
      </c>
      <c r="H11" s="2269" t="s">
        <v>109</v>
      </c>
      <c r="I11" s="2270" t="s">
        <v>110</v>
      </c>
      <c r="J11" s="2270" t="s">
        <v>109</v>
      </c>
      <c r="K11" s="2269" t="s">
        <v>109</v>
      </c>
      <c r="L11" s="2269" t="s">
        <v>110</v>
      </c>
      <c r="M11" s="2269" t="s">
        <v>109</v>
      </c>
      <c r="N11" s="2269" t="s">
        <v>109</v>
      </c>
      <c r="O11" s="2270" t="s">
        <v>110</v>
      </c>
      <c r="P11" s="2269" t="s">
        <v>110</v>
      </c>
      <c r="Q11" s="2270" t="s">
        <v>110</v>
      </c>
      <c r="R11" s="2269" t="s">
        <v>109</v>
      </c>
      <c r="S11" s="2269" t="s">
        <v>110</v>
      </c>
      <c r="T11" s="2270" t="s">
        <v>110</v>
      </c>
    </row>
    <row r="12" ht="18.75" customHeight="1">
      <c r="A12" s="147"/>
      <c r="B12" s="644"/>
      <c r="C12" s="2435" t="s">
        <v>1790</v>
      </c>
      <c r="D12" s="2269" t="s">
        <v>110</v>
      </c>
      <c r="E12" s="2269" t="s">
        <v>109</v>
      </c>
      <c r="F12" s="2269" t="s">
        <v>109</v>
      </c>
      <c r="G12" s="2269" t="s">
        <v>110</v>
      </c>
      <c r="H12" s="2269" t="s">
        <v>109</v>
      </c>
      <c r="I12" s="2270" t="s">
        <v>110</v>
      </c>
      <c r="J12" s="2270" t="s">
        <v>109</v>
      </c>
      <c r="K12" s="2269" t="s">
        <v>109</v>
      </c>
      <c r="L12" s="2269" t="s">
        <v>110</v>
      </c>
      <c r="M12" s="2269" t="s">
        <v>110</v>
      </c>
      <c r="N12" s="2269" t="s">
        <v>109</v>
      </c>
      <c r="O12" s="2270" t="s">
        <v>110</v>
      </c>
      <c r="P12" s="2269" t="s">
        <v>110</v>
      </c>
      <c r="Q12" s="2270" t="s">
        <v>110</v>
      </c>
      <c r="R12" s="2269" t="s">
        <v>109</v>
      </c>
      <c r="S12" s="2269" t="s">
        <v>110</v>
      </c>
      <c r="T12" s="2270" t="s">
        <v>110</v>
      </c>
    </row>
    <row r="13" ht="18.75" customHeight="1">
      <c r="A13" s="147"/>
      <c r="B13" s="658"/>
      <c r="C13" s="2448" t="s">
        <v>1784</v>
      </c>
      <c r="D13" s="2269" t="s">
        <v>110</v>
      </c>
      <c r="E13" s="2269" t="s">
        <v>110</v>
      </c>
      <c r="F13" s="2269" t="s">
        <v>110</v>
      </c>
      <c r="G13" s="2269" t="s">
        <v>110</v>
      </c>
      <c r="H13" s="2269" t="s">
        <v>109</v>
      </c>
      <c r="I13" s="2270" t="s">
        <v>110</v>
      </c>
      <c r="J13" s="2270" t="s">
        <v>109</v>
      </c>
      <c r="K13" s="2269" t="s">
        <v>109</v>
      </c>
      <c r="L13" s="2269" t="s">
        <v>109</v>
      </c>
      <c r="M13" s="2269" t="s">
        <v>110</v>
      </c>
      <c r="N13" s="2269" t="s">
        <v>109</v>
      </c>
      <c r="O13" s="2270" t="s">
        <v>110</v>
      </c>
      <c r="P13" s="2269" t="s">
        <v>110</v>
      </c>
      <c r="Q13" s="2270" t="s">
        <v>109</v>
      </c>
      <c r="R13" s="2269" t="s">
        <v>109</v>
      </c>
      <c r="S13" s="2269" t="s">
        <v>110</v>
      </c>
      <c r="T13" s="2270" t="s">
        <v>110</v>
      </c>
    </row>
    <row r="14" ht="18.75" customHeight="1">
      <c r="A14" s="147"/>
      <c r="B14" s="2267" t="s">
        <v>31</v>
      </c>
      <c r="C14" s="2464" t="s">
        <v>32</v>
      </c>
      <c r="D14" s="2269" t="s">
        <v>110</v>
      </c>
      <c r="E14" s="2269" t="s">
        <v>110</v>
      </c>
      <c r="F14" s="2269" t="s">
        <v>110</v>
      </c>
      <c r="G14" s="2269" t="s">
        <v>110</v>
      </c>
      <c r="H14" s="2269" t="s">
        <v>109</v>
      </c>
      <c r="I14" s="2270" t="s">
        <v>110</v>
      </c>
      <c r="J14" s="2270" t="s">
        <v>109</v>
      </c>
      <c r="K14" s="2269" t="s">
        <v>109</v>
      </c>
      <c r="L14" s="2269" t="s">
        <v>110</v>
      </c>
      <c r="M14" s="2269" t="s">
        <v>109</v>
      </c>
      <c r="N14" s="2269" t="s">
        <v>109</v>
      </c>
      <c r="O14" s="2270" t="s">
        <v>110</v>
      </c>
      <c r="P14" s="2269" t="s">
        <v>109</v>
      </c>
      <c r="Q14" s="2270" t="s">
        <v>110</v>
      </c>
      <c r="R14" s="2269" t="s">
        <v>109</v>
      </c>
      <c r="S14" s="2269" t="s">
        <v>109</v>
      </c>
      <c r="T14" s="2270" t="s">
        <v>110</v>
      </c>
    </row>
    <row r="15" ht="18.75" customHeight="1">
      <c r="A15" s="147"/>
      <c r="B15" s="644"/>
      <c r="C15" s="2465" t="s">
        <v>1277</v>
      </c>
      <c r="D15" s="2269" t="s">
        <v>108</v>
      </c>
      <c r="E15" s="2269" t="s">
        <v>108</v>
      </c>
      <c r="F15" s="2269" t="s">
        <v>108</v>
      </c>
      <c r="G15" s="2269" t="s">
        <v>108</v>
      </c>
      <c r="H15" s="2269" t="s">
        <v>108</v>
      </c>
      <c r="I15" s="2270" t="s">
        <v>108</v>
      </c>
      <c r="J15" s="2270" t="s">
        <v>119</v>
      </c>
      <c r="K15" s="2269" t="s">
        <v>119</v>
      </c>
      <c r="L15" s="2269" t="s">
        <v>119</v>
      </c>
      <c r="M15" s="2269" t="s">
        <v>119</v>
      </c>
      <c r="N15" s="2269" t="s">
        <v>119</v>
      </c>
      <c r="O15" s="2270" t="s">
        <v>119</v>
      </c>
      <c r="P15" s="2269" t="s">
        <v>119</v>
      </c>
      <c r="Q15" s="2270" t="s">
        <v>119</v>
      </c>
      <c r="R15" s="2269" t="s">
        <v>119</v>
      </c>
      <c r="S15" s="2269" t="s">
        <v>119</v>
      </c>
      <c r="T15" s="2270" t="s">
        <v>119</v>
      </c>
    </row>
    <row r="16" ht="18.75" customHeight="1">
      <c r="A16" s="147"/>
      <c r="B16" s="644"/>
      <c r="C16" s="2273" t="s">
        <v>650</v>
      </c>
      <c r="D16" s="2269" t="s">
        <v>119</v>
      </c>
      <c r="E16" s="2269" t="s">
        <v>119</v>
      </c>
      <c r="F16" s="2269" t="s">
        <v>119</v>
      </c>
      <c r="G16" s="2269" t="s">
        <v>119</v>
      </c>
      <c r="H16" s="2269" t="s">
        <v>119</v>
      </c>
      <c r="I16" s="2270" t="s">
        <v>119</v>
      </c>
      <c r="J16" s="2270" t="s">
        <v>109</v>
      </c>
      <c r="K16" s="2269" t="s">
        <v>109</v>
      </c>
      <c r="L16" s="2269" t="s">
        <v>110</v>
      </c>
      <c r="M16" s="2269" t="s">
        <v>117</v>
      </c>
      <c r="N16" s="2269" t="s">
        <v>109</v>
      </c>
      <c r="O16" s="2270" t="s">
        <v>110</v>
      </c>
      <c r="P16" s="2269" t="s">
        <v>109</v>
      </c>
      <c r="Q16" s="2270" t="s">
        <v>110</v>
      </c>
      <c r="R16" s="2269" t="s">
        <v>109</v>
      </c>
      <c r="S16" s="2269" t="s">
        <v>109</v>
      </c>
      <c r="T16" s="2270" t="s">
        <v>110</v>
      </c>
    </row>
    <row r="17" ht="18.75" customHeight="1">
      <c r="A17" s="147"/>
      <c r="B17" s="644"/>
      <c r="C17" s="2273" t="s">
        <v>1278</v>
      </c>
      <c r="D17" s="2269" t="s">
        <v>108</v>
      </c>
      <c r="E17" s="2269" t="s">
        <v>108</v>
      </c>
      <c r="F17" s="2269" t="s">
        <v>108</v>
      </c>
      <c r="G17" s="2269" t="s">
        <v>108</v>
      </c>
      <c r="H17" s="2269" t="s">
        <v>108</v>
      </c>
      <c r="I17" s="2270" t="s">
        <v>108</v>
      </c>
      <c r="J17" s="2270" t="s">
        <v>109</v>
      </c>
      <c r="K17" s="2269" t="s">
        <v>109</v>
      </c>
      <c r="L17" s="2269" t="s">
        <v>110</v>
      </c>
      <c r="M17" s="2269" t="s">
        <v>110</v>
      </c>
      <c r="N17" s="2269" t="s">
        <v>109</v>
      </c>
      <c r="O17" s="2270" t="s">
        <v>110</v>
      </c>
      <c r="P17" s="2269" t="s">
        <v>109</v>
      </c>
      <c r="Q17" s="2270" t="s">
        <v>110</v>
      </c>
      <c r="R17" s="2269" t="s">
        <v>109</v>
      </c>
      <c r="S17" s="2269" t="s">
        <v>110</v>
      </c>
      <c r="T17" s="2270" t="s">
        <v>110</v>
      </c>
    </row>
    <row r="18" ht="18.75" customHeight="1">
      <c r="A18" s="147"/>
      <c r="B18" s="644"/>
      <c r="C18" s="2273" t="s">
        <v>1282</v>
      </c>
      <c r="D18" s="2269" t="s">
        <v>110</v>
      </c>
      <c r="E18" s="2269" t="s">
        <v>110</v>
      </c>
      <c r="F18" s="2269" t="s">
        <v>110</v>
      </c>
      <c r="G18" s="2269" t="s">
        <v>110</v>
      </c>
      <c r="H18" s="2269" t="s">
        <v>109</v>
      </c>
      <c r="I18" s="2270" t="s">
        <v>110</v>
      </c>
      <c r="J18" s="2270" t="s">
        <v>109</v>
      </c>
      <c r="K18" s="2269" t="s">
        <v>108</v>
      </c>
      <c r="L18" s="2269" t="s">
        <v>108</v>
      </c>
      <c r="M18" s="2269" t="s">
        <v>108</v>
      </c>
      <c r="N18" s="2269" t="s">
        <v>108</v>
      </c>
      <c r="O18" s="2270" t="s">
        <v>108</v>
      </c>
      <c r="P18" s="2269" t="s">
        <v>110</v>
      </c>
      <c r="Q18" s="2270" t="s">
        <v>110</v>
      </c>
      <c r="R18" s="2269" t="s">
        <v>109</v>
      </c>
      <c r="S18" s="2269" t="s">
        <v>110</v>
      </c>
      <c r="T18" s="2270" t="s">
        <v>110</v>
      </c>
    </row>
    <row r="19" ht="18.75" customHeight="1">
      <c r="A19" s="147"/>
      <c r="B19" s="644"/>
      <c r="C19" s="2273" t="s">
        <v>1286</v>
      </c>
      <c r="D19" s="2269" t="s">
        <v>110</v>
      </c>
      <c r="E19" s="2269" t="s">
        <v>110</v>
      </c>
      <c r="F19" s="2269" t="s">
        <v>110</v>
      </c>
      <c r="G19" s="2269" t="s">
        <v>110</v>
      </c>
      <c r="H19" s="2269" t="s">
        <v>109</v>
      </c>
      <c r="I19" s="2270" t="s">
        <v>110</v>
      </c>
      <c r="J19" s="2270" t="s">
        <v>109</v>
      </c>
      <c r="K19" s="2269" t="s">
        <v>108</v>
      </c>
      <c r="L19" s="2269" t="s">
        <v>108</v>
      </c>
      <c r="M19" s="2269" t="s">
        <v>108</v>
      </c>
      <c r="N19" s="2269" t="s">
        <v>108</v>
      </c>
      <c r="O19" s="2270" t="s">
        <v>108</v>
      </c>
      <c r="P19" s="2269" t="s">
        <v>110</v>
      </c>
      <c r="Q19" s="2270" t="s">
        <v>110</v>
      </c>
      <c r="R19" s="2269" t="s">
        <v>109</v>
      </c>
      <c r="S19" s="2269" t="s">
        <v>109</v>
      </c>
      <c r="T19" s="2270" t="s">
        <v>110</v>
      </c>
    </row>
    <row r="20" ht="18.75" customHeight="1">
      <c r="A20" s="159"/>
      <c r="B20" s="658"/>
      <c r="C20" s="2496" t="s">
        <v>1285</v>
      </c>
      <c r="D20" s="2269" t="s">
        <v>110</v>
      </c>
      <c r="E20" s="2269" t="s">
        <v>110</v>
      </c>
      <c r="F20" s="2269" t="s">
        <v>110</v>
      </c>
      <c r="G20" s="2269" t="s">
        <v>110</v>
      </c>
      <c r="H20" s="2269" t="s">
        <v>109</v>
      </c>
      <c r="I20" s="2270" t="s">
        <v>110</v>
      </c>
      <c r="J20" s="2270" t="s">
        <v>109</v>
      </c>
      <c r="K20" s="2269" t="s">
        <v>109</v>
      </c>
      <c r="L20" s="2269" t="s">
        <v>110</v>
      </c>
      <c r="M20" s="2269" t="s">
        <v>110</v>
      </c>
      <c r="N20" s="2269" t="s">
        <v>109</v>
      </c>
      <c r="O20" s="2270" t="s">
        <v>110</v>
      </c>
      <c r="P20" s="2269" t="s">
        <v>109</v>
      </c>
      <c r="Q20" s="2270" t="s">
        <v>110</v>
      </c>
      <c r="R20" s="2269" t="s">
        <v>109</v>
      </c>
      <c r="S20" s="2269" t="s">
        <v>109</v>
      </c>
      <c r="T20" s="2270" t="s">
        <v>117</v>
      </c>
    </row>
    <row r="21" ht="9.75" customHeight="1">
      <c r="A21" s="2300"/>
      <c r="B21" s="2301"/>
      <c r="C21" s="2301"/>
      <c r="D21" s="1988" t="str">
        <f t="shared" ref="D21:T21" si="1">LINKURL(D5)</f>
        <v>https://www.reddit.com/r/RMTK/comments/axlw0k</v>
      </c>
      <c r="E21" s="1988" t="str">
        <f t="shared" si="1"/>
        <v>https://www.reddit.com/r/RMTK/comments/ay3ege</v>
      </c>
      <c r="F21" s="1988" t="str">
        <f t="shared" si="1"/>
        <v>https://www.reddit.com/r/RMTK/comments/axb6a2</v>
      </c>
      <c r="G21" s="1988" t="str">
        <f t="shared" si="1"/>
        <v>https://www.reddit.com/r/RMTK/comments/axyq3e</v>
      </c>
      <c r="H21" s="1988" t="str">
        <f t="shared" si="1"/>
        <v>https://www.reddit.com/r/RMTK/comments/ayfy8u</v>
      </c>
      <c r="I21" s="2103" t="str">
        <f t="shared" si="1"/>
        <v>https://www.reddit.com/r/RMTK/comments/aygvku</v>
      </c>
      <c r="J21" s="2103" t="str">
        <f t="shared" si="1"/>
        <v>https://www.reddit.com/r/RMTK/comments/bbclrd</v>
      </c>
      <c r="K21" s="1988" t="str">
        <f t="shared" si="1"/>
        <v>https://www.reddit.com/r/RMTK/comments/bdjnhg</v>
      </c>
      <c r="L21" s="1988" t="str">
        <f t="shared" si="1"/>
        <v>https://www.reddit.com/r/RMTK/comments/bdvyaj</v>
      </c>
      <c r="M21" s="1988" t="str">
        <f t="shared" si="1"/>
        <v>https://www.reddit.com/r/RMTK/comments/beaf0d</v>
      </c>
      <c r="N21" s="1988" t="str">
        <f t="shared" si="1"/>
        <v>https://www.reddit.com/r/RMTK/comments/beo0o2</v>
      </c>
      <c r="O21" s="2103" t="str">
        <f t="shared" si="1"/>
        <v>https://www.reddit.com/r/RMTK/comments/bdxiws</v>
      </c>
      <c r="P21" s="1988" t="str">
        <f t="shared" si="1"/>
        <v>https://www.reddit.com/r/RMTK/comments/bgkw11</v>
      </c>
      <c r="Q21" s="2103" t="str">
        <f t="shared" si="1"/>
        <v>https://www.reddit.com/r/RMTK/comments/bgyk5e</v>
      </c>
      <c r="R21" s="1988" t="str">
        <f t="shared" si="1"/>
        <v>https://www.reddit.com/r/RMTK/comments/biskko</v>
      </c>
      <c r="S21" s="1988" t="str">
        <f t="shared" si="1"/>
        <v>https://www.reddit.com/r/RMTK/comments/bjxm9b</v>
      </c>
      <c r="T21" s="2103" t="str">
        <f t="shared" si="1"/>
        <v>https://www.reddit.com/r/RMTK/comments/bjym6d</v>
      </c>
    </row>
    <row r="22" ht="18.75" customHeight="1">
      <c r="A22" s="2307" t="s">
        <v>147</v>
      </c>
      <c r="B22" s="2308" t="s">
        <v>446</v>
      </c>
      <c r="C22" s="2497" t="s">
        <v>617</v>
      </c>
      <c r="D22" s="2269" t="s">
        <v>110</v>
      </c>
      <c r="E22" s="2269" t="s">
        <v>109</v>
      </c>
      <c r="F22" s="2269" t="s">
        <v>110</v>
      </c>
      <c r="G22" s="2269" t="s">
        <v>110</v>
      </c>
      <c r="H22" s="2269" t="s">
        <v>110</v>
      </c>
      <c r="I22" s="2270" t="s">
        <v>110</v>
      </c>
      <c r="J22" s="2270" t="s">
        <v>110</v>
      </c>
      <c r="K22" s="2269" t="s">
        <v>117</v>
      </c>
      <c r="L22" s="2269" t="s">
        <v>110</v>
      </c>
      <c r="M22" s="2269" t="s">
        <v>110</v>
      </c>
      <c r="N22" s="2269" t="s">
        <v>109</v>
      </c>
      <c r="O22" s="2270" t="s">
        <v>110</v>
      </c>
      <c r="P22" s="2269" t="s">
        <v>110</v>
      </c>
      <c r="Q22" s="2270" t="s">
        <v>110</v>
      </c>
      <c r="R22" s="2269" t="s">
        <v>110</v>
      </c>
      <c r="S22" s="2269" t="s">
        <v>110</v>
      </c>
      <c r="T22" s="2270" t="s">
        <v>110</v>
      </c>
    </row>
    <row r="23" ht="18.75" customHeight="1">
      <c r="A23" s="147"/>
      <c r="B23" s="644"/>
      <c r="C23" s="2310" t="s">
        <v>153</v>
      </c>
      <c r="D23" s="2269" t="s">
        <v>110</v>
      </c>
      <c r="E23" s="2269" t="s">
        <v>109</v>
      </c>
      <c r="F23" s="2269" t="s">
        <v>110</v>
      </c>
      <c r="G23" s="2269" t="s">
        <v>110</v>
      </c>
      <c r="H23" s="2269" t="s">
        <v>110</v>
      </c>
      <c r="I23" s="2270" t="s">
        <v>110</v>
      </c>
      <c r="J23" s="2270" t="s">
        <v>110</v>
      </c>
      <c r="K23" s="2269" t="s">
        <v>110</v>
      </c>
      <c r="L23" s="2269" t="s">
        <v>110</v>
      </c>
      <c r="M23" s="2269" t="s">
        <v>110</v>
      </c>
      <c r="N23" s="2269" t="s">
        <v>110</v>
      </c>
      <c r="O23" s="2270" t="s">
        <v>110</v>
      </c>
      <c r="P23" s="2269" t="s">
        <v>110</v>
      </c>
      <c r="Q23" s="2270" t="s">
        <v>110</v>
      </c>
      <c r="R23" s="2269" t="s">
        <v>110</v>
      </c>
      <c r="S23" s="2269" t="s">
        <v>110</v>
      </c>
      <c r="T23" s="2270" t="s">
        <v>110</v>
      </c>
    </row>
    <row r="24" ht="18.75" customHeight="1">
      <c r="A24" s="147"/>
      <c r="B24" s="644"/>
      <c r="C24" s="2311" t="s">
        <v>621</v>
      </c>
      <c r="D24" s="2269" t="s">
        <v>110</v>
      </c>
      <c r="E24" s="2269" t="s">
        <v>109</v>
      </c>
      <c r="F24" s="2269" t="s">
        <v>110</v>
      </c>
      <c r="G24" s="2269" t="s">
        <v>110</v>
      </c>
      <c r="H24" s="2269" t="s">
        <v>110</v>
      </c>
      <c r="I24" s="2270" t="s">
        <v>110</v>
      </c>
      <c r="J24" s="2270" t="s">
        <v>110</v>
      </c>
      <c r="K24" s="2269" t="s">
        <v>109</v>
      </c>
      <c r="L24" s="2269" t="s">
        <v>110</v>
      </c>
      <c r="M24" s="2269" t="s">
        <v>110</v>
      </c>
      <c r="N24" s="2269" t="s">
        <v>109</v>
      </c>
      <c r="O24" s="2270" t="s">
        <v>110</v>
      </c>
      <c r="P24" s="2269" t="s">
        <v>110</v>
      </c>
      <c r="Q24" s="2270" t="s">
        <v>110</v>
      </c>
      <c r="R24" s="2269" t="s">
        <v>110</v>
      </c>
      <c r="S24" s="2269" t="s">
        <v>110</v>
      </c>
      <c r="T24" s="2270" t="s">
        <v>110</v>
      </c>
    </row>
    <row r="25" ht="18.75" customHeight="1">
      <c r="A25" s="147"/>
      <c r="B25" s="644"/>
      <c r="C25" s="2498" t="s">
        <v>1292</v>
      </c>
      <c r="D25" s="2269" t="s">
        <v>110</v>
      </c>
      <c r="E25" s="2269" t="s">
        <v>109</v>
      </c>
      <c r="F25" s="2269" t="s">
        <v>110</v>
      </c>
      <c r="G25" s="2269" t="s">
        <v>110</v>
      </c>
      <c r="H25" s="2269" t="s">
        <v>110</v>
      </c>
      <c r="I25" s="2270" t="s">
        <v>110</v>
      </c>
      <c r="J25" s="2270" t="s">
        <v>108</v>
      </c>
      <c r="K25" s="2269" t="s">
        <v>109</v>
      </c>
      <c r="L25" s="2269" t="s">
        <v>110</v>
      </c>
      <c r="M25" s="2269" t="s">
        <v>110</v>
      </c>
      <c r="N25" s="2269" t="s">
        <v>110</v>
      </c>
      <c r="O25" s="2270" t="s">
        <v>110</v>
      </c>
      <c r="P25" s="2269" t="s">
        <v>110</v>
      </c>
      <c r="Q25" s="2270" t="s">
        <v>110</v>
      </c>
      <c r="R25" s="2269" t="s">
        <v>110</v>
      </c>
      <c r="S25" s="2269" t="s">
        <v>110</v>
      </c>
      <c r="T25" s="2270" t="s">
        <v>110</v>
      </c>
    </row>
    <row r="26" ht="18.75" customHeight="1">
      <c r="A26" s="147"/>
      <c r="B26" s="644"/>
      <c r="C26" s="2313" t="s">
        <v>629</v>
      </c>
      <c r="D26" s="2269" t="s">
        <v>110</v>
      </c>
      <c r="E26" s="2269" t="s">
        <v>109</v>
      </c>
      <c r="F26" s="2269" t="s">
        <v>110</v>
      </c>
      <c r="G26" s="2269" t="s">
        <v>110</v>
      </c>
      <c r="H26" s="2269" t="s">
        <v>110</v>
      </c>
      <c r="I26" s="2270" t="s">
        <v>110</v>
      </c>
      <c r="J26" s="2270" t="s">
        <v>110</v>
      </c>
      <c r="K26" s="2269" t="s">
        <v>109</v>
      </c>
      <c r="L26" s="2269" t="s">
        <v>110</v>
      </c>
      <c r="M26" s="2269" t="s">
        <v>110</v>
      </c>
      <c r="N26" s="2269" t="s">
        <v>109</v>
      </c>
      <c r="O26" s="2270" t="s">
        <v>110</v>
      </c>
      <c r="P26" s="2269" t="s">
        <v>110</v>
      </c>
      <c r="Q26" s="2270" t="s">
        <v>110</v>
      </c>
      <c r="R26" s="2269" t="s">
        <v>110</v>
      </c>
      <c r="S26" s="2269" t="s">
        <v>110</v>
      </c>
      <c r="T26" s="2270" t="s">
        <v>110</v>
      </c>
    </row>
    <row r="27" ht="18.75" customHeight="1">
      <c r="A27" s="147"/>
      <c r="B27" s="658"/>
      <c r="C27" s="2499" t="s">
        <v>631</v>
      </c>
      <c r="D27" s="2269" t="s">
        <v>110</v>
      </c>
      <c r="E27" s="2269" t="s">
        <v>109</v>
      </c>
      <c r="F27" s="2269" t="s">
        <v>110</v>
      </c>
      <c r="G27" s="2269" t="s">
        <v>110</v>
      </c>
      <c r="H27" s="2269" t="s">
        <v>110</v>
      </c>
      <c r="I27" s="2270" t="s">
        <v>110</v>
      </c>
      <c r="J27" s="2270" t="s">
        <v>110</v>
      </c>
      <c r="K27" s="2269" t="s">
        <v>109</v>
      </c>
      <c r="L27" s="2269" t="s">
        <v>110</v>
      </c>
      <c r="M27" s="2269" t="s">
        <v>110</v>
      </c>
      <c r="N27" s="2269" t="s">
        <v>109</v>
      </c>
      <c r="O27" s="2270" t="s">
        <v>110</v>
      </c>
      <c r="P27" s="2269" t="s">
        <v>110</v>
      </c>
      <c r="Q27" s="2270" t="s">
        <v>110</v>
      </c>
      <c r="R27" s="2269" t="s">
        <v>110</v>
      </c>
      <c r="S27" s="2269" t="s">
        <v>110</v>
      </c>
      <c r="T27" s="2270" t="s">
        <v>110</v>
      </c>
    </row>
    <row r="28" ht="18.75" customHeight="1">
      <c r="A28" s="147"/>
      <c r="B28" s="2293" t="s">
        <v>449</v>
      </c>
      <c r="C28" s="2500" t="s">
        <v>1267</v>
      </c>
      <c r="D28" s="2269" t="s">
        <v>110</v>
      </c>
      <c r="E28" s="2269" t="s">
        <v>109</v>
      </c>
      <c r="F28" s="2269" t="s">
        <v>110</v>
      </c>
      <c r="G28" s="2269" t="s">
        <v>110</v>
      </c>
      <c r="H28" s="2269" t="s">
        <v>110</v>
      </c>
      <c r="I28" s="2270" t="s">
        <v>110</v>
      </c>
      <c r="J28" s="2270" t="s">
        <v>108</v>
      </c>
      <c r="K28" s="2269" t="s">
        <v>108</v>
      </c>
      <c r="L28" s="2269" t="s">
        <v>108</v>
      </c>
      <c r="M28" s="2269" t="s">
        <v>108</v>
      </c>
      <c r="N28" s="2269" t="s">
        <v>108</v>
      </c>
      <c r="O28" s="2270" t="s">
        <v>108</v>
      </c>
      <c r="P28" s="2269" t="s">
        <v>119</v>
      </c>
      <c r="Q28" s="2270" t="s">
        <v>119</v>
      </c>
      <c r="R28" s="2269" t="s">
        <v>119</v>
      </c>
      <c r="S28" s="2269" t="s">
        <v>119</v>
      </c>
      <c r="T28" s="2269" t="s">
        <v>119</v>
      </c>
    </row>
    <row r="29" ht="18.75" customHeight="1">
      <c r="A29" s="147"/>
      <c r="B29" s="147"/>
      <c r="C29" s="2294" t="s">
        <v>44</v>
      </c>
      <c r="D29" s="2269" t="s">
        <v>119</v>
      </c>
      <c r="E29" s="2269" t="s">
        <v>119</v>
      </c>
      <c r="F29" s="2269" t="s">
        <v>119</v>
      </c>
      <c r="G29" s="2269" t="s">
        <v>119</v>
      </c>
      <c r="H29" s="2269" t="s">
        <v>119</v>
      </c>
      <c r="I29" s="2270" t="s">
        <v>119</v>
      </c>
      <c r="J29" s="2270" t="s">
        <v>119</v>
      </c>
      <c r="K29" s="2269" t="s">
        <v>119</v>
      </c>
      <c r="L29" s="2269" t="s">
        <v>119</v>
      </c>
      <c r="M29" s="2269" t="s">
        <v>119</v>
      </c>
      <c r="N29" s="2269" t="s">
        <v>119</v>
      </c>
      <c r="O29" s="2270" t="s">
        <v>119</v>
      </c>
      <c r="P29" s="2269" t="s">
        <v>110</v>
      </c>
      <c r="Q29" s="2270" t="s">
        <v>109</v>
      </c>
      <c r="R29" s="2269" t="s">
        <v>110</v>
      </c>
      <c r="S29" s="2269" t="s">
        <v>110</v>
      </c>
      <c r="T29" s="2270" t="s">
        <v>110</v>
      </c>
    </row>
    <row r="30" ht="18.75" customHeight="1">
      <c r="A30" s="147"/>
      <c r="B30" s="147"/>
      <c r="C30" s="2295" t="s">
        <v>299</v>
      </c>
      <c r="D30" s="2269" t="s">
        <v>110</v>
      </c>
      <c r="E30" s="2269" t="s">
        <v>109</v>
      </c>
      <c r="F30" s="2269" t="s">
        <v>110</v>
      </c>
      <c r="G30" s="2269" t="s">
        <v>110</v>
      </c>
      <c r="H30" s="2269" t="s">
        <v>110</v>
      </c>
      <c r="I30" s="2270" t="s">
        <v>110</v>
      </c>
      <c r="J30" s="2270" t="s">
        <v>109</v>
      </c>
      <c r="K30" s="2269" t="s">
        <v>109</v>
      </c>
      <c r="L30" s="2269" t="s">
        <v>109</v>
      </c>
      <c r="M30" s="2269" t="s">
        <v>110</v>
      </c>
      <c r="N30" s="2269" t="s">
        <v>110</v>
      </c>
      <c r="O30" s="2270" t="s">
        <v>110</v>
      </c>
      <c r="P30" s="2269" t="s">
        <v>110</v>
      </c>
      <c r="Q30" s="2270" t="s">
        <v>109</v>
      </c>
      <c r="R30" s="2269" t="s">
        <v>110</v>
      </c>
      <c r="S30" s="2269" t="s">
        <v>110</v>
      </c>
      <c r="T30" s="2270" t="s">
        <v>110</v>
      </c>
    </row>
    <row r="31" ht="18.75" customHeight="1">
      <c r="A31" s="147"/>
      <c r="B31" s="159"/>
      <c r="C31" s="2501" t="s">
        <v>154</v>
      </c>
      <c r="D31" s="2269" t="s">
        <v>110</v>
      </c>
      <c r="E31" s="2269" t="s">
        <v>109</v>
      </c>
      <c r="F31" s="2269" t="s">
        <v>110</v>
      </c>
      <c r="G31" s="2269" t="s">
        <v>110</v>
      </c>
      <c r="H31" s="2269" t="s">
        <v>110</v>
      </c>
      <c r="I31" s="2270" t="s">
        <v>110</v>
      </c>
      <c r="J31" s="2270" t="s">
        <v>109</v>
      </c>
      <c r="K31" s="2269" t="s">
        <v>109</v>
      </c>
      <c r="L31" s="2269" t="s">
        <v>109</v>
      </c>
      <c r="M31" s="2269" t="s">
        <v>110</v>
      </c>
      <c r="N31" s="2269" t="s">
        <v>110</v>
      </c>
      <c r="O31" s="2270" t="s">
        <v>110</v>
      </c>
      <c r="P31" s="2269" t="s">
        <v>110</v>
      </c>
      <c r="Q31" s="2270" t="s">
        <v>109</v>
      </c>
      <c r="R31" s="2269" t="s">
        <v>110</v>
      </c>
      <c r="S31" s="2269" t="s">
        <v>110</v>
      </c>
      <c r="T31" s="2270" t="s">
        <v>110</v>
      </c>
    </row>
    <row r="32" ht="18.75" customHeight="1">
      <c r="A32" s="147"/>
      <c r="B32" s="2469" t="s">
        <v>452</v>
      </c>
      <c r="C32" s="2316" t="s">
        <v>1245</v>
      </c>
      <c r="D32" s="2269" t="s">
        <v>108</v>
      </c>
      <c r="E32" s="2269" t="s">
        <v>108</v>
      </c>
      <c r="F32" s="2269" t="s">
        <v>108</v>
      </c>
      <c r="G32" s="2269" t="s">
        <v>108</v>
      </c>
      <c r="H32" s="2269" t="s">
        <v>108</v>
      </c>
      <c r="I32" s="2270" t="s">
        <v>108</v>
      </c>
      <c r="J32" s="2270" t="s">
        <v>109</v>
      </c>
      <c r="K32" s="2269" t="s">
        <v>109</v>
      </c>
      <c r="L32" s="2269" t="s">
        <v>110</v>
      </c>
      <c r="M32" s="2269" t="s">
        <v>109</v>
      </c>
      <c r="N32" s="2269" t="s">
        <v>109</v>
      </c>
      <c r="O32" s="2270" t="s">
        <v>110</v>
      </c>
      <c r="P32" s="2269" t="s">
        <v>110</v>
      </c>
      <c r="Q32" s="2270" t="s">
        <v>109</v>
      </c>
      <c r="R32" s="2269" t="s">
        <v>108</v>
      </c>
      <c r="S32" s="2269" t="s">
        <v>108</v>
      </c>
      <c r="T32" s="2270" t="s">
        <v>108</v>
      </c>
    </row>
    <row r="33" ht="18.75" customHeight="1">
      <c r="A33" s="147"/>
      <c r="B33" s="2296" t="s">
        <v>456</v>
      </c>
      <c r="C33" s="2297" t="s">
        <v>118</v>
      </c>
      <c r="D33" s="2269" t="s">
        <v>110</v>
      </c>
      <c r="E33" s="2269" t="s">
        <v>117</v>
      </c>
      <c r="F33" s="2269" t="s">
        <v>110</v>
      </c>
      <c r="G33" s="2269" t="s">
        <v>110</v>
      </c>
      <c r="H33" s="2269" t="s">
        <v>109</v>
      </c>
      <c r="I33" s="2270" t="s">
        <v>109</v>
      </c>
      <c r="J33" s="2270" t="s">
        <v>108</v>
      </c>
      <c r="K33" s="2269" t="s">
        <v>109</v>
      </c>
      <c r="L33" s="2269" t="s">
        <v>110</v>
      </c>
      <c r="M33" s="2269" t="s">
        <v>110</v>
      </c>
      <c r="N33" s="2269" t="s">
        <v>117</v>
      </c>
      <c r="O33" s="2270" t="s">
        <v>110</v>
      </c>
      <c r="P33" s="2269" t="s">
        <v>110</v>
      </c>
      <c r="Q33" s="2270" t="s">
        <v>110</v>
      </c>
      <c r="R33" s="2269" t="s">
        <v>110</v>
      </c>
      <c r="S33" s="2269" t="s">
        <v>117</v>
      </c>
      <c r="T33" s="2270" t="s">
        <v>110</v>
      </c>
    </row>
    <row r="34" ht="18.75" customHeight="1">
      <c r="A34" s="147"/>
      <c r="B34" s="2470" t="s">
        <v>458</v>
      </c>
      <c r="C34" s="2471" t="s">
        <v>155</v>
      </c>
      <c r="D34" s="2269" t="s">
        <v>110</v>
      </c>
      <c r="E34" s="2269" t="s">
        <v>109</v>
      </c>
      <c r="F34" s="2269" t="s">
        <v>110</v>
      </c>
      <c r="G34" s="2269" t="s">
        <v>109</v>
      </c>
      <c r="H34" s="2269" t="s">
        <v>109</v>
      </c>
      <c r="I34" s="2270" t="s">
        <v>109</v>
      </c>
      <c r="J34" s="2270" t="s">
        <v>110</v>
      </c>
      <c r="K34" s="2269" t="s">
        <v>109</v>
      </c>
      <c r="L34" s="2269" t="s">
        <v>110</v>
      </c>
      <c r="M34" s="2269" t="s">
        <v>109</v>
      </c>
      <c r="N34" s="2269" t="s">
        <v>109</v>
      </c>
      <c r="O34" s="2270" t="s">
        <v>109</v>
      </c>
      <c r="P34" s="2269" t="s">
        <v>108</v>
      </c>
      <c r="Q34" s="2270" t="s">
        <v>108</v>
      </c>
      <c r="R34" s="2269" t="s">
        <v>110</v>
      </c>
      <c r="S34" s="2269" t="s">
        <v>109</v>
      </c>
      <c r="T34" s="2270" t="s">
        <v>110</v>
      </c>
    </row>
    <row r="35" ht="11.25" customHeight="1">
      <c r="A35" s="2323"/>
      <c r="B35" s="2324"/>
      <c r="C35" s="2478"/>
      <c r="D35" s="2007" t="str">
        <f t="shared" ref="D35:T35" si="2">CONCATENATE("{""status"": ", IF(GT(D36, D37), """aangenomen""", """verworpen"""), ", ""title"": """, D5, """, ""url"": """,D21  , """, ""voor"":", D36,", ""tegen"": ", D37, ", ""onthouden"":", D38, "}")</f>
        <v>{"status": "aangenomen", "title": "M0040", "url": "https://www.reddit.com/r/RMTK/comments/axlw0k", "voor":21, "tegen": 1, "onthouden":0}</v>
      </c>
      <c r="E35" s="2007" t="str">
        <f t="shared" si="2"/>
        <v>{"status": "verworpen", "title": "M0041", "url": "https://www.reddit.com/r/RMTK/comments/ay3ege", "voor":6, "tegen": 15, "onthouden":1}</v>
      </c>
      <c r="F35" s="2007" t="str">
        <f t="shared" si="2"/>
        <v>{"status": "aangenomen", "title": "W0012", "url": "https://www.reddit.com/r/RMTK/comments/axb6a2", "voor":18, "tegen": 4, "onthouden":0}</v>
      </c>
      <c r="G35" s="2007" t="str">
        <f t="shared" si="2"/>
        <v>{"status": "aangenomen", "title": "W0013", "url": "https://www.reddit.com/r/RMTK/comments/axyq3e", "voor":21, "tegen": 1, "onthouden":0}</v>
      </c>
      <c r="H35" s="2007" t="str">
        <f t="shared" si="2"/>
        <v>{"status": "verworpen", "title": "W0014", "url": "https://www.reddit.com/r/RMTK/comments/ayfy8u", "voor":10, "tegen": 12, "onthouden":0}</v>
      </c>
      <c r="I35" s="2007" t="str">
        <f t="shared" si="2"/>
        <v>{"status": "aangenomen", "title": "W0015", "url": "https://www.reddit.com/r/RMTK/comments/aygvku", "voor":20, "tegen": 2, "onthouden":0}</v>
      </c>
      <c r="J35" s="2007" t="str">
        <f t="shared" si="2"/>
        <v>{"status": "verworpen", "title": "W0016", "url": "https://www.reddit.com/r/RMTK/comments/bbclrd", "voor":6, "tegen": 15, "onthouden":1}</v>
      </c>
      <c r="K35" s="2007" t="str">
        <f t="shared" si="2"/>
        <v>{"status": "verworpen", "title": "M0043", "url": "https://www.reddit.com/r/RMTK/comments/bdjnhg", "voor":1, "tegen": 20, "onthouden":1}</v>
      </c>
      <c r="L35" s="2007" t="str">
        <f t="shared" si="2"/>
        <v>{"status": "aangenomen", "title": "M0044", "url": "https://www.reddit.com/r/RMTK/comments/bdvyaj", "voor":18, "tegen": 4, "onthouden":0}</v>
      </c>
      <c r="M35" s="2007" t="str">
        <f t="shared" si="2"/>
        <v>{"status": "aangenomen", "title": "M0045", "url": "https://www.reddit.com/r/RMTK/comments/beaf0d", "voor":13, "tegen": 8, "onthouden":1}</v>
      </c>
      <c r="N35" s="2007" t="str">
        <f t="shared" si="2"/>
        <v>{"status": "verworpen", "title": "M0046", "url": "https://www.reddit.com/r/RMTK/comments/beo0o2", "voor":4, "tegen": 17, "onthouden":1}</v>
      </c>
      <c r="O35" s="2007" t="str">
        <f t="shared" si="2"/>
        <v>{"status": "aangenomen", "title": "W0017", "url": "https://www.reddit.com/r/RMTK/comments/bdxiws", "voor":21, "tegen": 1, "onthouden":0}</v>
      </c>
      <c r="P35" s="2007" t="str">
        <f t="shared" si="2"/>
        <v>{"status": "aangenomen", "title": "M0047", "url": "https://www.reddit.com/r/RMTK/comments/bgkw11", "voor":18, "tegen": 6, "onthouden":0}</v>
      </c>
      <c r="Q35" s="2007" t="str">
        <f t="shared" si="2"/>
        <v>{"status": "aangenomen", "title": "M0048", "url": "https://www.reddit.com/r/RMTK/comments/bgyk5e", "voor":16, "tegen": 8, "onthouden":0}</v>
      </c>
      <c r="R35" s="2007" t="str">
        <f t="shared" si="2"/>
        <v>{"status": "verworpen", "title": "M0049", "url": "https://www.reddit.com/r/RMTK/comments/biskko", "voor":11, "tegen": 13, "onthouden":0}</v>
      </c>
      <c r="S35" s="2007" t="str">
        <f t="shared" si="2"/>
        <v>{"status": "aangenomen", "title": "M0050", "url": "https://www.reddit.com/r/RMTK/comments/bjxm9b", "voor":17, "tegen": 6, "onthouden":1}</v>
      </c>
      <c r="T35" s="2007" t="str">
        <f t="shared" si="2"/>
        <v>{"status": "aangenomen", "title": "W0018-I", "url": "https://www.reddit.com/r/RMTK/comments/bjym6d", "voor":23, "tegen": 0, "onthouden":1}</v>
      </c>
    </row>
    <row r="36" ht="18.0" customHeight="1">
      <c r="A36" s="2332" t="s">
        <v>158</v>
      </c>
      <c r="B36" s="2333" t="s">
        <v>110</v>
      </c>
      <c r="C36" s="44"/>
      <c r="D36" s="2334">
        <f t="shared" ref="D36:T36" si="3">COUNTIF(D5:D34,"Voor")</f>
        <v>21</v>
      </c>
      <c r="E36" s="2334">
        <f t="shared" si="3"/>
        <v>6</v>
      </c>
      <c r="F36" s="2334">
        <f t="shared" si="3"/>
        <v>18</v>
      </c>
      <c r="G36" s="2334">
        <f t="shared" si="3"/>
        <v>21</v>
      </c>
      <c r="H36" s="2334">
        <f t="shared" si="3"/>
        <v>10</v>
      </c>
      <c r="I36" s="2334">
        <f t="shared" si="3"/>
        <v>20</v>
      </c>
      <c r="J36" s="2334">
        <f t="shared" si="3"/>
        <v>6</v>
      </c>
      <c r="K36" s="2334">
        <f t="shared" si="3"/>
        <v>1</v>
      </c>
      <c r="L36" s="2334">
        <f t="shared" si="3"/>
        <v>18</v>
      </c>
      <c r="M36" s="2334">
        <f t="shared" si="3"/>
        <v>13</v>
      </c>
      <c r="N36" s="2334">
        <f t="shared" si="3"/>
        <v>4</v>
      </c>
      <c r="O36" s="2334">
        <f t="shared" si="3"/>
        <v>21</v>
      </c>
      <c r="P36" s="2334">
        <f t="shared" si="3"/>
        <v>18</v>
      </c>
      <c r="Q36" s="2334">
        <f t="shared" si="3"/>
        <v>16</v>
      </c>
      <c r="R36" s="2334">
        <f t="shared" si="3"/>
        <v>11</v>
      </c>
      <c r="S36" s="2334">
        <f t="shared" si="3"/>
        <v>17</v>
      </c>
      <c r="T36" s="2334">
        <f t="shared" si="3"/>
        <v>23</v>
      </c>
    </row>
    <row r="37" ht="18.75" customHeight="1">
      <c r="A37" s="44"/>
      <c r="B37" s="2338" t="s">
        <v>109</v>
      </c>
      <c r="C37" s="44"/>
      <c r="D37" s="2339">
        <f t="shared" ref="D37:T37" si="4">COUNTIF(D5:D34,"Tegen")</f>
        <v>1</v>
      </c>
      <c r="E37" s="2339">
        <f t="shared" si="4"/>
        <v>15</v>
      </c>
      <c r="F37" s="2339">
        <f t="shared" si="4"/>
        <v>4</v>
      </c>
      <c r="G37" s="2339">
        <f t="shared" si="4"/>
        <v>1</v>
      </c>
      <c r="H37" s="2339">
        <f t="shared" si="4"/>
        <v>12</v>
      </c>
      <c r="I37" s="2339">
        <f t="shared" si="4"/>
        <v>2</v>
      </c>
      <c r="J37" s="2339">
        <f t="shared" si="4"/>
        <v>15</v>
      </c>
      <c r="K37" s="2339">
        <f t="shared" si="4"/>
        <v>20</v>
      </c>
      <c r="L37" s="2339">
        <f t="shared" si="4"/>
        <v>4</v>
      </c>
      <c r="M37" s="2339">
        <f t="shared" si="4"/>
        <v>8</v>
      </c>
      <c r="N37" s="2339">
        <f t="shared" si="4"/>
        <v>17</v>
      </c>
      <c r="O37" s="2339">
        <f t="shared" si="4"/>
        <v>1</v>
      </c>
      <c r="P37" s="2339">
        <f t="shared" si="4"/>
        <v>6</v>
      </c>
      <c r="Q37" s="2339">
        <f t="shared" si="4"/>
        <v>8</v>
      </c>
      <c r="R37" s="2339">
        <f t="shared" si="4"/>
        <v>13</v>
      </c>
      <c r="S37" s="2339">
        <f t="shared" si="4"/>
        <v>6</v>
      </c>
      <c r="T37" s="2339">
        <f t="shared" si="4"/>
        <v>0</v>
      </c>
    </row>
    <row r="38" ht="18.75" customHeight="1">
      <c r="A38" s="44"/>
      <c r="B38" s="2343" t="s">
        <v>159</v>
      </c>
      <c r="C38" s="44"/>
      <c r="D38" s="2344">
        <f t="shared" ref="D38:T38" si="5">COUNTIF(D5:D34,"SO")</f>
        <v>0</v>
      </c>
      <c r="E38" s="2344">
        <f t="shared" si="5"/>
        <v>1</v>
      </c>
      <c r="F38" s="2344">
        <f t="shared" si="5"/>
        <v>0</v>
      </c>
      <c r="G38" s="2344">
        <f t="shared" si="5"/>
        <v>0</v>
      </c>
      <c r="H38" s="2344">
        <f t="shared" si="5"/>
        <v>0</v>
      </c>
      <c r="I38" s="2344">
        <f t="shared" si="5"/>
        <v>0</v>
      </c>
      <c r="J38" s="2344">
        <f t="shared" si="5"/>
        <v>1</v>
      </c>
      <c r="K38" s="2344">
        <f t="shared" si="5"/>
        <v>1</v>
      </c>
      <c r="L38" s="2344">
        <f t="shared" si="5"/>
        <v>0</v>
      </c>
      <c r="M38" s="2344">
        <f t="shared" si="5"/>
        <v>1</v>
      </c>
      <c r="N38" s="2344">
        <f t="shared" si="5"/>
        <v>1</v>
      </c>
      <c r="O38" s="2344">
        <f t="shared" si="5"/>
        <v>0</v>
      </c>
      <c r="P38" s="2344">
        <f t="shared" si="5"/>
        <v>0</v>
      </c>
      <c r="Q38" s="2344">
        <f t="shared" si="5"/>
        <v>0</v>
      </c>
      <c r="R38" s="2344">
        <f t="shared" si="5"/>
        <v>0</v>
      </c>
      <c r="S38" s="2344">
        <f t="shared" si="5"/>
        <v>1</v>
      </c>
      <c r="T38" s="2344">
        <f t="shared" si="5"/>
        <v>1</v>
      </c>
    </row>
    <row r="39" ht="18.75" customHeight="1">
      <c r="A39" s="44"/>
      <c r="B39" s="2348" t="s">
        <v>160</v>
      </c>
      <c r="C39" s="44"/>
      <c r="D39" s="2349">
        <f t="shared" ref="D39:T39" si="6">COUNTIF(D5:D34,"NG")</f>
        <v>3</v>
      </c>
      <c r="E39" s="2349">
        <f t="shared" si="6"/>
        <v>3</v>
      </c>
      <c r="F39" s="2349">
        <f t="shared" si="6"/>
        <v>3</v>
      </c>
      <c r="G39" s="2349">
        <f t="shared" si="6"/>
        <v>3</v>
      </c>
      <c r="H39" s="2349">
        <f t="shared" si="6"/>
        <v>3</v>
      </c>
      <c r="I39" s="2349">
        <f t="shared" si="6"/>
        <v>3</v>
      </c>
      <c r="J39" s="2349">
        <f t="shared" si="6"/>
        <v>3</v>
      </c>
      <c r="K39" s="2349">
        <f t="shared" si="6"/>
        <v>3</v>
      </c>
      <c r="L39" s="2349">
        <f t="shared" si="6"/>
        <v>3</v>
      </c>
      <c r="M39" s="2349">
        <f t="shared" si="6"/>
        <v>3</v>
      </c>
      <c r="N39" s="2349">
        <f t="shared" si="6"/>
        <v>3</v>
      </c>
      <c r="O39" s="2349">
        <f t="shared" si="6"/>
        <v>3</v>
      </c>
      <c r="P39" s="2349">
        <f t="shared" si="6"/>
        <v>1</v>
      </c>
      <c r="Q39" s="2349">
        <f t="shared" si="6"/>
        <v>1</v>
      </c>
      <c r="R39" s="2349">
        <f t="shared" si="6"/>
        <v>1</v>
      </c>
      <c r="S39" s="2349">
        <f t="shared" si="6"/>
        <v>1</v>
      </c>
      <c r="T39" s="2349">
        <f t="shared" si="6"/>
        <v>1</v>
      </c>
    </row>
    <row r="40" ht="18.75" customHeight="1">
      <c r="A40" s="44"/>
      <c r="B40" s="2353" t="s">
        <v>161</v>
      </c>
      <c r="C40" s="44"/>
      <c r="D40" s="2354">
        <f t="shared" ref="D40:T40" si="7">SUM(D36:D39)</f>
        <v>25</v>
      </c>
      <c r="E40" s="2354">
        <f t="shared" si="7"/>
        <v>25</v>
      </c>
      <c r="F40" s="2354">
        <f t="shared" si="7"/>
        <v>25</v>
      </c>
      <c r="G40" s="2354">
        <f t="shared" si="7"/>
        <v>25</v>
      </c>
      <c r="H40" s="2354">
        <f t="shared" si="7"/>
        <v>25</v>
      </c>
      <c r="I40" s="2354">
        <f t="shared" si="7"/>
        <v>25</v>
      </c>
      <c r="J40" s="2354">
        <f t="shared" si="7"/>
        <v>25</v>
      </c>
      <c r="K40" s="2354">
        <f t="shared" si="7"/>
        <v>25</v>
      </c>
      <c r="L40" s="2354">
        <f t="shared" si="7"/>
        <v>25</v>
      </c>
      <c r="M40" s="2354">
        <f t="shared" si="7"/>
        <v>25</v>
      </c>
      <c r="N40" s="2354">
        <f t="shared" si="7"/>
        <v>25</v>
      </c>
      <c r="O40" s="2354">
        <f t="shared" si="7"/>
        <v>25</v>
      </c>
      <c r="P40" s="2354">
        <f t="shared" si="7"/>
        <v>25</v>
      </c>
      <c r="Q40" s="2354">
        <f t="shared" si="7"/>
        <v>25</v>
      </c>
      <c r="R40" s="2354">
        <f t="shared" si="7"/>
        <v>25</v>
      </c>
      <c r="S40" s="2354">
        <f t="shared" si="7"/>
        <v>25</v>
      </c>
      <c r="T40" s="2354">
        <f t="shared" si="7"/>
        <v>25</v>
      </c>
    </row>
    <row r="41" ht="18.75" customHeight="1">
      <c r="A41" s="44"/>
      <c r="B41" s="2358" t="s">
        <v>162</v>
      </c>
      <c r="C41" s="44"/>
      <c r="D41" s="2359">
        <f t="shared" ref="D41:T41" si="8">D36+D37+D38</f>
        <v>22</v>
      </c>
      <c r="E41" s="2359">
        <f t="shared" si="8"/>
        <v>22</v>
      </c>
      <c r="F41" s="2359">
        <f t="shared" si="8"/>
        <v>22</v>
      </c>
      <c r="G41" s="2359">
        <f t="shared" si="8"/>
        <v>22</v>
      </c>
      <c r="H41" s="2359">
        <f t="shared" si="8"/>
        <v>22</v>
      </c>
      <c r="I41" s="2359">
        <f t="shared" si="8"/>
        <v>22</v>
      </c>
      <c r="J41" s="2359">
        <f t="shared" si="8"/>
        <v>22</v>
      </c>
      <c r="K41" s="2359">
        <f t="shared" si="8"/>
        <v>22</v>
      </c>
      <c r="L41" s="2359">
        <f t="shared" si="8"/>
        <v>22</v>
      </c>
      <c r="M41" s="2359">
        <f t="shared" si="8"/>
        <v>22</v>
      </c>
      <c r="N41" s="2359">
        <f t="shared" si="8"/>
        <v>22</v>
      </c>
      <c r="O41" s="2359">
        <f t="shared" si="8"/>
        <v>22</v>
      </c>
      <c r="P41" s="2359">
        <f t="shared" si="8"/>
        <v>24</v>
      </c>
      <c r="Q41" s="2359">
        <f t="shared" si="8"/>
        <v>24</v>
      </c>
      <c r="R41" s="2359">
        <f t="shared" si="8"/>
        <v>24</v>
      </c>
      <c r="S41" s="2359">
        <f t="shared" si="8"/>
        <v>24</v>
      </c>
      <c r="T41" s="2359">
        <f t="shared" si="8"/>
        <v>24</v>
      </c>
    </row>
    <row r="42" ht="18.75" customHeight="1">
      <c r="A42" s="230"/>
      <c r="B42" s="2363" t="s">
        <v>163</v>
      </c>
      <c r="C42" s="230"/>
      <c r="D42" s="2364">
        <f t="shared" ref="D42:T42" si="9">IFERROR(D41/D40,"")</f>
        <v>0.88</v>
      </c>
      <c r="E42" s="2364">
        <f t="shared" si="9"/>
        <v>0.88</v>
      </c>
      <c r="F42" s="2364">
        <f t="shared" si="9"/>
        <v>0.88</v>
      </c>
      <c r="G42" s="2364">
        <f t="shared" si="9"/>
        <v>0.88</v>
      </c>
      <c r="H42" s="2364">
        <f t="shared" si="9"/>
        <v>0.88</v>
      </c>
      <c r="I42" s="2364">
        <f t="shared" si="9"/>
        <v>0.88</v>
      </c>
      <c r="J42" s="2364">
        <f t="shared" si="9"/>
        <v>0.88</v>
      </c>
      <c r="K42" s="2364">
        <f t="shared" si="9"/>
        <v>0.88</v>
      </c>
      <c r="L42" s="2364">
        <f t="shared" si="9"/>
        <v>0.88</v>
      </c>
      <c r="M42" s="2364">
        <f t="shared" si="9"/>
        <v>0.88</v>
      </c>
      <c r="N42" s="2364">
        <f t="shared" si="9"/>
        <v>0.88</v>
      </c>
      <c r="O42" s="2364">
        <f t="shared" si="9"/>
        <v>0.88</v>
      </c>
      <c r="P42" s="2364">
        <f t="shared" si="9"/>
        <v>0.96</v>
      </c>
      <c r="Q42" s="2364">
        <f t="shared" si="9"/>
        <v>0.96</v>
      </c>
      <c r="R42" s="2364">
        <f t="shared" si="9"/>
        <v>0.96</v>
      </c>
      <c r="S42" s="2364">
        <f t="shared" si="9"/>
        <v>0.96</v>
      </c>
      <c r="T42" s="2364">
        <f t="shared" si="9"/>
        <v>0.96</v>
      </c>
    </row>
  </sheetData>
  <mergeCells count="17">
    <mergeCell ref="A2:C2"/>
    <mergeCell ref="D2:T4"/>
    <mergeCell ref="A3:C4"/>
    <mergeCell ref="A7:A20"/>
    <mergeCell ref="B7:B13"/>
    <mergeCell ref="B14:B20"/>
    <mergeCell ref="A22:A34"/>
    <mergeCell ref="B40:C40"/>
    <mergeCell ref="B41:C41"/>
    <mergeCell ref="B22:B27"/>
    <mergeCell ref="B28:B31"/>
    <mergeCell ref="A36:A42"/>
    <mergeCell ref="B36:C36"/>
    <mergeCell ref="B37:C37"/>
    <mergeCell ref="B38:C38"/>
    <mergeCell ref="B39:C39"/>
    <mergeCell ref="B42:C42"/>
  </mergeCells>
  <conditionalFormatting sqref="J15:Q15 R15:T16 D16:I16 P28:Q28 R28:T30 D29:O29">
    <cfRule type="containsText" dxfId="5" priority="1" operator="containsText" text="NG">
      <formula>NOT(ISERROR(SEARCH(("NG"),(J15))))</formula>
    </cfRule>
  </conditionalFormatting>
  <conditionalFormatting sqref="A3 B22">
    <cfRule type="containsText" dxfId="0" priority="2" operator="containsText" text="voor">
      <formula>NOT(ISERROR(SEARCH(("voor"),(A3))))</formula>
    </cfRule>
  </conditionalFormatting>
  <conditionalFormatting sqref="D7:T34 R36:T36">
    <cfRule type="containsText" dxfId="2" priority="3" operator="containsText" text="SO">
      <formula>NOT(ISERROR(SEARCH(("SO"),(D7))))</formula>
    </cfRule>
  </conditionalFormatting>
  <conditionalFormatting sqref="A3 D7:T34 B22 R36:T36">
    <cfRule type="containsText" dxfId="1" priority="4" operator="containsText" text="tegen">
      <formula>NOT(ISERROR(SEARCH(("tegen"),(A3))))</formula>
    </cfRule>
  </conditionalFormatting>
  <conditionalFormatting sqref="D7:T34 R36:T36">
    <cfRule type="containsText" dxfId="4" priority="5" operator="containsText" text="voor">
      <formula>NOT(ISERROR(SEARCH(("voor"),(D7))))</formula>
    </cfRule>
  </conditionalFormatting>
  <conditionalFormatting sqref="D7:T34 R36:T36">
    <cfRule type="cellIs" dxfId="5" priority="6" operator="equal">
      <formula>"NG"</formula>
    </cfRule>
  </conditionalFormatting>
  <conditionalFormatting sqref="D7:T34 R36:T36">
    <cfRule type="containsText" dxfId="6" priority="7" operator="containsText" text="NVT">
      <formula>NOT(ISERROR(SEARCH(("NVT"),(D7))))</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4125"/>
    <outlinePr summaryBelow="0" summaryRight="0"/>
  </sheetPr>
  <sheetViews>
    <sheetView workbookViewId="0">
      <pane xSplit="3.0" ySplit="6.0" topLeftCell="D7" activePane="bottomRight" state="frozen"/>
      <selection activeCell="D1" sqref="D1" pane="topRight"/>
      <selection activeCell="A7" sqref="A7" pane="bottomLeft"/>
      <selection activeCell="D7" sqref="D7" pane="bottomRight"/>
    </sheetView>
  </sheetViews>
  <sheetFormatPr customHeight="1" defaultColWidth="14.43" defaultRowHeight="15.75"/>
  <cols>
    <col customWidth="1" min="1" max="1" width="10.86"/>
    <col customWidth="1" min="2" max="2" width="11.0"/>
    <col customWidth="1" min="3" max="3" width="26.29"/>
  </cols>
  <sheetData>
    <row r="1" ht="18.75" customHeight="1">
      <c r="A1" s="104" t="s">
        <v>164</v>
      </c>
      <c r="B1" s="105"/>
      <c r="C1" s="105"/>
      <c r="D1" s="105"/>
      <c r="E1" s="105"/>
      <c r="F1" s="105"/>
      <c r="G1" s="105"/>
      <c r="H1" s="105"/>
      <c r="I1" s="105"/>
      <c r="J1" s="105"/>
      <c r="K1" s="105"/>
      <c r="L1" s="105"/>
      <c r="M1" s="105"/>
      <c r="N1" s="105"/>
      <c r="O1" s="105"/>
      <c r="P1" s="105"/>
      <c r="Q1" s="105"/>
      <c r="R1" s="106"/>
      <c r="S1" s="106"/>
      <c r="T1" s="106"/>
      <c r="U1" s="106"/>
      <c r="V1" s="106"/>
      <c r="W1" s="106"/>
    </row>
    <row r="2" ht="18.75" customHeight="1">
      <c r="A2" s="108" t="s">
        <v>70</v>
      </c>
      <c r="B2" s="109"/>
      <c r="C2" s="110"/>
      <c r="D2" s="236" t="s">
        <v>165</v>
      </c>
      <c r="E2" s="112"/>
      <c r="F2" s="112"/>
      <c r="G2" s="112"/>
      <c r="H2" s="112"/>
      <c r="I2" s="112"/>
      <c r="J2" s="112"/>
      <c r="K2" s="112"/>
      <c r="L2" s="112"/>
      <c r="M2" s="112"/>
      <c r="N2" s="112"/>
      <c r="O2" s="112"/>
      <c r="P2" s="112"/>
      <c r="Q2" s="112"/>
      <c r="R2" s="112"/>
      <c r="S2" s="112"/>
      <c r="T2" s="112"/>
      <c r="U2" s="112"/>
      <c r="V2" s="112"/>
      <c r="W2" s="20"/>
    </row>
    <row r="3" ht="18.75" customHeight="1">
      <c r="A3" s="114" t="s">
        <v>72</v>
      </c>
      <c r="C3" s="115"/>
      <c r="W3" s="44"/>
    </row>
    <row r="4" ht="18.75" customHeight="1">
      <c r="C4" s="115"/>
      <c r="D4" s="237" t="s">
        <v>166</v>
      </c>
      <c r="E4" s="16"/>
      <c r="F4" s="17"/>
      <c r="G4" s="237" t="s">
        <v>167</v>
      </c>
      <c r="H4" s="16"/>
      <c r="I4" s="17"/>
      <c r="J4" s="238" t="s">
        <v>168</v>
      </c>
      <c r="K4" s="238" t="s">
        <v>169</v>
      </c>
      <c r="L4" s="237" t="s">
        <v>170</v>
      </c>
      <c r="M4" s="16"/>
      <c r="N4" s="16"/>
      <c r="O4" s="16"/>
      <c r="P4" s="16"/>
      <c r="Q4" s="16"/>
      <c r="R4" s="239" t="s">
        <v>171</v>
      </c>
      <c r="S4" s="240"/>
      <c r="T4" s="241"/>
      <c r="U4" s="241"/>
      <c r="V4" s="241"/>
      <c r="W4" s="241"/>
    </row>
    <row r="5" ht="18.75" customHeight="1">
      <c r="A5" s="121" t="s">
        <v>82</v>
      </c>
      <c r="B5" s="122" t="s">
        <v>83</v>
      </c>
      <c r="C5" s="123" t="s">
        <v>84</v>
      </c>
      <c r="D5" s="124" t="str">
        <f>hyperlink("https://www.reddit.com/r/RMTK/comments/f71ubr/w0072_wet_tot_inkomensafhankelijke_regeling/","W0072")</f>
        <v>W0072</v>
      </c>
      <c r="E5" s="124" t="str">
        <f>hyperlink("https://www.reddit.com/r/RMTK/comments/fd455r/w0073i_amendement_tot_wijziging_van_het/","W0073-I")</f>
        <v>W0073-I</v>
      </c>
      <c r="F5" s="125" t="str">
        <f>hyperlink("https://www.reddit.com/r/RMTK/comments/fcbr2f/w0074_wet_tot_invoeren_van_een_verplichte/","W0074")</f>
        <v>W0074</v>
      </c>
      <c r="G5" s="124" t="str">
        <f>hyperlink("https://reddit.com/r/RMTK/comments/frul6g","W0075")</f>
        <v>W0075</v>
      </c>
      <c r="H5" s="124" t="str">
        <f>hyperlink("https://reddit.com/r/RMTK/comments/ft3no2","W0077")</f>
        <v>W0077</v>
      </c>
      <c r="I5" s="125" t="str">
        <f>hyperlink("https://reddit.com/r/RMTK/comments/fur4rn","W0078")</f>
        <v>W0078</v>
      </c>
      <c r="J5" s="125" t="str">
        <f>hyperlink("https://reddit.com/r/RMTK/comments/fwhw8q","W0079")</f>
        <v>W0079</v>
      </c>
      <c r="K5" s="125" t="s">
        <v>172</v>
      </c>
      <c r="L5" s="242" t="str">
        <f>HYPERLINK("https://www.reddit.com/r/RMTK/comments/gbfml1/w0081_wijziging_van_de_wet_op_het_voortgezet/?ref=share&amp;ref_source=link","W0081")</f>
        <v>W0081</v>
      </c>
      <c r="M5" s="243" t="str">
        <f>HYPERLINK("https://www.reddit.com/r/RMTK/comments/g1mxke","W0083")</f>
        <v>W0083</v>
      </c>
      <c r="N5" s="124" t="str">
        <f>HYPERLINK("https://www.reddit.com/r/RMTK/comments/g3jxay","W0085")</f>
        <v>W0085</v>
      </c>
      <c r="O5" s="124" t="str">
        <f>HYPERLINK("https://www.reddit.com/r/RMTK/comments/g5aglx","W0086")</f>
        <v>W0086</v>
      </c>
      <c r="P5" s="124" t="str">
        <f>HYPERLINK("https://www.reddit.com/r/RMTK/comments/g60qgw","W0087")</f>
        <v>W0087</v>
      </c>
      <c r="Q5" s="244" t="str">
        <f>HYPERLINK("https://www.reddit.com/r/RMTK/comments/gehwkg/w0090_wet_op_aanvullende_eisen_ictprojecten/","W0090")</f>
        <v>W0090</v>
      </c>
      <c r="R5" s="245" t="str">
        <f>HYPERLINK("https://www.reddit.com/r/RMTK/comments/g9mrib", "W0089")</f>
        <v>W0089</v>
      </c>
      <c r="S5" s="125" t="str">
        <f>HYPERLINK("https://www.reddit.com/r/RMTK/comments/g6i299/w0088_wetswijziging_tot_inkorting_aanpassing/", "W0088") </f>
        <v>W0088</v>
      </c>
      <c r="T5" s="246"/>
      <c r="U5" s="246"/>
      <c r="V5" s="246"/>
      <c r="W5" s="246"/>
    </row>
    <row r="6" ht="6.0" customHeight="1">
      <c r="A6" s="128"/>
      <c r="B6" s="129"/>
      <c r="C6" s="129"/>
      <c r="D6" s="134"/>
      <c r="E6" s="134"/>
      <c r="F6" s="132"/>
      <c r="G6" s="137"/>
      <c r="H6" s="134"/>
      <c r="I6" s="132"/>
      <c r="J6" s="247"/>
      <c r="K6" s="137"/>
      <c r="L6" s="137"/>
      <c r="M6" s="137"/>
      <c r="N6" s="137"/>
      <c r="O6" s="137"/>
      <c r="P6" s="137"/>
      <c r="Q6" s="248"/>
      <c r="R6" s="249"/>
      <c r="S6" s="132"/>
      <c r="T6" s="137"/>
      <c r="U6" s="134"/>
      <c r="V6" s="134"/>
      <c r="W6" s="134"/>
    </row>
    <row r="7" ht="18.75" customHeight="1">
      <c r="A7" s="250" t="s">
        <v>173</v>
      </c>
      <c r="B7" s="139" t="s">
        <v>15</v>
      </c>
      <c r="C7" s="251" t="s">
        <v>121</v>
      </c>
      <c r="D7" s="252" t="s">
        <v>110</v>
      </c>
      <c r="E7" s="252" t="s">
        <v>110</v>
      </c>
      <c r="F7" s="142" t="s">
        <v>117</v>
      </c>
      <c r="G7" s="252" t="s">
        <v>110</v>
      </c>
      <c r="H7" s="252" t="s">
        <v>110</v>
      </c>
      <c r="I7" s="253" t="s">
        <v>117</v>
      </c>
      <c r="J7" s="254" t="s">
        <v>110</v>
      </c>
      <c r="K7" s="254" t="s">
        <v>110</v>
      </c>
      <c r="L7" s="255" t="s">
        <v>108</v>
      </c>
      <c r="M7" s="255" t="s">
        <v>108</v>
      </c>
      <c r="N7" s="255" t="s">
        <v>108</v>
      </c>
      <c r="O7" s="255" t="s">
        <v>108</v>
      </c>
      <c r="P7" s="255" t="s">
        <v>108</v>
      </c>
      <c r="Q7" s="255" t="s">
        <v>108</v>
      </c>
      <c r="R7" s="256" t="s">
        <v>112</v>
      </c>
      <c r="S7" s="254" t="s">
        <v>112</v>
      </c>
      <c r="T7" s="255" t="s">
        <v>108</v>
      </c>
      <c r="U7" s="255" t="s">
        <v>108</v>
      </c>
      <c r="V7" s="255" t="s">
        <v>108</v>
      </c>
      <c r="W7" s="255" t="s">
        <v>108</v>
      </c>
    </row>
    <row r="8" ht="18.75" customHeight="1">
      <c r="A8" s="147"/>
      <c r="B8" s="153" t="s">
        <v>24</v>
      </c>
      <c r="C8" s="257" t="s">
        <v>123</v>
      </c>
      <c r="D8" s="141" t="s">
        <v>119</v>
      </c>
      <c r="E8" s="141" t="s">
        <v>119</v>
      </c>
      <c r="F8" s="141" t="s">
        <v>119</v>
      </c>
      <c r="G8" s="141" t="s">
        <v>119</v>
      </c>
      <c r="H8" s="141" t="s">
        <v>119</v>
      </c>
      <c r="I8" s="141" t="s">
        <v>119</v>
      </c>
      <c r="J8" s="141" t="s">
        <v>119</v>
      </c>
      <c r="K8" s="142" t="s">
        <v>119</v>
      </c>
      <c r="L8" s="141" t="s">
        <v>119</v>
      </c>
      <c r="M8" s="141" t="s">
        <v>119</v>
      </c>
      <c r="N8" s="141" t="s">
        <v>119</v>
      </c>
      <c r="O8" s="141" t="s">
        <v>119</v>
      </c>
      <c r="P8" s="141" t="s">
        <v>119</v>
      </c>
      <c r="Q8" s="141" t="s">
        <v>119</v>
      </c>
      <c r="R8" s="256" t="s">
        <v>112</v>
      </c>
      <c r="S8" s="254" t="s">
        <v>112</v>
      </c>
      <c r="T8" s="255" t="s">
        <v>108</v>
      </c>
      <c r="U8" s="255" t="s">
        <v>108</v>
      </c>
      <c r="V8" s="255" t="s">
        <v>108</v>
      </c>
      <c r="W8" s="255" t="s">
        <v>108</v>
      </c>
    </row>
    <row r="9" ht="18.75" customHeight="1">
      <c r="A9" s="159"/>
      <c r="B9" s="115"/>
      <c r="C9" s="258" t="s">
        <v>25</v>
      </c>
      <c r="D9" s="252" t="s">
        <v>110</v>
      </c>
      <c r="E9" s="252" t="s">
        <v>110</v>
      </c>
      <c r="F9" s="142" t="s">
        <v>110</v>
      </c>
      <c r="G9" s="259" t="s">
        <v>110</v>
      </c>
      <c r="H9" s="259" t="s">
        <v>110</v>
      </c>
      <c r="I9" s="260" t="s">
        <v>110</v>
      </c>
      <c r="J9" s="260" t="s">
        <v>109</v>
      </c>
      <c r="K9" s="260" t="s">
        <v>110</v>
      </c>
      <c r="L9" s="259" t="s">
        <v>112</v>
      </c>
      <c r="M9" s="259" t="s">
        <v>112</v>
      </c>
      <c r="N9" s="252" t="s">
        <v>108</v>
      </c>
      <c r="O9" s="259" t="s">
        <v>112</v>
      </c>
      <c r="P9" s="259" t="s">
        <v>112</v>
      </c>
      <c r="Q9" s="259" t="s">
        <v>112</v>
      </c>
      <c r="R9" s="261" t="s">
        <v>119</v>
      </c>
      <c r="S9" s="142" t="s">
        <v>119</v>
      </c>
      <c r="T9" s="141" t="s">
        <v>119</v>
      </c>
      <c r="U9" s="141" t="s">
        <v>119</v>
      </c>
      <c r="V9" s="141" t="s">
        <v>119</v>
      </c>
      <c r="W9" s="141" t="s">
        <v>119</v>
      </c>
    </row>
    <row r="10" ht="9.75" customHeight="1">
      <c r="A10" s="160"/>
      <c r="B10" s="161"/>
      <c r="C10" s="161"/>
      <c r="D10" s="262" t="str">
        <f t="shared" ref="D10:W10" si="1">LINKURL(D5)</f>
        <v>https://www.reddit.com/r/RMTK/comments/f71ubr/w0072_wet_tot_inkomensafhankelijke_regeling/</v>
      </c>
      <c r="E10" s="262" t="str">
        <f t="shared" si="1"/>
        <v>https://www.reddit.com/r/RMTK/comments/fd455r/w0073i_amendement_tot_wijziging_van_het/</v>
      </c>
      <c r="F10" s="263" t="str">
        <f t="shared" si="1"/>
        <v>https://www.reddit.com/r/RMTK/comments/fcbr2f/w0074_wet_tot_invoeren_van_een_verplichte/</v>
      </c>
      <c r="G10" s="262" t="str">
        <f t="shared" si="1"/>
        <v>https://reddit.com/r/RMTK/comments/frul6g</v>
      </c>
      <c r="H10" s="262" t="str">
        <f t="shared" si="1"/>
        <v>https://reddit.com/r/RMTK/comments/ft3no2</v>
      </c>
      <c r="I10" s="264" t="str">
        <f t="shared" si="1"/>
        <v>https://reddit.com/r/RMTK/comments/fur4rn</v>
      </c>
      <c r="J10" s="265" t="str">
        <f t="shared" si="1"/>
        <v>https://reddit.com/r/RMTK/comments/fwhw8q</v>
      </c>
      <c r="K10" s="266" t="str">
        <f t="shared" si="1"/>
        <v/>
      </c>
      <c r="L10" s="267" t="str">
        <f t="shared" si="1"/>
        <v>https://www.reddit.com/r/RMTK/comments/gbfml1/w0081_wijziging_van_de_wet_op_het_voortgezet/?ref=share&amp;ref_source=link</v>
      </c>
      <c r="M10" s="265" t="str">
        <f t="shared" si="1"/>
        <v>https://www.reddit.com/r/RMTK/comments/g1mxke</v>
      </c>
      <c r="N10" s="265" t="str">
        <f t="shared" si="1"/>
        <v>https://www.reddit.com/r/RMTK/comments/g3jxay</v>
      </c>
      <c r="O10" s="265" t="str">
        <f t="shared" si="1"/>
        <v>https://www.reddit.com/r/RMTK/comments/g5aglx</v>
      </c>
      <c r="P10" s="265" t="str">
        <f t="shared" si="1"/>
        <v>https://www.reddit.com/r/RMTK/comments/g60qgw</v>
      </c>
      <c r="Q10" s="265" t="str">
        <f t="shared" si="1"/>
        <v>https://www.reddit.com/r/RMTK/comments/gehwkg/w0090_wet_op_aanvullende_eisen_ictprojecten/</v>
      </c>
      <c r="R10" s="268" t="str">
        <f t="shared" si="1"/>
        <v>https://www.reddit.com/r/RMTK/comments/g9mrib</v>
      </c>
      <c r="S10" s="269" t="str">
        <f t="shared" si="1"/>
        <v>https://www.reddit.com/r/RMTK/comments/g6i299/w0088_wetswijziging_tot_inkorting_aanpassing/</v>
      </c>
      <c r="T10" s="270" t="str">
        <f t="shared" si="1"/>
        <v/>
      </c>
      <c r="U10" s="270" t="str">
        <f t="shared" si="1"/>
        <v/>
      </c>
      <c r="V10" s="270" t="str">
        <f t="shared" si="1"/>
        <v/>
      </c>
      <c r="W10" s="270" t="str">
        <f t="shared" si="1"/>
        <v/>
      </c>
    </row>
    <row r="11" ht="18.75" customHeight="1">
      <c r="A11" s="250" t="s">
        <v>174</v>
      </c>
      <c r="B11" s="172" t="s">
        <v>31</v>
      </c>
      <c r="C11" s="173" t="s">
        <v>175</v>
      </c>
      <c r="D11" s="252" t="s">
        <v>110</v>
      </c>
      <c r="E11" s="252" t="s">
        <v>110</v>
      </c>
      <c r="F11" s="142" t="s">
        <v>110</v>
      </c>
      <c r="G11" s="252" t="s">
        <v>110</v>
      </c>
      <c r="H11" s="252" t="s">
        <v>110</v>
      </c>
      <c r="I11" s="254" t="s">
        <v>110</v>
      </c>
      <c r="J11" s="254" t="s">
        <v>110</v>
      </c>
      <c r="K11" s="254" t="s">
        <v>110</v>
      </c>
      <c r="L11" s="252" t="s">
        <v>112</v>
      </c>
      <c r="M11" s="252" t="s">
        <v>112</v>
      </c>
      <c r="N11" s="252" t="s">
        <v>112</v>
      </c>
      <c r="O11" s="252" t="s">
        <v>112</v>
      </c>
      <c r="P11" s="252" t="s">
        <v>108</v>
      </c>
      <c r="Q11" s="252" t="s">
        <v>112</v>
      </c>
      <c r="R11" s="256" t="s">
        <v>112</v>
      </c>
      <c r="S11" s="254" t="s">
        <v>112</v>
      </c>
      <c r="T11" s="255" t="s">
        <v>108</v>
      </c>
      <c r="U11" s="255" t="s">
        <v>108</v>
      </c>
      <c r="V11" s="255" t="s">
        <v>108</v>
      </c>
      <c r="W11" s="255" t="s">
        <v>108</v>
      </c>
    </row>
    <row r="12" ht="18.75" customHeight="1">
      <c r="A12" s="159"/>
      <c r="B12" s="271" t="s">
        <v>36</v>
      </c>
      <c r="C12" s="272" t="s">
        <v>176</v>
      </c>
      <c r="D12" s="252" t="s">
        <v>110</v>
      </c>
      <c r="E12" s="273" t="s">
        <v>109</v>
      </c>
      <c r="F12" s="142" t="s">
        <v>109</v>
      </c>
      <c r="G12" s="273" t="s">
        <v>110</v>
      </c>
      <c r="H12" s="273" t="s">
        <v>110</v>
      </c>
      <c r="I12" s="274" t="s">
        <v>109</v>
      </c>
      <c r="J12" s="274" t="s">
        <v>109</v>
      </c>
      <c r="K12" s="274" t="s">
        <v>110</v>
      </c>
      <c r="L12" s="273" t="s">
        <v>113</v>
      </c>
      <c r="M12" s="273" t="s">
        <v>112</v>
      </c>
      <c r="N12" s="252" t="s">
        <v>108</v>
      </c>
      <c r="O12" s="252" t="s">
        <v>108</v>
      </c>
      <c r="P12" s="273" t="s">
        <v>112</v>
      </c>
      <c r="Q12" s="273" t="s">
        <v>112</v>
      </c>
      <c r="R12" s="275" t="s">
        <v>112</v>
      </c>
      <c r="S12" s="260" t="s">
        <v>112</v>
      </c>
      <c r="T12" s="276" t="s">
        <v>108</v>
      </c>
      <c r="U12" s="276" t="s">
        <v>108</v>
      </c>
      <c r="V12" s="276" t="s">
        <v>108</v>
      </c>
      <c r="W12" s="276" t="s">
        <v>108</v>
      </c>
    </row>
    <row r="13" ht="11.25" customHeight="1">
      <c r="A13" s="191"/>
      <c r="B13" s="191"/>
      <c r="C13" s="191"/>
      <c r="D13" s="277" t="str">
        <f t="shared" ref="D13:W13" si="2">CONCATENATE("{""status"": ", IF(GT(D14, D15), """aangenomen""", """verworpen"""), ", ""title"": """, D5, """, ""url"": """,D10  , """, ""voor"":", D14,", ""tegen"": ", D15, ", ""onthouden"":", D16, "}")</f>
        <v>{"status": "aangenomen", "title": "W0072", "url": "https://www.reddit.com/r/RMTK/comments/f71ubr/w0072_wet_tot_inkomensafhankelijke_regeling/", "voor":4, "tegen": 0, "onthouden":0}</v>
      </c>
      <c r="E13" s="277" t="str">
        <f t="shared" si="2"/>
        <v>{"status": "aangenomen", "title": "W0073-I", "url": "https://www.reddit.com/r/RMTK/comments/fd455r/w0073i_amendement_tot_wijziging_van_het/", "voor":3, "tegen": 1, "onthouden":0}</v>
      </c>
      <c r="F13" s="278" t="str">
        <f t="shared" si="2"/>
        <v>{"status": "aangenomen", "title": "W0074", "url": "https://www.reddit.com/r/RMTK/comments/fcbr2f/w0074_wet_tot_invoeren_van_een_verplichte/", "voor":2, "tegen": 1, "onthouden":1}</v>
      </c>
      <c r="G13" s="277" t="str">
        <f t="shared" si="2"/>
        <v>{"status": "aangenomen", "title": "W0075", "url": "https://reddit.com/r/RMTK/comments/frul6g", "voor":4, "tegen": 0, "onthouden":0}</v>
      </c>
      <c r="H13" s="277" t="str">
        <f t="shared" si="2"/>
        <v>{"status": "aangenomen", "title": "W0077", "url": "https://reddit.com/r/RMTK/comments/ft3no2", "voor":4, "tegen": 0, "onthouden":0}</v>
      </c>
      <c r="I13" s="277" t="str">
        <f t="shared" si="2"/>
        <v>{"status": "aangenomen", "title": "W0078", "url": "https://reddit.com/r/RMTK/comments/fur4rn", "voor":2, "tegen": 1, "onthouden":1}</v>
      </c>
      <c r="J13" s="279" t="str">
        <f t="shared" si="2"/>
        <v>{"status": "verworpen", "title": "W0079", "url": "https://reddit.com/r/RMTK/comments/fwhw8q", "voor":2, "tegen": 2, "onthouden":0}</v>
      </c>
      <c r="K13" s="278" t="str">
        <f t="shared" si="2"/>
        <v>{"status": "aangenomen", "title": "W0076", "url": "", "voor":4, "tegen": 0, "onthouden":0}</v>
      </c>
      <c r="L13" s="277" t="str">
        <f t="shared" si="2"/>
        <v>{"status": "aangenomen", "title": "W0081", "url": "https://www.reddit.com/r/RMTK/comments/gbfml1/w0081_wijziging_van_de_wet_op_het_voortgezet/?ref=share&amp;ref_source=link", "voor":2, "tegen": 1, "onthouden":0}</v>
      </c>
      <c r="M13" s="277" t="str">
        <f t="shared" si="2"/>
        <v>{"status": "aangenomen", "title": "W0083", "url": "https://www.reddit.com/r/RMTK/comments/g1mxke", "voor":3, "tegen": 0, "onthouden":0}</v>
      </c>
      <c r="N13" s="277" t="str">
        <f t="shared" si="2"/>
        <v>{"status": "aangenomen", "title": "W0085", "url": "https://www.reddit.com/r/RMTK/comments/g3jxay", "voor":1, "tegen": 0, "onthouden":0}</v>
      </c>
      <c r="O13" s="277" t="str">
        <f t="shared" si="2"/>
        <v>{"status": "aangenomen", "title": "W0086", "url": "https://www.reddit.com/r/RMTK/comments/g5aglx", "voor":2, "tegen": 0, "onthouden":0}</v>
      </c>
      <c r="P13" s="277" t="str">
        <f t="shared" si="2"/>
        <v>{"status": "aangenomen", "title": "W0087", "url": "https://www.reddit.com/r/RMTK/comments/g60qgw", "voor":2, "tegen": 0, "onthouden":0}</v>
      </c>
      <c r="Q13" s="277" t="str">
        <f t="shared" si="2"/>
        <v>{"status": "aangenomen", "title": "W0090", "url": "https://www.reddit.com/r/RMTK/comments/gehwkg/w0090_wet_op_aanvullende_eisen_ictprojecten/", "voor":3, "tegen": 0, "onthouden":0}</v>
      </c>
      <c r="R13" s="280" t="str">
        <f t="shared" si="2"/>
        <v>{"status": "aangenomen", "title": "W0089", "url": "https://www.reddit.com/r/RMTK/comments/g9mrib", "voor":4, "tegen": 0, "onthouden":0}</v>
      </c>
      <c r="S13" s="278" t="str">
        <f t="shared" si="2"/>
        <v>{"status": "aangenomen", "title": "W0088", "url": "https://www.reddit.com/r/RMTK/comments/g6i299/w0088_wetswijziging_tot_inkorting_aanpassing/", "voor":4, "tegen": 0, "onthouden":0}</v>
      </c>
      <c r="T13" s="277" t="str">
        <f t="shared" si="2"/>
        <v>{"status": "verworpen", "title": "", "url": "", "voor":0, "tegen": 0, "onthouden":0}</v>
      </c>
      <c r="U13" s="277" t="str">
        <f t="shared" si="2"/>
        <v>{"status": "verworpen", "title": "", "url": "", "voor":0, "tegen": 0, "onthouden":0}</v>
      </c>
      <c r="V13" s="277" t="str">
        <f t="shared" si="2"/>
        <v>{"status": "verworpen", "title": "", "url": "", "voor":0, "tegen": 0, "onthouden":0}</v>
      </c>
      <c r="W13" s="277" t="str">
        <f t="shared" si="2"/>
        <v>{"status": "verworpen", "title": "", "url": "", "voor":0, "tegen": 0, "onthouden":0}</v>
      </c>
    </row>
    <row r="14" ht="18.0" customHeight="1">
      <c r="A14" s="199" t="s">
        <v>158</v>
      </c>
      <c r="B14" s="200" t="s">
        <v>110</v>
      </c>
      <c r="C14" s="44"/>
      <c r="D14" s="203">
        <f t="shared" ref="D14:W14" si="3">COUNTIF(D5:D12,"Voor")</f>
        <v>4</v>
      </c>
      <c r="E14" s="203">
        <f t="shared" si="3"/>
        <v>3</v>
      </c>
      <c r="F14" s="281">
        <f t="shared" si="3"/>
        <v>2</v>
      </c>
      <c r="G14" s="201">
        <f t="shared" si="3"/>
        <v>4</v>
      </c>
      <c r="H14" s="203">
        <f t="shared" si="3"/>
        <v>4</v>
      </c>
      <c r="I14" s="282">
        <f t="shared" si="3"/>
        <v>2</v>
      </c>
      <c r="J14" s="281">
        <f t="shared" si="3"/>
        <v>2</v>
      </c>
      <c r="K14" s="281">
        <f t="shared" si="3"/>
        <v>4</v>
      </c>
      <c r="L14" s="201">
        <f t="shared" si="3"/>
        <v>2</v>
      </c>
      <c r="M14" s="201">
        <f t="shared" si="3"/>
        <v>3</v>
      </c>
      <c r="N14" s="201">
        <f t="shared" si="3"/>
        <v>1</v>
      </c>
      <c r="O14" s="201">
        <f t="shared" si="3"/>
        <v>2</v>
      </c>
      <c r="P14" s="201">
        <f t="shared" si="3"/>
        <v>2</v>
      </c>
      <c r="Q14" s="204">
        <f t="shared" si="3"/>
        <v>3</v>
      </c>
      <c r="R14" s="283">
        <f t="shared" si="3"/>
        <v>4</v>
      </c>
      <c r="S14" s="281">
        <f t="shared" si="3"/>
        <v>4</v>
      </c>
      <c r="T14" s="201">
        <f t="shared" si="3"/>
        <v>0</v>
      </c>
      <c r="U14" s="201">
        <f t="shared" si="3"/>
        <v>0</v>
      </c>
      <c r="V14" s="201">
        <f t="shared" si="3"/>
        <v>0</v>
      </c>
      <c r="W14" s="201">
        <f t="shared" si="3"/>
        <v>0</v>
      </c>
    </row>
    <row r="15" ht="18.75" customHeight="1">
      <c r="A15" s="44"/>
      <c r="B15" s="205" t="s">
        <v>109</v>
      </c>
      <c r="C15" s="44"/>
      <c r="D15" s="208">
        <f t="shared" ref="D15:W15" si="4">COUNTIF(D5:D12,"Tegen")</f>
        <v>0</v>
      </c>
      <c r="E15" s="208">
        <f t="shared" si="4"/>
        <v>1</v>
      </c>
      <c r="F15" s="284">
        <f t="shared" si="4"/>
        <v>1</v>
      </c>
      <c r="G15" s="206">
        <f t="shared" si="4"/>
        <v>0</v>
      </c>
      <c r="H15" s="208">
        <f t="shared" si="4"/>
        <v>0</v>
      </c>
      <c r="I15" s="285">
        <f t="shared" si="4"/>
        <v>1</v>
      </c>
      <c r="J15" s="284">
        <f t="shared" si="4"/>
        <v>2</v>
      </c>
      <c r="K15" s="284">
        <f t="shared" si="4"/>
        <v>0</v>
      </c>
      <c r="L15" s="206">
        <f t="shared" si="4"/>
        <v>1</v>
      </c>
      <c r="M15" s="206">
        <f t="shared" si="4"/>
        <v>0</v>
      </c>
      <c r="N15" s="206">
        <f t="shared" si="4"/>
        <v>0</v>
      </c>
      <c r="O15" s="206">
        <f t="shared" si="4"/>
        <v>0</v>
      </c>
      <c r="P15" s="206">
        <f t="shared" si="4"/>
        <v>0</v>
      </c>
      <c r="Q15" s="209">
        <f t="shared" si="4"/>
        <v>0</v>
      </c>
      <c r="R15" s="286">
        <f t="shared" si="4"/>
        <v>0</v>
      </c>
      <c r="S15" s="284">
        <f t="shared" si="4"/>
        <v>0</v>
      </c>
      <c r="T15" s="206">
        <f t="shared" si="4"/>
        <v>0</v>
      </c>
      <c r="U15" s="206">
        <f t="shared" si="4"/>
        <v>0</v>
      </c>
      <c r="V15" s="206">
        <f t="shared" si="4"/>
        <v>0</v>
      </c>
      <c r="W15" s="206">
        <f t="shared" si="4"/>
        <v>0</v>
      </c>
    </row>
    <row r="16" ht="18.75" customHeight="1">
      <c r="A16" s="44"/>
      <c r="B16" s="210" t="s">
        <v>159</v>
      </c>
      <c r="C16" s="44"/>
      <c r="D16" s="213">
        <f t="shared" ref="D16:W16" si="5">COUNTIF(D5:D12,"SO")</f>
        <v>0</v>
      </c>
      <c r="E16" s="213">
        <f t="shared" si="5"/>
        <v>0</v>
      </c>
      <c r="F16" s="287">
        <f t="shared" si="5"/>
        <v>1</v>
      </c>
      <c r="G16" s="211">
        <f t="shared" si="5"/>
        <v>0</v>
      </c>
      <c r="H16" s="213">
        <f t="shared" si="5"/>
        <v>0</v>
      </c>
      <c r="I16" s="288">
        <f t="shared" si="5"/>
        <v>1</v>
      </c>
      <c r="J16" s="287">
        <f t="shared" si="5"/>
        <v>0</v>
      </c>
      <c r="K16" s="287">
        <f t="shared" si="5"/>
        <v>0</v>
      </c>
      <c r="L16" s="211">
        <f t="shared" si="5"/>
        <v>0</v>
      </c>
      <c r="M16" s="211">
        <f t="shared" si="5"/>
        <v>0</v>
      </c>
      <c r="N16" s="211">
        <f t="shared" si="5"/>
        <v>0</v>
      </c>
      <c r="O16" s="211">
        <f t="shared" si="5"/>
        <v>0</v>
      </c>
      <c r="P16" s="211">
        <f t="shared" si="5"/>
        <v>0</v>
      </c>
      <c r="Q16" s="214">
        <f t="shared" si="5"/>
        <v>0</v>
      </c>
      <c r="R16" s="289">
        <f t="shared" si="5"/>
        <v>0</v>
      </c>
      <c r="S16" s="287">
        <f t="shared" si="5"/>
        <v>0</v>
      </c>
      <c r="T16" s="211">
        <f t="shared" si="5"/>
        <v>0</v>
      </c>
      <c r="U16" s="211">
        <f t="shared" si="5"/>
        <v>0</v>
      </c>
      <c r="V16" s="211">
        <f t="shared" si="5"/>
        <v>0</v>
      </c>
      <c r="W16" s="211">
        <f t="shared" si="5"/>
        <v>0</v>
      </c>
    </row>
    <row r="17" ht="18.75" customHeight="1">
      <c r="A17" s="44"/>
      <c r="B17" s="215" t="s">
        <v>160</v>
      </c>
      <c r="C17" s="44"/>
      <c r="D17" s="218">
        <f t="shared" ref="D17:W17" si="6">COUNTIF(D5:D12,"NG")</f>
        <v>0</v>
      </c>
      <c r="E17" s="218">
        <f t="shared" si="6"/>
        <v>0</v>
      </c>
      <c r="F17" s="290">
        <f t="shared" si="6"/>
        <v>0</v>
      </c>
      <c r="G17" s="216">
        <f t="shared" si="6"/>
        <v>0</v>
      </c>
      <c r="H17" s="218">
        <f t="shared" si="6"/>
        <v>0</v>
      </c>
      <c r="I17" s="291">
        <f t="shared" si="6"/>
        <v>0</v>
      </c>
      <c r="J17" s="290">
        <f t="shared" si="6"/>
        <v>0</v>
      </c>
      <c r="K17" s="290">
        <f t="shared" si="6"/>
        <v>0</v>
      </c>
      <c r="L17" s="216">
        <f t="shared" si="6"/>
        <v>1</v>
      </c>
      <c r="M17" s="216">
        <f t="shared" si="6"/>
        <v>1</v>
      </c>
      <c r="N17" s="216">
        <f t="shared" si="6"/>
        <v>3</v>
      </c>
      <c r="O17" s="216">
        <f t="shared" si="6"/>
        <v>2</v>
      </c>
      <c r="P17" s="216">
        <f t="shared" si="6"/>
        <v>2</v>
      </c>
      <c r="Q17" s="219">
        <f t="shared" si="6"/>
        <v>1</v>
      </c>
      <c r="R17" s="292">
        <f t="shared" si="6"/>
        <v>0</v>
      </c>
      <c r="S17" s="290">
        <f t="shared" si="6"/>
        <v>0</v>
      </c>
      <c r="T17" s="216">
        <f t="shared" si="6"/>
        <v>4</v>
      </c>
      <c r="U17" s="216">
        <f t="shared" si="6"/>
        <v>4</v>
      </c>
      <c r="V17" s="216">
        <f t="shared" si="6"/>
        <v>4</v>
      </c>
      <c r="W17" s="216">
        <f t="shared" si="6"/>
        <v>4</v>
      </c>
    </row>
    <row r="18" ht="18.75" customHeight="1">
      <c r="A18" s="44"/>
      <c r="B18" s="220" t="s">
        <v>161</v>
      </c>
      <c r="C18" s="44"/>
      <c r="D18" s="223">
        <f t="shared" ref="D18:W18" si="7">SUM(D14:D17)</f>
        <v>4</v>
      </c>
      <c r="E18" s="223">
        <f t="shared" si="7"/>
        <v>4</v>
      </c>
      <c r="F18" s="293">
        <f t="shared" si="7"/>
        <v>4</v>
      </c>
      <c r="G18" s="221">
        <f t="shared" si="7"/>
        <v>4</v>
      </c>
      <c r="H18" s="223">
        <f t="shared" si="7"/>
        <v>4</v>
      </c>
      <c r="I18" s="294">
        <f t="shared" si="7"/>
        <v>4</v>
      </c>
      <c r="J18" s="293">
        <f t="shared" si="7"/>
        <v>4</v>
      </c>
      <c r="K18" s="293">
        <f t="shared" si="7"/>
        <v>4</v>
      </c>
      <c r="L18" s="221">
        <f t="shared" si="7"/>
        <v>4</v>
      </c>
      <c r="M18" s="221">
        <f t="shared" si="7"/>
        <v>4</v>
      </c>
      <c r="N18" s="221">
        <f t="shared" si="7"/>
        <v>4</v>
      </c>
      <c r="O18" s="221">
        <f t="shared" si="7"/>
        <v>4</v>
      </c>
      <c r="P18" s="221">
        <f t="shared" si="7"/>
        <v>4</v>
      </c>
      <c r="Q18" s="224">
        <f t="shared" si="7"/>
        <v>4</v>
      </c>
      <c r="R18" s="295">
        <f t="shared" si="7"/>
        <v>4</v>
      </c>
      <c r="S18" s="293">
        <f t="shared" si="7"/>
        <v>4</v>
      </c>
      <c r="T18" s="221">
        <f t="shared" si="7"/>
        <v>4</v>
      </c>
      <c r="U18" s="221">
        <f t="shared" si="7"/>
        <v>4</v>
      </c>
      <c r="V18" s="221">
        <f t="shared" si="7"/>
        <v>4</v>
      </c>
      <c r="W18" s="221">
        <f t="shared" si="7"/>
        <v>4</v>
      </c>
    </row>
    <row r="19" ht="18.75" customHeight="1">
      <c r="A19" s="44"/>
      <c r="B19" s="225" t="s">
        <v>162</v>
      </c>
      <c r="C19" s="44"/>
      <c r="D19" s="228">
        <f t="shared" ref="D19:W19" si="8">D14+D15+D16</f>
        <v>4</v>
      </c>
      <c r="E19" s="228">
        <f t="shared" si="8"/>
        <v>4</v>
      </c>
      <c r="F19" s="296">
        <f t="shared" si="8"/>
        <v>4</v>
      </c>
      <c r="G19" s="226">
        <f t="shared" si="8"/>
        <v>4</v>
      </c>
      <c r="H19" s="228">
        <f t="shared" si="8"/>
        <v>4</v>
      </c>
      <c r="I19" s="297">
        <f t="shared" si="8"/>
        <v>4</v>
      </c>
      <c r="J19" s="296">
        <f t="shared" si="8"/>
        <v>4</v>
      </c>
      <c r="K19" s="296">
        <f t="shared" si="8"/>
        <v>4</v>
      </c>
      <c r="L19" s="226">
        <f t="shared" si="8"/>
        <v>3</v>
      </c>
      <c r="M19" s="226">
        <f t="shared" si="8"/>
        <v>3</v>
      </c>
      <c r="N19" s="226">
        <f t="shared" si="8"/>
        <v>1</v>
      </c>
      <c r="O19" s="226">
        <f t="shared" si="8"/>
        <v>2</v>
      </c>
      <c r="P19" s="226">
        <f t="shared" si="8"/>
        <v>2</v>
      </c>
      <c r="Q19" s="229">
        <f t="shared" si="8"/>
        <v>3</v>
      </c>
      <c r="R19" s="298">
        <f t="shared" si="8"/>
        <v>4</v>
      </c>
      <c r="S19" s="296">
        <f t="shared" si="8"/>
        <v>4</v>
      </c>
      <c r="T19" s="226">
        <f t="shared" si="8"/>
        <v>0</v>
      </c>
      <c r="U19" s="226">
        <f t="shared" si="8"/>
        <v>0</v>
      </c>
      <c r="V19" s="226">
        <f t="shared" si="8"/>
        <v>0</v>
      </c>
      <c r="W19" s="226">
        <f t="shared" si="8"/>
        <v>0</v>
      </c>
    </row>
    <row r="20" ht="18.75" customHeight="1">
      <c r="A20" s="230"/>
      <c r="B20" s="231" t="s">
        <v>163</v>
      </c>
      <c r="C20" s="230"/>
      <c r="D20" s="234">
        <f t="shared" ref="D20:W20" si="9">IFERROR(D19/D18,"")</f>
        <v>1</v>
      </c>
      <c r="E20" s="234">
        <f t="shared" si="9"/>
        <v>1</v>
      </c>
      <c r="F20" s="299">
        <f t="shared" si="9"/>
        <v>1</v>
      </c>
      <c r="G20" s="232">
        <f t="shared" si="9"/>
        <v>1</v>
      </c>
      <c r="H20" s="234">
        <f t="shared" si="9"/>
        <v>1</v>
      </c>
      <c r="I20" s="300">
        <f t="shared" si="9"/>
        <v>1</v>
      </c>
      <c r="J20" s="299">
        <f t="shared" si="9"/>
        <v>1</v>
      </c>
      <c r="K20" s="299">
        <f t="shared" si="9"/>
        <v>1</v>
      </c>
      <c r="L20" s="232">
        <f t="shared" si="9"/>
        <v>0.75</v>
      </c>
      <c r="M20" s="232">
        <f t="shared" si="9"/>
        <v>0.75</v>
      </c>
      <c r="N20" s="232">
        <f t="shared" si="9"/>
        <v>0.25</v>
      </c>
      <c r="O20" s="232">
        <f t="shared" si="9"/>
        <v>0.5</v>
      </c>
      <c r="P20" s="232">
        <f t="shared" si="9"/>
        <v>0.5</v>
      </c>
      <c r="Q20" s="235">
        <f t="shared" si="9"/>
        <v>0.75</v>
      </c>
      <c r="R20" s="301">
        <f t="shared" si="9"/>
        <v>1</v>
      </c>
      <c r="S20" s="299">
        <f t="shared" si="9"/>
        <v>1</v>
      </c>
      <c r="T20" s="232">
        <f t="shared" si="9"/>
        <v>0</v>
      </c>
      <c r="U20" s="232">
        <f t="shared" si="9"/>
        <v>0</v>
      </c>
      <c r="V20" s="232">
        <f t="shared" si="9"/>
        <v>0</v>
      </c>
      <c r="W20" s="232">
        <f t="shared" si="9"/>
        <v>0</v>
      </c>
    </row>
  </sheetData>
  <mergeCells count="18">
    <mergeCell ref="A2:C2"/>
    <mergeCell ref="D2:W3"/>
    <mergeCell ref="A3:C4"/>
    <mergeCell ref="D4:F4"/>
    <mergeCell ref="G4:I4"/>
    <mergeCell ref="L4:Q4"/>
    <mergeCell ref="R4:S4"/>
    <mergeCell ref="B17:C17"/>
    <mergeCell ref="B18:C18"/>
    <mergeCell ref="B19:C19"/>
    <mergeCell ref="B20:C20"/>
    <mergeCell ref="A7:A9"/>
    <mergeCell ref="B8:B9"/>
    <mergeCell ref="A11:A12"/>
    <mergeCell ref="A14:A20"/>
    <mergeCell ref="B14:C14"/>
    <mergeCell ref="B15:C15"/>
    <mergeCell ref="B16:C16"/>
  </mergeCells>
  <conditionalFormatting sqref="A3">
    <cfRule type="containsText" dxfId="0" priority="1" operator="containsText" text="voor">
      <formula>NOT(ISERROR(SEARCH(("voor"),(A3))))</formula>
    </cfRule>
  </conditionalFormatting>
  <conditionalFormatting sqref="A3">
    <cfRule type="containsText" dxfId="1" priority="2" operator="containsText" text="tegen">
      <formula>NOT(ISERROR(SEARCH(("tegen"),(A3))))</formula>
    </cfRule>
  </conditionalFormatting>
  <conditionalFormatting sqref="D7:W12 C11">
    <cfRule type="containsText" dxfId="2" priority="3" operator="containsText" text="SO">
      <formula>NOT(ISERROR(SEARCH(("SO"),(D7))))</formula>
    </cfRule>
  </conditionalFormatting>
  <conditionalFormatting sqref="A3 D7:W12 C11">
    <cfRule type="containsText" dxfId="3" priority="4" operator="containsText" text="tegen">
      <formula>NOT(ISERROR(SEARCH(("tegen"),(A3))))</formula>
    </cfRule>
  </conditionalFormatting>
  <conditionalFormatting sqref="D7:W12 C11">
    <cfRule type="containsText" dxfId="4" priority="5" operator="containsText" text="voor">
      <formula>NOT(ISERROR(SEARCH(("voor"),(D7))))</formula>
    </cfRule>
  </conditionalFormatting>
  <conditionalFormatting sqref="D7:W12 C11">
    <cfRule type="cellIs" dxfId="5" priority="6" operator="equal">
      <formula>"NG"</formula>
    </cfRule>
  </conditionalFormatting>
  <conditionalFormatting sqref="D7:W12 C11">
    <cfRule type="containsText" dxfId="6" priority="7" operator="containsText" text="NVT">
      <formula>NOT(ISERROR(SEARCH(("NVT"),(D7))))</formula>
    </cfRule>
  </conditionalFormatting>
  <hyperlinks>
    <hyperlink r:id="rId2" ref="D4"/>
    <hyperlink r:id="rId3" ref="G4"/>
    <hyperlink r:id="rId4" ref="J4"/>
    <hyperlink r:id="rId5" ref="K4"/>
    <hyperlink r:id="rId6" ref="L4"/>
    <hyperlink r:id="rId7" ref="R4"/>
    <hyperlink r:id="rId8" ref="K5"/>
  </hyperlinks>
  <drawing r:id="rId9"/>
  <legacyDrawing r:id="rId10"/>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4125"/>
    <outlinePr summaryBelow="0" summaryRight="0"/>
  </sheetPr>
  <sheetViews>
    <sheetView workbookViewId="0">
      <pane xSplit="3.0" topLeftCell="D1" activePane="topRight" state="frozen"/>
      <selection activeCell="E2" sqref="E2" pane="topRight"/>
    </sheetView>
  </sheetViews>
  <sheetFormatPr customHeight="1" defaultColWidth="14.43" defaultRowHeight="15.75"/>
  <cols>
    <col customWidth="1" min="1" max="1" width="10.86"/>
    <col customWidth="1" min="2" max="2" width="11.0"/>
    <col customWidth="1" min="3" max="3" width="21.86"/>
  </cols>
  <sheetData>
    <row r="1" ht="18.75" customHeight="1">
      <c r="A1" s="2368" t="s">
        <v>1658</v>
      </c>
      <c r="B1" s="1601"/>
      <c r="C1" s="1601"/>
      <c r="D1" s="1601"/>
      <c r="E1" s="1601"/>
      <c r="F1" s="1601"/>
      <c r="G1" s="1601"/>
      <c r="H1" s="1601"/>
      <c r="I1" s="1601"/>
      <c r="J1" s="1601"/>
      <c r="K1" s="1601"/>
      <c r="L1" s="1601"/>
      <c r="M1" s="1601"/>
      <c r="N1" s="1601"/>
      <c r="O1" s="1601"/>
      <c r="P1" s="1601"/>
      <c r="Q1" s="1601"/>
      <c r="R1" s="1601"/>
      <c r="S1" s="1601"/>
      <c r="T1" s="1601"/>
      <c r="U1" s="1601"/>
      <c r="V1" s="1601"/>
      <c r="W1" s="1601"/>
      <c r="X1" s="1601"/>
      <c r="Y1" s="1601"/>
    </row>
    <row r="2" ht="18.75" customHeight="1">
      <c r="A2" s="2369"/>
      <c r="B2" s="2109"/>
      <c r="C2" s="2110"/>
      <c r="D2" s="2502" t="s">
        <v>1659</v>
      </c>
      <c r="E2" s="16"/>
      <c r="F2" s="16"/>
      <c r="G2" s="16"/>
      <c r="H2" s="16"/>
      <c r="I2" s="16"/>
      <c r="J2" s="16"/>
      <c r="K2" s="17"/>
      <c r="L2" s="1601"/>
      <c r="M2" s="1601"/>
      <c r="N2" s="1601"/>
      <c r="O2" s="1601"/>
      <c r="P2" s="1601"/>
      <c r="Q2" s="1601"/>
      <c r="R2" s="1601"/>
      <c r="S2" s="1601"/>
      <c r="T2" s="1601"/>
      <c r="U2" s="1601"/>
      <c r="V2" s="1601"/>
      <c r="W2" s="1601"/>
      <c r="X2" s="1601"/>
      <c r="Y2" s="1601"/>
    </row>
    <row r="3" ht="18.75" customHeight="1">
      <c r="A3" s="1601"/>
      <c r="B3" s="1601"/>
      <c r="C3" s="1601"/>
      <c r="D3" s="1599"/>
      <c r="E3" s="1599"/>
      <c r="F3" s="1599"/>
      <c r="G3" s="1599"/>
      <c r="H3" s="1601"/>
      <c r="I3" s="1601"/>
      <c r="J3" s="1601"/>
      <c r="K3" s="1601"/>
      <c r="L3" s="1601"/>
      <c r="M3" s="1601"/>
      <c r="N3" s="1601"/>
      <c r="O3" s="1601"/>
      <c r="P3" s="1601"/>
      <c r="Q3" s="1601"/>
      <c r="R3" s="1601"/>
      <c r="S3" s="1601"/>
      <c r="T3" s="1601"/>
      <c r="U3" s="1601"/>
      <c r="V3" s="1601"/>
      <c r="W3" s="1601"/>
      <c r="X3" s="1601"/>
      <c r="Y3" s="1601"/>
    </row>
    <row r="4" ht="18.75" customHeight="1">
      <c r="A4" s="2369" t="s">
        <v>1013</v>
      </c>
      <c r="B4" s="2109"/>
      <c r="C4" s="2110"/>
      <c r="D4" s="2503" t="s">
        <v>165</v>
      </c>
      <c r="E4" s="112"/>
      <c r="F4" s="112"/>
      <c r="G4" s="112"/>
      <c r="H4" s="20"/>
      <c r="I4" s="1601"/>
      <c r="J4" s="1601"/>
      <c r="K4" s="1601"/>
      <c r="L4" s="1601"/>
      <c r="M4" s="1601"/>
      <c r="N4" s="1601"/>
      <c r="O4" s="1601"/>
      <c r="P4" s="1601"/>
      <c r="Q4" s="1601"/>
      <c r="R4" s="1601"/>
      <c r="S4" s="1601"/>
      <c r="T4" s="1601"/>
      <c r="U4" s="1601"/>
      <c r="V4" s="1601"/>
      <c r="W4" s="1601"/>
      <c r="X4" s="1601"/>
      <c r="Y4" s="1601"/>
    </row>
    <row r="5" ht="18.75" customHeight="1">
      <c r="A5" s="2421" t="s">
        <v>1788</v>
      </c>
      <c r="C5" s="115"/>
      <c r="D5" s="43"/>
      <c r="H5" s="44"/>
      <c r="I5" s="1601"/>
      <c r="J5" s="1601"/>
      <c r="K5" s="1601"/>
      <c r="L5" s="1601"/>
      <c r="M5" s="1601"/>
      <c r="N5" s="1601"/>
      <c r="O5" s="1601"/>
      <c r="P5" s="1601"/>
      <c r="Q5" s="1601"/>
      <c r="R5" s="1601"/>
      <c r="S5" s="1601"/>
      <c r="T5" s="1601"/>
      <c r="U5" s="1601"/>
      <c r="V5" s="1601"/>
      <c r="W5" s="1601"/>
      <c r="X5" s="1601"/>
      <c r="Y5" s="1601"/>
    </row>
    <row r="6" ht="18.75" customHeight="1">
      <c r="C6" s="115"/>
      <c r="D6" s="2115"/>
      <c r="E6" s="1621"/>
      <c r="F6" s="1621"/>
      <c r="G6" s="1621"/>
      <c r="H6" s="1622"/>
      <c r="I6" s="1601"/>
      <c r="J6" s="1601"/>
      <c r="K6" s="1601"/>
      <c r="L6" s="1601"/>
      <c r="M6" s="1601"/>
      <c r="N6" s="1601"/>
      <c r="O6" s="1601"/>
      <c r="P6" s="1601"/>
      <c r="Q6" s="1601"/>
      <c r="R6" s="1601"/>
      <c r="S6" s="1601"/>
      <c r="T6" s="1601"/>
      <c r="U6" s="1601"/>
      <c r="V6" s="1601"/>
      <c r="W6" s="1601"/>
      <c r="X6" s="1601"/>
      <c r="Y6" s="1601"/>
    </row>
    <row r="7" ht="18.75" customHeight="1">
      <c r="A7" s="2372" t="s">
        <v>82</v>
      </c>
      <c r="B7" s="2373" t="s">
        <v>83</v>
      </c>
      <c r="C7" s="2374" t="s">
        <v>84</v>
      </c>
      <c r="D7" s="2504" t="str">
        <f>HYPERLINK("https://www.reddit.com/r/RMTK/comments/avu0ir/","W0011")</f>
        <v>W0011</v>
      </c>
      <c r="E7" s="2504" t="str">
        <f>HYPERLINK("https://www.reddit.com/r/RMTK/comments/axb6a2/","W0012")</f>
        <v>W0012</v>
      </c>
      <c r="F7" s="2504" t="str">
        <f>HYPERLINK("https://www.reddit.com/r/RMTK/comments/axyq3e/","W0013")</f>
        <v>W0013</v>
      </c>
      <c r="G7" s="2504" t="str">
        <f>HYPERLINK("https://www.reddit.com/r/RMTK/comments/aygvku/","W0015")</f>
        <v>W0015</v>
      </c>
      <c r="H7" s="2505" t="str">
        <f>HYPERLINK("https://www.reddit.com/r/RMTK/comments/bdxiws","W0017")</f>
        <v>W0017</v>
      </c>
      <c r="I7" s="1601"/>
      <c r="J7" s="1601"/>
      <c r="K7" s="1601"/>
      <c r="L7" s="1601"/>
      <c r="M7" s="1601"/>
      <c r="N7" s="1601"/>
      <c r="O7" s="1601"/>
      <c r="P7" s="1601"/>
      <c r="Q7" s="1601"/>
      <c r="R7" s="1601"/>
      <c r="S7" s="1601"/>
      <c r="T7" s="1601"/>
      <c r="U7" s="1601"/>
      <c r="V7" s="1601"/>
      <c r="W7" s="1601"/>
      <c r="X7" s="1601"/>
      <c r="Y7" s="1601"/>
    </row>
    <row r="8" ht="6.0" customHeight="1">
      <c r="A8" s="2260"/>
      <c r="B8" s="2261"/>
      <c r="C8" s="2261"/>
      <c r="D8" s="2260"/>
      <c r="E8" s="2260"/>
      <c r="F8" s="2260"/>
      <c r="G8" s="2260"/>
      <c r="H8" s="2506"/>
      <c r="I8" s="1601"/>
      <c r="J8" s="1601"/>
      <c r="K8" s="1601"/>
      <c r="L8" s="1601"/>
      <c r="M8" s="1601"/>
      <c r="N8" s="1601"/>
      <c r="O8" s="1601"/>
      <c r="P8" s="1601"/>
      <c r="Q8" s="1601"/>
      <c r="R8" s="1601"/>
      <c r="S8" s="1601"/>
      <c r="T8" s="1601"/>
      <c r="U8" s="1601"/>
      <c r="V8" s="1601"/>
      <c r="W8" s="1601"/>
      <c r="X8" s="1601"/>
      <c r="Y8" s="1601"/>
    </row>
    <row r="9" ht="18.75" customHeight="1">
      <c r="A9" s="2507" t="s">
        <v>173</v>
      </c>
      <c r="B9" s="2508" t="s">
        <v>440</v>
      </c>
      <c r="C9" s="2509" t="s">
        <v>1305</v>
      </c>
      <c r="D9" s="2381" t="s">
        <v>110</v>
      </c>
      <c r="E9" s="2510" t="s">
        <v>110</v>
      </c>
      <c r="F9" s="2510" t="s">
        <v>110</v>
      </c>
      <c r="G9" s="2381" t="s">
        <v>110</v>
      </c>
      <c r="H9" s="2511" t="s">
        <v>110</v>
      </c>
      <c r="I9" s="1601"/>
      <c r="J9" s="1601"/>
      <c r="K9" s="1601"/>
      <c r="L9" s="1601"/>
      <c r="M9" s="1601"/>
      <c r="N9" s="1601"/>
      <c r="O9" s="1601"/>
      <c r="P9" s="1601"/>
      <c r="Q9" s="1601"/>
      <c r="R9" s="1601"/>
      <c r="S9" s="1601"/>
      <c r="T9" s="1601"/>
      <c r="U9" s="1601"/>
      <c r="V9" s="1601"/>
      <c r="W9" s="1601"/>
      <c r="X9" s="1601"/>
      <c r="Y9" s="1601"/>
    </row>
    <row r="10" ht="18.75" customHeight="1">
      <c r="A10" s="614"/>
      <c r="B10" s="2512" t="s">
        <v>31</v>
      </c>
      <c r="C10" s="2513" t="s">
        <v>32</v>
      </c>
      <c r="D10" s="2270" t="s">
        <v>110</v>
      </c>
      <c r="E10" s="2510" t="s">
        <v>110</v>
      </c>
      <c r="F10" s="2510" t="s">
        <v>110</v>
      </c>
      <c r="G10" s="2381" t="s">
        <v>110</v>
      </c>
      <c r="H10" s="2511" t="s">
        <v>110</v>
      </c>
      <c r="I10" s="1601"/>
      <c r="J10" s="1601"/>
      <c r="K10" s="1601"/>
      <c r="L10" s="1601"/>
      <c r="M10" s="1601"/>
      <c r="N10" s="1601"/>
      <c r="O10" s="1601"/>
      <c r="P10" s="1601"/>
      <c r="Q10" s="1601"/>
      <c r="R10" s="1601"/>
      <c r="S10" s="1601"/>
      <c r="T10" s="1601"/>
      <c r="U10" s="1601"/>
      <c r="V10" s="1601"/>
      <c r="W10" s="1601"/>
      <c r="X10" s="1601"/>
      <c r="Y10" s="1601"/>
    </row>
    <row r="11" ht="6.75" customHeight="1">
      <c r="A11" s="2514"/>
      <c r="B11" s="2515"/>
      <c r="C11" s="2486"/>
      <c r="D11" s="2391" t="str">
        <f t="shared" ref="D11:H11" si="1">LINKURL(D7)</f>
        <v>https://www.reddit.com/r/RMTK/comments/avu0ir/</v>
      </c>
      <c r="E11" s="2516" t="str">
        <f t="shared" si="1"/>
        <v>https://www.reddit.com/r/RMTK/comments/axb6a2/</v>
      </c>
      <c r="F11" s="2516" t="str">
        <f t="shared" si="1"/>
        <v>https://www.reddit.com/r/RMTK/comments/axyq3e/</v>
      </c>
      <c r="G11" s="2391" t="str">
        <f t="shared" si="1"/>
        <v>https://www.reddit.com/r/RMTK/comments/aygvku/</v>
      </c>
      <c r="H11" s="2517" t="str">
        <f t="shared" si="1"/>
        <v>https://www.reddit.com/r/RMTK/comments/bdxiws</v>
      </c>
      <c r="I11" s="2518" t="s">
        <v>1221</v>
      </c>
      <c r="J11" s="1601"/>
      <c r="K11" s="1601"/>
      <c r="L11" s="1601"/>
      <c r="M11" s="1601"/>
      <c r="N11" s="1601"/>
      <c r="O11" s="1601"/>
      <c r="P11" s="1601"/>
      <c r="Q11" s="1601"/>
      <c r="R11" s="1601"/>
      <c r="S11" s="1601"/>
      <c r="T11" s="1601"/>
      <c r="U11" s="1601"/>
      <c r="V11" s="1601"/>
      <c r="W11" s="1601"/>
      <c r="X11" s="1601"/>
      <c r="Y11" s="1601"/>
    </row>
    <row r="12" ht="18.75" customHeight="1">
      <c r="A12" s="2519" t="s">
        <v>1578</v>
      </c>
      <c r="B12" s="2520" t="s">
        <v>446</v>
      </c>
      <c r="C12" s="2521" t="s">
        <v>521</v>
      </c>
      <c r="D12" s="2270" t="s">
        <v>110</v>
      </c>
      <c r="E12" s="2510" t="s">
        <v>110</v>
      </c>
      <c r="F12" s="2510" t="s">
        <v>110</v>
      </c>
      <c r="G12" s="2381" t="s">
        <v>110</v>
      </c>
      <c r="H12" s="2511" t="s">
        <v>110</v>
      </c>
      <c r="I12" s="1601"/>
      <c r="J12" s="1601"/>
      <c r="K12" s="1601"/>
      <c r="L12" s="1601"/>
      <c r="M12" s="1601"/>
      <c r="N12" s="1601"/>
      <c r="O12" s="1601"/>
      <c r="P12" s="1601"/>
      <c r="Q12" s="1601"/>
      <c r="R12" s="1601"/>
      <c r="S12" s="1601"/>
      <c r="T12" s="1601"/>
      <c r="U12" s="1601"/>
      <c r="V12" s="1601"/>
      <c r="W12" s="1601"/>
      <c r="X12" s="1601"/>
      <c r="Y12" s="1601"/>
    </row>
    <row r="13" ht="18.75" customHeight="1">
      <c r="B13" s="2522" t="s">
        <v>449</v>
      </c>
      <c r="C13" s="2523" t="s">
        <v>610</v>
      </c>
      <c r="D13" s="2270" t="s">
        <v>110</v>
      </c>
      <c r="E13" s="2510" t="s">
        <v>110</v>
      </c>
      <c r="F13" s="2510" t="s">
        <v>110</v>
      </c>
      <c r="G13" s="2381" t="s">
        <v>110</v>
      </c>
      <c r="H13" s="2511" t="s">
        <v>110</v>
      </c>
      <c r="I13" s="1601"/>
      <c r="J13" s="1601"/>
      <c r="K13" s="1601"/>
      <c r="L13" s="1601"/>
      <c r="M13" s="1601"/>
      <c r="N13" s="1601"/>
      <c r="O13" s="1601"/>
      <c r="P13" s="1601"/>
      <c r="Q13" s="1601"/>
      <c r="R13" s="1601"/>
      <c r="S13" s="1601"/>
      <c r="T13" s="1601"/>
      <c r="U13" s="1601"/>
      <c r="V13" s="1601"/>
      <c r="W13" s="1601"/>
      <c r="X13" s="1601"/>
      <c r="Y13" s="1601"/>
    </row>
    <row r="14" ht="18.75" customHeight="1">
      <c r="B14" s="2524" t="s">
        <v>452</v>
      </c>
      <c r="C14" s="2525" t="s">
        <v>1791</v>
      </c>
      <c r="D14" s="2270" t="s">
        <v>110</v>
      </c>
      <c r="E14" s="2510" t="s">
        <v>108</v>
      </c>
      <c r="F14" s="2510" t="s">
        <v>108</v>
      </c>
      <c r="G14" s="2381" t="s">
        <v>108</v>
      </c>
      <c r="H14" s="2511" t="s">
        <v>108</v>
      </c>
      <c r="I14" s="1601"/>
      <c r="J14" s="1601"/>
      <c r="K14" s="1601"/>
      <c r="L14" s="1601"/>
      <c r="M14" s="1601"/>
      <c r="N14" s="1601"/>
      <c r="O14" s="1601"/>
      <c r="P14" s="1601"/>
      <c r="Q14" s="1601"/>
      <c r="R14" s="1601"/>
      <c r="S14" s="1601"/>
      <c r="T14" s="1601"/>
      <c r="U14" s="1601"/>
      <c r="V14" s="1601"/>
      <c r="W14" s="1601"/>
      <c r="X14" s="1601"/>
      <c r="Y14" s="1601"/>
    </row>
    <row r="15" ht="12.0" customHeight="1">
      <c r="A15" s="2514"/>
      <c r="B15" s="2526"/>
      <c r="C15" s="2527"/>
      <c r="D15" s="2007" t="str">
        <f t="shared" ref="D15:H15" si="2">CONCATENATE("{""status"": ", IF(GT(D16, D17), """aangenomen""", """verworpen"""), ", ""title"": """, D7, """, ""url"": """,D11  , """, ""voor"":", D16,", ""tegen"": ", D17, ", ""onthouden"":", D18, "}")</f>
        <v>{"status": "aangenomen", "title": "W0011", "url": "https://www.reddit.com/r/RMTK/comments/avu0ir/", "voor":5, "tegen": 0, "onthouden":0}</v>
      </c>
      <c r="E15" s="2007" t="str">
        <f t="shared" si="2"/>
        <v>{"status": "aangenomen", "title": "W0012", "url": "https://www.reddit.com/r/RMTK/comments/axb6a2/", "voor":4, "tegen": 0, "onthouden":0}</v>
      </c>
      <c r="F15" s="2007" t="str">
        <f t="shared" si="2"/>
        <v>{"status": "aangenomen", "title": "W0013", "url": "https://www.reddit.com/r/RMTK/comments/axyq3e/", "voor":4, "tegen": 0, "onthouden":0}</v>
      </c>
      <c r="G15" s="2007" t="str">
        <f t="shared" si="2"/>
        <v>{"status": "aangenomen", "title": "W0015", "url": "https://www.reddit.com/r/RMTK/comments/aygvku/", "voor":4, "tegen": 0, "onthouden":0}</v>
      </c>
      <c r="H15" s="2528" t="str">
        <f t="shared" si="2"/>
        <v>{"status": "aangenomen", "title": "W0017", "url": "https://www.reddit.com/r/RMTK/comments/bdxiws", "voor":4, "tegen": 0, "onthouden":0}</v>
      </c>
      <c r="I15" s="2518" t="s">
        <v>1221</v>
      </c>
      <c r="J15" s="1601"/>
      <c r="K15" s="1601"/>
      <c r="L15" s="1601"/>
      <c r="M15" s="1601"/>
      <c r="N15" s="1601"/>
      <c r="O15" s="1601"/>
      <c r="P15" s="1601"/>
      <c r="Q15" s="1601"/>
      <c r="R15" s="1601"/>
      <c r="S15" s="1601"/>
      <c r="T15" s="1601"/>
      <c r="U15" s="1601"/>
      <c r="V15" s="1601"/>
      <c r="W15" s="1601"/>
      <c r="X15" s="1601"/>
      <c r="Y15" s="1601"/>
    </row>
    <row r="16" ht="18.75" customHeight="1">
      <c r="A16" s="2406" t="s">
        <v>158</v>
      </c>
      <c r="B16" s="2407" t="s">
        <v>110</v>
      </c>
      <c r="D16" s="2408">
        <f t="shared" ref="D16:H16" si="3">COUNTIF(D6:D14,"Voor")</f>
        <v>5</v>
      </c>
      <c r="E16" s="2529">
        <f t="shared" si="3"/>
        <v>4</v>
      </c>
      <c r="F16" s="2529">
        <f t="shared" si="3"/>
        <v>4</v>
      </c>
      <c r="G16" s="2529">
        <f t="shared" si="3"/>
        <v>4</v>
      </c>
      <c r="H16" s="2529">
        <f t="shared" si="3"/>
        <v>4</v>
      </c>
      <c r="I16" s="1601"/>
      <c r="J16" s="1601"/>
      <c r="K16" s="1601"/>
      <c r="L16" s="1601"/>
      <c r="M16" s="1601"/>
      <c r="N16" s="1601"/>
      <c r="O16" s="1601"/>
      <c r="P16" s="1601"/>
      <c r="Q16" s="1601"/>
      <c r="R16" s="1601"/>
      <c r="S16" s="1601"/>
      <c r="T16" s="1601"/>
      <c r="U16" s="1601"/>
      <c r="V16" s="1601"/>
      <c r="W16" s="1601"/>
      <c r="X16" s="1601"/>
      <c r="Y16" s="1601"/>
    </row>
    <row r="17" ht="18.75" customHeight="1">
      <c r="B17" s="2409" t="s">
        <v>109</v>
      </c>
      <c r="D17" s="2410">
        <f t="shared" ref="D17:H17" si="4">COUNTIF(D6:D14,"Tegen")</f>
        <v>0</v>
      </c>
      <c r="E17" s="2530">
        <f t="shared" si="4"/>
        <v>0</v>
      </c>
      <c r="F17" s="2530">
        <f t="shared" si="4"/>
        <v>0</v>
      </c>
      <c r="G17" s="2530">
        <f t="shared" si="4"/>
        <v>0</v>
      </c>
      <c r="H17" s="2530">
        <f t="shared" si="4"/>
        <v>0</v>
      </c>
      <c r="I17" s="1601"/>
      <c r="J17" s="1601"/>
      <c r="K17" s="1601"/>
      <c r="L17" s="1601"/>
      <c r="M17" s="1601"/>
      <c r="N17" s="1601"/>
      <c r="O17" s="1601"/>
      <c r="P17" s="1601"/>
      <c r="Q17" s="1601"/>
      <c r="R17" s="1601"/>
      <c r="S17" s="1601"/>
      <c r="T17" s="1601"/>
      <c r="U17" s="1601"/>
      <c r="V17" s="1601"/>
      <c r="W17" s="1601"/>
      <c r="X17" s="1601"/>
      <c r="Y17" s="1601"/>
    </row>
    <row r="18" ht="18.75" customHeight="1">
      <c r="B18" s="2531" t="s">
        <v>159</v>
      </c>
      <c r="D18" s="2412">
        <f t="shared" ref="D18:H18" si="5">COUNTIF(D6:D14,"SO")</f>
        <v>0</v>
      </c>
      <c r="E18" s="2532">
        <f t="shared" si="5"/>
        <v>0</v>
      </c>
      <c r="F18" s="2532">
        <f t="shared" si="5"/>
        <v>0</v>
      </c>
      <c r="G18" s="2532">
        <f t="shared" si="5"/>
        <v>0</v>
      </c>
      <c r="H18" s="2532">
        <f t="shared" si="5"/>
        <v>0</v>
      </c>
      <c r="I18" s="1601"/>
      <c r="J18" s="1601"/>
      <c r="K18" s="1601"/>
      <c r="L18" s="1601"/>
      <c r="M18" s="1601"/>
      <c r="N18" s="1601"/>
      <c r="O18" s="1601"/>
      <c r="P18" s="1601"/>
      <c r="Q18" s="1601"/>
      <c r="R18" s="1601"/>
      <c r="S18" s="1601"/>
      <c r="T18" s="1601"/>
      <c r="U18" s="1601"/>
      <c r="V18" s="1601"/>
      <c r="W18" s="1601"/>
      <c r="X18" s="1601"/>
      <c r="Y18" s="1601"/>
    </row>
    <row r="19" ht="18.75" customHeight="1">
      <c r="B19" s="2533" t="s">
        <v>160</v>
      </c>
      <c r="D19" s="2414">
        <f t="shared" ref="D19:H19" si="6">COUNTIF(D6:D14,"NG")</f>
        <v>0</v>
      </c>
      <c r="E19" s="2534">
        <f t="shared" si="6"/>
        <v>1</v>
      </c>
      <c r="F19" s="2534">
        <f t="shared" si="6"/>
        <v>1</v>
      </c>
      <c r="G19" s="2534">
        <f t="shared" si="6"/>
        <v>1</v>
      </c>
      <c r="H19" s="2534">
        <f t="shared" si="6"/>
        <v>1</v>
      </c>
      <c r="I19" s="1601"/>
      <c r="J19" s="1601"/>
      <c r="K19" s="1601"/>
      <c r="L19" s="1601"/>
      <c r="M19" s="1601"/>
      <c r="N19" s="1601"/>
      <c r="O19" s="1601"/>
      <c r="P19" s="1601"/>
      <c r="Q19" s="1601"/>
      <c r="R19" s="1601"/>
      <c r="S19" s="1601"/>
      <c r="T19" s="1601"/>
      <c r="U19" s="1601"/>
      <c r="V19" s="1601"/>
      <c r="W19" s="1601"/>
      <c r="X19" s="1601"/>
      <c r="Y19" s="1601"/>
    </row>
    <row r="20" ht="18.75" customHeight="1">
      <c r="B20" s="2415" t="s">
        <v>161</v>
      </c>
      <c r="D20" s="2492">
        <f t="shared" ref="D20:H20" si="7">SUM(D16:D19)</f>
        <v>5</v>
      </c>
      <c r="E20" s="2416">
        <f t="shared" si="7"/>
        <v>5</v>
      </c>
      <c r="F20" s="2416">
        <f t="shared" si="7"/>
        <v>5</v>
      </c>
      <c r="G20" s="2416">
        <f t="shared" si="7"/>
        <v>5</v>
      </c>
      <c r="H20" s="2416">
        <f t="shared" si="7"/>
        <v>5</v>
      </c>
      <c r="I20" s="1601"/>
      <c r="J20" s="1601"/>
      <c r="K20" s="1601"/>
      <c r="L20" s="1601"/>
      <c r="M20" s="1601"/>
      <c r="N20" s="1601"/>
      <c r="O20" s="1601"/>
      <c r="P20" s="1601"/>
      <c r="Q20" s="1601"/>
      <c r="R20" s="1601"/>
      <c r="S20" s="1601"/>
      <c r="T20" s="1601"/>
      <c r="U20" s="1601"/>
      <c r="V20" s="1601"/>
      <c r="W20" s="1601"/>
      <c r="X20" s="1601"/>
      <c r="Y20" s="1601"/>
    </row>
    <row r="21" ht="18.75" customHeight="1">
      <c r="B21" s="2417" t="s">
        <v>162</v>
      </c>
      <c r="D21" s="2493">
        <f t="shared" ref="D21:H21" si="8">D16+D17+D18</f>
        <v>5</v>
      </c>
      <c r="E21" s="2418">
        <f t="shared" si="8"/>
        <v>4</v>
      </c>
      <c r="F21" s="2418">
        <f t="shared" si="8"/>
        <v>4</v>
      </c>
      <c r="G21" s="2418">
        <f t="shared" si="8"/>
        <v>4</v>
      </c>
      <c r="H21" s="2418">
        <f t="shared" si="8"/>
        <v>4</v>
      </c>
      <c r="I21" s="1601"/>
      <c r="J21" s="1601"/>
      <c r="K21" s="1601"/>
      <c r="L21" s="1601"/>
      <c r="M21" s="1601"/>
      <c r="N21" s="1601"/>
      <c r="O21" s="1601"/>
      <c r="P21" s="1601"/>
      <c r="Q21" s="1601"/>
      <c r="R21" s="1601"/>
      <c r="S21" s="1601"/>
      <c r="T21" s="1601"/>
      <c r="U21" s="1601"/>
      <c r="V21" s="1601"/>
      <c r="W21" s="1601"/>
      <c r="X21" s="1601"/>
      <c r="Y21" s="1601"/>
    </row>
    <row r="22" ht="18.75" customHeight="1">
      <c r="B22" s="2419" t="s">
        <v>163</v>
      </c>
      <c r="C22" s="109"/>
      <c r="D22" s="2494">
        <f t="shared" ref="D22:H22" si="9">IFERROR(D21/D20,"")</f>
        <v>1</v>
      </c>
      <c r="E22" s="2420">
        <f t="shared" si="9"/>
        <v>0.8</v>
      </c>
      <c r="F22" s="2420">
        <f t="shared" si="9"/>
        <v>0.8</v>
      </c>
      <c r="G22" s="2420">
        <f t="shared" si="9"/>
        <v>0.8</v>
      </c>
      <c r="H22" s="2420">
        <f t="shared" si="9"/>
        <v>0.8</v>
      </c>
      <c r="I22" s="1601"/>
      <c r="J22" s="1601"/>
      <c r="K22" s="1601"/>
      <c r="L22" s="1601"/>
      <c r="M22" s="1601"/>
      <c r="N22" s="1601"/>
      <c r="O22" s="1601"/>
      <c r="P22" s="1601"/>
      <c r="Q22" s="1601"/>
      <c r="R22" s="1601"/>
      <c r="S22" s="1601"/>
      <c r="T22" s="1601"/>
      <c r="U22" s="1601"/>
      <c r="V22" s="1601"/>
      <c r="W22" s="1601"/>
      <c r="X22" s="1601"/>
      <c r="Y22" s="1601"/>
    </row>
    <row r="23" ht="18.75" customHeight="1">
      <c r="A23" s="1599"/>
      <c r="B23" s="1599"/>
      <c r="C23" s="1599"/>
      <c r="D23" s="1601"/>
      <c r="E23" s="1601"/>
      <c r="F23" s="1601"/>
      <c r="G23" s="1601"/>
      <c r="H23" s="1601"/>
      <c r="I23" s="1601"/>
      <c r="J23" s="1601"/>
      <c r="K23" s="1601"/>
      <c r="L23" s="1601"/>
      <c r="M23" s="1601"/>
      <c r="N23" s="1601"/>
      <c r="O23" s="1601"/>
      <c r="P23" s="1601"/>
      <c r="Q23" s="1601"/>
      <c r="R23" s="1601"/>
      <c r="S23" s="1601"/>
      <c r="T23" s="1601"/>
      <c r="U23" s="1601"/>
      <c r="V23" s="1601"/>
      <c r="W23" s="1601"/>
      <c r="X23" s="1601"/>
      <c r="Y23" s="1601"/>
    </row>
    <row r="24" ht="18.75" customHeight="1">
      <c r="A24" s="1601"/>
      <c r="B24" s="1601"/>
      <c r="C24" s="1601"/>
      <c r="D24" s="1601"/>
      <c r="E24" s="1601"/>
      <c r="F24" s="1601"/>
      <c r="G24" s="1601"/>
      <c r="H24" s="1601"/>
      <c r="I24" s="1601"/>
      <c r="J24" s="1601"/>
      <c r="K24" s="1601"/>
      <c r="L24" s="1601"/>
      <c r="M24" s="1601"/>
      <c r="N24" s="1601"/>
      <c r="O24" s="1601"/>
      <c r="P24" s="1601"/>
      <c r="Q24" s="1601"/>
      <c r="R24" s="1601"/>
      <c r="S24" s="1601"/>
      <c r="T24" s="1601"/>
      <c r="U24" s="1601"/>
      <c r="V24" s="1601"/>
      <c r="W24" s="1601"/>
      <c r="X24" s="1601"/>
      <c r="Y24" s="1601"/>
    </row>
  </sheetData>
  <mergeCells count="15">
    <mergeCell ref="A12:A14"/>
    <mergeCell ref="B16:C16"/>
    <mergeCell ref="B17:C17"/>
    <mergeCell ref="B18:C18"/>
    <mergeCell ref="B19:C19"/>
    <mergeCell ref="B20:C20"/>
    <mergeCell ref="B21:C21"/>
    <mergeCell ref="B22:C22"/>
    <mergeCell ref="A2:C2"/>
    <mergeCell ref="D2:K2"/>
    <mergeCell ref="A4:C4"/>
    <mergeCell ref="D4:H6"/>
    <mergeCell ref="A5:C6"/>
    <mergeCell ref="A9:A10"/>
    <mergeCell ref="A16:A22"/>
  </mergeCells>
  <conditionalFormatting sqref="D9:H10 D12:H14">
    <cfRule type="containsText" dxfId="4" priority="1" operator="containsText" text="voor">
      <formula>NOT(ISERROR(SEARCH(("voor"),(D9))))</formula>
    </cfRule>
  </conditionalFormatting>
  <conditionalFormatting sqref="D9:H14">
    <cfRule type="containsText" dxfId="2" priority="2" operator="containsText" text="SO">
      <formula>NOT(ISERROR(SEARCH(("SO"),(D9))))</formula>
    </cfRule>
  </conditionalFormatting>
  <conditionalFormatting sqref="D11:H11">
    <cfRule type="containsText" dxfId="49" priority="3" operator="containsText" text="voor">
      <formula>NOT(ISERROR(SEARCH(("voor"),(D11))))</formula>
    </cfRule>
  </conditionalFormatting>
  <conditionalFormatting sqref="D9:H14">
    <cfRule type="containsText" dxfId="5" priority="4" operator="containsText" text="NG">
      <formula>NOT(ISERROR(SEARCH(("NG"),(D9))))</formula>
    </cfRule>
  </conditionalFormatting>
  <conditionalFormatting sqref="D9:H14">
    <cfRule type="containsText" dxfId="6" priority="5" operator="containsText" text="NVT">
      <formula>NOT(ISERROR(SEARCH(("NVT"),(D9))))</formula>
    </cfRule>
  </conditionalFormatting>
  <conditionalFormatting sqref="A1:H3 I1:Y23 H7:H14 D9 E9:G10 E12:G14 H16:H24 A23:C23 D23:G24">
    <cfRule type="containsText" dxfId="39" priority="6" operator="containsText" text="SO">
      <formula>NOT(ISERROR(SEARCH(("SO"),(A1))))</formula>
    </cfRule>
  </conditionalFormatting>
  <conditionalFormatting sqref="A1:H3 I1:Y23 H7:H14 D9 E9:G10 E12:G14 H16:H24 A23:C23 D23:G24">
    <cfRule type="containsText" dxfId="40" priority="7" operator="containsText" text="N.v.t.">
      <formula>NOT(ISERROR(SEARCH(("N.v.t."),(A1))))</formula>
    </cfRule>
  </conditionalFormatting>
  <conditionalFormatting sqref="A1:H3 I1:Y23 H7:H14 D9 E9:G10 E12:G14 H16:H24 A23:C23 D23:G24">
    <cfRule type="containsText" dxfId="23" priority="8" operator="containsText" text="Voor">
      <formula>NOT(ISERROR(SEARCH(("Voor"),(A1))))</formula>
    </cfRule>
  </conditionalFormatting>
  <conditionalFormatting sqref="A1:H3 I1:Y23 H7:H14 D9 E9:G10 E12:G14 H16:H24 A23:C23 D23:G24">
    <cfRule type="containsText" dxfId="41" priority="9" operator="containsText" text="Tegen">
      <formula>NOT(ISERROR(SEARCH(("Tegen"),(A1))))</formula>
    </cfRule>
  </conditionalFormatting>
  <conditionalFormatting sqref="A1:H3 I1:Y23 H7:H14 D9 E9:G10 E12:G14 H16:H24 A23:C23 D23:G24">
    <cfRule type="containsText" dxfId="42" priority="10" operator="containsText" text="N.v.t.">
      <formula>NOT(ISERROR(SEARCH(("N.v.t."),(A1))))</formula>
    </cfRule>
  </conditionalFormatting>
  <conditionalFormatting sqref="A1:H3 I1:Y23 H7:H14 D9 E9:G10 E12:G14 H16:H24 A23:C23 D23:G24">
    <cfRule type="cellIs" dxfId="39" priority="11" operator="equal">
      <formula>"SO"</formula>
    </cfRule>
  </conditionalFormatting>
  <conditionalFormatting sqref="A1:H3 I1:Y23 H7:H14 D9 E9:G10 E12:G14 H16:H24 A23:C23 D23:G24">
    <cfRule type="cellIs" dxfId="43" priority="12" operator="equal">
      <formula>"NG"</formula>
    </cfRule>
  </conditionalFormatting>
  <conditionalFormatting sqref="A1:A5 B1:C4 D1:G6 H1:H14 I1:Y23 A7:A8 B7:C12 D8:G14 A11 A15:C23 D16:H24">
    <cfRule type="containsText" dxfId="0" priority="13" operator="containsText" text="voor">
      <formula>NOT(ISERROR(SEARCH(("voor"),(A1))))</formula>
    </cfRule>
  </conditionalFormatting>
  <conditionalFormatting sqref="A1:A5 B1:C4 D1:G6 H1:H14 I1:Y23 A7:A8 B7:C12 D8:G14 A11 A15:C23 D16:H24">
    <cfRule type="containsText" dxfId="1" priority="14" operator="containsText" text="tegen">
      <formula>NOT(ISERROR(SEARCH(("tegen"),(A1))))</formula>
    </cfRule>
  </conditionalFormatting>
  <conditionalFormatting sqref="A1:C3 D1:G6 H1:H14 I1:Y23 D8:G14 D16:H24 A23:C23">
    <cfRule type="containsText" dxfId="44" priority="15" operator="containsText" text="SO">
      <formula>NOT(ISERROR(SEARCH(("SO"),(A1))))</formula>
    </cfRule>
  </conditionalFormatting>
  <conditionalFormatting sqref="A1:C3 D1:G6 H1:H14 I1:Y23 D8:G14 D16:H24 A23:C23">
    <cfRule type="containsText" dxfId="45" priority="16" operator="containsText" text="NG">
      <formula>NOT(ISERROR(SEARCH(("NG"),(A1))))</formula>
    </cfRule>
  </conditionalFormatting>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B0F00"/>
    <outlinePr summaryBelow="0" summaryRight="0"/>
  </sheetPr>
  <sheetViews>
    <sheetView workbookViewId="0">
      <pane xSplit="3.0" ySplit="5.0" topLeftCell="D6" activePane="bottomRight" state="frozen"/>
      <selection activeCell="D1" sqref="D1" pane="topRight"/>
      <selection activeCell="A6" sqref="A6" pane="bottomLeft"/>
      <selection activeCell="D6" sqref="D6" pane="bottomRight"/>
    </sheetView>
  </sheetViews>
  <sheetFormatPr customHeight="1" defaultColWidth="14.43" defaultRowHeight="15.75"/>
  <cols>
    <col customWidth="1" min="1" max="1" width="10.86"/>
    <col customWidth="1" min="2" max="2" width="11.0"/>
    <col customWidth="1" min="3" max="3" width="26.29"/>
  </cols>
  <sheetData>
    <row r="1" ht="18.75" customHeight="1">
      <c r="A1" s="2248" t="s">
        <v>164</v>
      </c>
      <c r="B1" s="2249"/>
      <c r="C1" s="2249"/>
      <c r="D1" s="2249"/>
      <c r="E1" s="2249"/>
      <c r="F1" s="2249"/>
      <c r="G1" s="2249"/>
      <c r="H1" s="2249"/>
      <c r="I1" s="2249"/>
      <c r="J1" s="2250"/>
      <c r="K1" s="2250"/>
      <c r="L1" s="2250"/>
      <c r="M1" s="2250"/>
      <c r="N1" s="2250"/>
      <c r="O1" s="2250"/>
      <c r="P1" s="2250"/>
      <c r="Q1" s="2250"/>
      <c r="R1" s="2250"/>
      <c r="S1" s="2250"/>
      <c r="T1" s="2250"/>
      <c r="U1" s="2250"/>
      <c r="V1" s="2250"/>
      <c r="W1" s="2250"/>
      <c r="X1" s="2250"/>
      <c r="Y1" s="2250"/>
      <c r="Z1" s="2250"/>
      <c r="AA1" s="2250"/>
    </row>
    <row r="2" ht="18.75" customHeight="1">
      <c r="A2" s="2252" t="s">
        <v>1012</v>
      </c>
      <c r="B2" s="109"/>
      <c r="C2" s="110"/>
      <c r="D2" s="2535" t="s">
        <v>1792</v>
      </c>
      <c r="E2" s="112"/>
      <c r="F2" s="112"/>
      <c r="G2" s="112"/>
      <c r="H2" s="112"/>
      <c r="I2" s="112"/>
      <c r="J2" s="112"/>
      <c r="K2" s="112"/>
      <c r="L2" s="112"/>
      <c r="M2" s="112"/>
      <c r="N2" s="112"/>
      <c r="O2" s="112"/>
      <c r="P2" s="112"/>
      <c r="Q2" s="112"/>
      <c r="R2" s="112"/>
      <c r="S2" s="112"/>
      <c r="T2" s="112"/>
      <c r="U2" s="112"/>
      <c r="V2" s="112"/>
      <c r="W2" s="112"/>
      <c r="X2" s="112"/>
      <c r="Y2" s="112"/>
      <c r="Z2" s="112"/>
      <c r="AA2" s="20"/>
    </row>
    <row r="3" ht="18.75" customHeight="1">
      <c r="A3" s="2421" t="s">
        <v>1793</v>
      </c>
      <c r="C3" s="115"/>
      <c r="D3" s="43"/>
      <c r="AA3" s="44"/>
    </row>
    <row r="4" ht="18.75" customHeight="1">
      <c r="C4" s="115"/>
      <c r="D4" s="26"/>
      <c r="E4" s="504"/>
      <c r="F4" s="504"/>
      <c r="G4" s="504"/>
      <c r="H4" s="504"/>
      <c r="I4" s="504"/>
      <c r="J4" s="504"/>
      <c r="K4" s="504"/>
      <c r="L4" s="504"/>
      <c r="M4" s="504"/>
      <c r="N4" s="504"/>
      <c r="O4" s="504"/>
      <c r="P4" s="504"/>
      <c r="Q4" s="504"/>
      <c r="R4" s="504"/>
      <c r="S4" s="504"/>
      <c r="T4" s="504"/>
      <c r="U4" s="504"/>
      <c r="V4" s="504"/>
      <c r="W4" s="504"/>
      <c r="X4" s="504"/>
      <c r="Y4" s="504"/>
      <c r="Z4" s="504"/>
      <c r="AA4" s="27"/>
    </row>
    <row r="5" ht="18.75" customHeight="1">
      <c r="A5" s="2255" t="s">
        <v>82</v>
      </c>
      <c r="B5" s="2256" t="s">
        <v>83</v>
      </c>
      <c r="C5" s="2257" t="s">
        <v>84</v>
      </c>
      <c r="D5" s="2258" t="str">
        <f>HYPERLINK("https://www.reddit.com/r/RMTK/comments/aipqmi/","M0020")</f>
        <v>M0020</v>
      </c>
      <c r="E5" s="2258" t="str">
        <f>HYPERLINK("https://www.reddit.com/r/RMTK/comments/aiq3cp/","M0021")</f>
        <v>M0021</v>
      </c>
      <c r="F5" s="2258" t="str">
        <f>HYPERLINK("https://www.reddit.com/r/RMTK/comments/aj2ow8/","M0022")</f>
        <v>M0022</v>
      </c>
      <c r="G5" s="2258" t="str">
        <f>HYPERLINK("https://www.reddit.com/r/RMTK/comments/ajf9vj/","M0023")</f>
        <v>M0023</v>
      </c>
      <c r="H5" s="2258" t="str">
        <f>HYPERLINK("https://www.reddit.com/r/RMTK/comments/ajfndl/","M0024")</f>
        <v>M0024</v>
      </c>
      <c r="I5" s="2258" t="str">
        <f>HYPERLINK("https://www.reddit.com/r/RMTK/comments/akqcw6","M0025")</f>
        <v>M0025</v>
      </c>
      <c r="J5" s="2258" t="str">
        <f>HYPERLINK("https://www.reddit.com/r/RMTK/comments/al2x7m/","M0026")</f>
        <v>M0026</v>
      </c>
      <c r="K5" s="2258" t="str">
        <f>HYPERLINK("https://www.reddit.com/r/RMTK/comments/aleh5w/","M0027")</f>
        <v>M0027</v>
      </c>
      <c r="L5" s="2258" t="str">
        <f>HYPERLINK("https://www.reddit.com/r/RMTK/comments/alfjq1/","M0028")</f>
        <v>M0028</v>
      </c>
      <c r="M5" s="2258" t="str">
        <f>HYPERLINK("https://www.reddit.com/r/RMTK/comments/alrx3g/","M0029")</f>
        <v>M0029</v>
      </c>
      <c r="N5" s="2258" t="str">
        <f>HYPERLINK("https://www.reddit.com/r/RMTK/comments/alskg2/","M0030")</f>
        <v>M0030</v>
      </c>
      <c r="O5" s="2258" t="str">
        <f>HYPERLINK("https://www.reddit.com/r/RMTK/comments/a9np8r/","W0005")</f>
        <v>W0005</v>
      </c>
      <c r="P5" s="2258" t="str">
        <f>HYPERLINK("https://www.reddit.com/r/RMTK/comments/adxbtn/","W0007")</f>
        <v>W0007</v>
      </c>
      <c r="Q5" s="2258" t="str">
        <f>HYPERLINK("https://www.reddit.com/r/RMTK/comments/an3yg1","M0031")</f>
        <v>M0031</v>
      </c>
      <c r="R5" s="2258" t="str">
        <f>HYPERLINK("https://www.reddit.com/r/RMTK/comments/an4pf6/","M0032")</f>
        <v>M0032</v>
      </c>
      <c r="S5" s="2258" t="str">
        <f>HYPERLINK("https://www.reddit.com/r/RMTK/comments/ansc9j/","M0033")</f>
        <v>M0033</v>
      </c>
      <c r="T5" s="2258" t="str">
        <f>HYPERLINK("https://www.reddit.com/r/RMTK/comments/ao8cgj/","M0034")</f>
        <v>M0034</v>
      </c>
      <c r="U5" s="2258" t="str">
        <f>HYPERLINK("https://www.reddit.com/r/RMTK/comments/apk0kw/","M0035")</f>
        <v>M0035</v>
      </c>
      <c r="V5" s="2258" t="str">
        <f>HYPERLINK("https://www.reddit.com/r/RMTK/comments/aqngvk/","M0036")</f>
        <v>M0036</v>
      </c>
      <c r="W5" s="2258" t="str">
        <f>HYPERLINK("https://www.reddit.com/r/RMTK/comments/aqnnru/","M0037")</f>
        <v>M0037</v>
      </c>
      <c r="X5" s="2258" t="str">
        <f>HYPERLINK("https://www.reddit.com/r/RMTK/comments/apwpjm/","W0010")</f>
        <v>W0010</v>
      </c>
      <c r="Y5" s="2258" t="str">
        <f>HYPERLINK("https://www.reddit.com/r/RMTK/comments/asennu/","M0038")</f>
        <v>M0038</v>
      </c>
      <c r="Z5" s="2258" t="str">
        <f>HYPERLINK("https://www.reddit.com/r/RMTK/comments/av3xoy/","M0039")</f>
        <v>M0039</v>
      </c>
      <c r="AA5" s="2258" t="str">
        <f>HYPERLINK("https://www.reddit.com/r/RMTK/comments/avu0ir/","W0011")</f>
        <v>W0011</v>
      </c>
    </row>
    <row r="6" ht="6.0" customHeight="1">
      <c r="A6" s="2260"/>
      <c r="B6" s="2377"/>
      <c r="C6" s="2261"/>
      <c r="D6" s="2422"/>
      <c r="E6" s="2536"/>
      <c r="F6" s="2536"/>
      <c r="G6" s="2536"/>
      <c r="H6" s="2536"/>
      <c r="I6" s="2536"/>
      <c r="J6" s="2536"/>
      <c r="K6" s="2536"/>
      <c r="L6" s="2536"/>
      <c r="M6" s="2536"/>
      <c r="N6" s="2536"/>
      <c r="O6" s="2536"/>
      <c r="P6" s="2536"/>
      <c r="Q6" s="2536"/>
      <c r="R6" s="2536"/>
      <c r="S6" s="2536"/>
      <c r="T6" s="2536"/>
      <c r="U6" s="2536"/>
      <c r="V6" s="2536"/>
      <c r="W6" s="2536"/>
      <c r="X6" s="2536"/>
      <c r="Y6" s="2536"/>
      <c r="Z6" s="2536"/>
      <c r="AA6" s="2536"/>
    </row>
    <row r="7" ht="18.75" customHeight="1">
      <c r="A7" s="2266" t="s">
        <v>1794</v>
      </c>
      <c r="B7" s="2425" t="s">
        <v>440</v>
      </c>
      <c r="C7" s="2537" t="s">
        <v>397</v>
      </c>
      <c r="D7" s="2269" t="s">
        <v>110</v>
      </c>
      <c r="E7" s="2269" t="s">
        <v>109</v>
      </c>
      <c r="F7" s="2269" t="s">
        <v>110</v>
      </c>
      <c r="G7" s="2269" t="s">
        <v>109</v>
      </c>
      <c r="H7" s="2270" t="s">
        <v>110</v>
      </c>
      <c r="I7" s="2269" t="s">
        <v>110</v>
      </c>
      <c r="J7" s="2269" t="s">
        <v>110</v>
      </c>
      <c r="K7" s="2269" t="s">
        <v>109</v>
      </c>
      <c r="L7" s="2269" t="s">
        <v>110</v>
      </c>
      <c r="M7" s="2269" t="s">
        <v>109</v>
      </c>
      <c r="N7" s="2269" t="s">
        <v>109</v>
      </c>
      <c r="O7" s="2269" t="s">
        <v>110</v>
      </c>
      <c r="P7" s="2270" t="s">
        <v>110</v>
      </c>
      <c r="Q7" s="2269" t="s">
        <v>110</v>
      </c>
      <c r="R7" s="2269" t="s">
        <v>109</v>
      </c>
      <c r="S7" s="2269" t="s">
        <v>109</v>
      </c>
      <c r="T7" s="2270" t="s">
        <v>109</v>
      </c>
      <c r="U7" s="2269" t="s">
        <v>109</v>
      </c>
      <c r="V7" s="2269" t="s">
        <v>109</v>
      </c>
      <c r="W7" s="2269" t="s">
        <v>109</v>
      </c>
      <c r="X7" s="2270" t="s">
        <v>110</v>
      </c>
      <c r="Y7" s="2270" t="s">
        <v>110</v>
      </c>
      <c r="Z7" s="2269" t="s">
        <v>108</v>
      </c>
      <c r="AA7" s="2270" t="s">
        <v>108</v>
      </c>
    </row>
    <row r="8" ht="18.75" customHeight="1">
      <c r="A8" s="147"/>
      <c r="B8" s="644"/>
      <c r="C8" s="2538" t="s">
        <v>578</v>
      </c>
      <c r="D8" s="2269" t="s">
        <v>110</v>
      </c>
      <c r="E8" s="2269" t="s">
        <v>109</v>
      </c>
      <c r="F8" s="2269" t="s">
        <v>110</v>
      </c>
      <c r="G8" s="2269" t="s">
        <v>109</v>
      </c>
      <c r="H8" s="2270" t="s">
        <v>110</v>
      </c>
      <c r="I8" s="2269" t="s">
        <v>110</v>
      </c>
      <c r="J8" s="2269" t="s">
        <v>110</v>
      </c>
      <c r="K8" s="2269" t="s">
        <v>109</v>
      </c>
      <c r="L8" s="2269" t="s">
        <v>110</v>
      </c>
      <c r="M8" s="2269" t="s">
        <v>109</v>
      </c>
      <c r="N8" s="2269" t="s">
        <v>109</v>
      </c>
      <c r="O8" s="2269" t="s">
        <v>110</v>
      </c>
      <c r="P8" s="2270" t="s">
        <v>110</v>
      </c>
      <c r="Q8" s="2269" t="s">
        <v>110</v>
      </c>
      <c r="R8" s="2269" t="s">
        <v>109</v>
      </c>
      <c r="S8" s="2269" t="s">
        <v>109</v>
      </c>
      <c r="T8" s="2270" t="s">
        <v>109</v>
      </c>
      <c r="U8" s="2269" t="s">
        <v>109</v>
      </c>
      <c r="V8" s="2269" t="s">
        <v>109</v>
      </c>
      <c r="W8" s="2269" t="s">
        <v>109</v>
      </c>
      <c r="X8" s="2270" t="s">
        <v>110</v>
      </c>
      <c r="Y8" s="2269" t="s">
        <v>110</v>
      </c>
      <c r="Z8" s="2440" t="s">
        <v>110</v>
      </c>
      <c r="AA8" s="2270" t="s">
        <v>110</v>
      </c>
    </row>
    <row r="9" ht="18.75" customHeight="1">
      <c r="A9" s="147"/>
      <c r="B9" s="644"/>
      <c r="C9" s="2538" t="s">
        <v>116</v>
      </c>
      <c r="D9" s="2269" t="s">
        <v>110</v>
      </c>
      <c r="E9" s="2269" t="s">
        <v>109</v>
      </c>
      <c r="F9" s="2269" t="s">
        <v>110</v>
      </c>
      <c r="G9" s="2269" t="s">
        <v>109</v>
      </c>
      <c r="H9" s="2270" t="s">
        <v>110</v>
      </c>
      <c r="I9" s="2269" t="s">
        <v>110</v>
      </c>
      <c r="J9" s="2269" t="s">
        <v>110</v>
      </c>
      <c r="K9" s="2269" t="s">
        <v>109</v>
      </c>
      <c r="L9" s="2269" t="s">
        <v>110</v>
      </c>
      <c r="M9" s="2269" t="s">
        <v>109</v>
      </c>
      <c r="N9" s="2269" t="s">
        <v>109</v>
      </c>
      <c r="O9" s="2269" t="s">
        <v>110</v>
      </c>
      <c r="P9" s="2270" t="s">
        <v>110</v>
      </c>
      <c r="Q9" s="2269" t="s">
        <v>109</v>
      </c>
      <c r="R9" s="2269" t="s">
        <v>109</v>
      </c>
      <c r="S9" s="2269" t="s">
        <v>109</v>
      </c>
      <c r="T9" s="2270" t="s">
        <v>109</v>
      </c>
      <c r="U9" s="2269" t="s">
        <v>109</v>
      </c>
      <c r="V9" s="2269" t="s">
        <v>109</v>
      </c>
      <c r="W9" s="2269" t="s">
        <v>109</v>
      </c>
      <c r="X9" s="2270" t="s">
        <v>110</v>
      </c>
      <c r="Y9" s="2270" t="s">
        <v>110</v>
      </c>
      <c r="Z9" s="2440" t="s">
        <v>110</v>
      </c>
      <c r="AA9" s="2270" t="s">
        <v>110</v>
      </c>
    </row>
    <row r="10" ht="18.75" customHeight="1">
      <c r="A10" s="147"/>
      <c r="B10" s="644"/>
      <c r="C10" s="2538" t="s">
        <v>1269</v>
      </c>
      <c r="D10" s="2269" t="s">
        <v>110</v>
      </c>
      <c r="E10" s="2269" t="s">
        <v>109</v>
      </c>
      <c r="F10" s="2269" t="s">
        <v>110</v>
      </c>
      <c r="G10" s="2269" t="s">
        <v>109</v>
      </c>
      <c r="H10" s="2270" t="s">
        <v>109</v>
      </c>
      <c r="I10" s="2269" t="s">
        <v>110</v>
      </c>
      <c r="J10" s="2269" t="s">
        <v>110</v>
      </c>
      <c r="K10" s="2269" t="s">
        <v>109</v>
      </c>
      <c r="L10" s="2269" t="s">
        <v>110</v>
      </c>
      <c r="M10" s="2269" t="s">
        <v>109</v>
      </c>
      <c r="N10" s="2269" t="s">
        <v>109</v>
      </c>
      <c r="O10" s="2269" t="s">
        <v>110</v>
      </c>
      <c r="P10" s="2270" t="s">
        <v>110</v>
      </c>
      <c r="Q10" s="2269" t="s">
        <v>110</v>
      </c>
      <c r="R10" s="2269" t="s">
        <v>109</v>
      </c>
      <c r="S10" s="2269" t="s">
        <v>110</v>
      </c>
      <c r="T10" s="2270" t="s">
        <v>109</v>
      </c>
      <c r="U10" s="2269" t="s">
        <v>109</v>
      </c>
      <c r="V10" s="2269" t="s">
        <v>109</v>
      </c>
      <c r="W10" s="2269" t="s">
        <v>109</v>
      </c>
      <c r="X10" s="2270" t="s">
        <v>110</v>
      </c>
      <c r="Y10" s="2270" t="s">
        <v>110</v>
      </c>
      <c r="Z10" s="2440" t="s">
        <v>110</v>
      </c>
      <c r="AA10" s="2270" t="s">
        <v>110</v>
      </c>
    </row>
    <row r="11" ht="18.75" customHeight="1">
      <c r="A11" s="147"/>
      <c r="B11" s="644"/>
      <c r="C11" s="2538" t="s">
        <v>691</v>
      </c>
      <c r="D11" s="2269" t="s">
        <v>110</v>
      </c>
      <c r="E11" s="2269" t="s">
        <v>109</v>
      </c>
      <c r="F11" s="2269" t="s">
        <v>110</v>
      </c>
      <c r="G11" s="2269" t="s">
        <v>109</v>
      </c>
      <c r="H11" s="2270" t="s">
        <v>110</v>
      </c>
      <c r="I11" s="2269" t="s">
        <v>108</v>
      </c>
      <c r="J11" s="2269" t="s">
        <v>108</v>
      </c>
      <c r="K11" s="2269" t="s">
        <v>108</v>
      </c>
      <c r="L11" s="2269" t="s">
        <v>108</v>
      </c>
      <c r="M11" s="2269" t="s">
        <v>108</v>
      </c>
      <c r="N11" s="2269" t="s">
        <v>108</v>
      </c>
      <c r="O11" s="2269" t="s">
        <v>108</v>
      </c>
      <c r="P11" s="2270" t="s">
        <v>108</v>
      </c>
      <c r="Q11" s="2269" t="s">
        <v>109</v>
      </c>
      <c r="R11" s="2269" t="s">
        <v>109</v>
      </c>
      <c r="S11" s="2269" t="s">
        <v>109</v>
      </c>
      <c r="T11" s="2270" t="s">
        <v>109</v>
      </c>
      <c r="U11" s="2269" t="s">
        <v>109</v>
      </c>
      <c r="V11" s="2269" t="s">
        <v>109</v>
      </c>
      <c r="W11" s="2269" t="s">
        <v>109</v>
      </c>
      <c r="X11" s="2270" t="s">
        <v>110</v>
      </c>
      <c r="Y11" s="2270" t="s">
        <v>110</v>
      </c>
      <c r="Z11" s="2269" t="s">
        <v>108</v>
      </c>
      <c r="AA11" s="2270" t="s">
        <v>108</v>
      </c>
    </row>
    <row r="12" ht="18.75" customHeight="1">
      <c r="A12" s="147"/>
      <c r="B12" s="644"/>
      <c r="C12" s="2538" t="s">
        <v>107</v>
      </c>
      <c r="D12" s="2269" t="s">
        <v>110</v>
      </c>
      <c r="E12" s="2269" t="s">
        <v>109</v>
      </c>
      <c r="F12" s="2269" t="s">
        <v>109</v>
      </c>
      <c r="G12" s="2269" t="s">
        <v>109</v>
      </c>
      <c r="H12" s="2270" t="s">
        <v>110</v>
      </c>
      <c r="I12" s="2269" t="s">
        <v>110</v>
      </c>
      <c r="J12" s="2269" t="s">
        <v>110</v>
      </c>
      <c r="K12" s="2269" t="s">
        <v>109</v>
      </c>
      <c r="L12" s="2269" t="s">
        <v>110</v>
      </c>
      <c r="M12" s="2269" t="s">
        <v>110</v>
      </c>
      <c r="N12" s="2269" t="s">
        <v>110</v>
      </c>
      <c r="O12" s="2269" t="s">
        <v>110</v>
      </c>
      <c r="P12" s="2270" t="s">
        <v>110</v>
      </c>
      <c r="Q12" s="2269" t="s">
        <v>109</v>
      </c>
      <c r="R12" s="2269" t="s">
        <v>109</v>
      </c>
      <c r="S12" s="2269" t="s">
        <v>109</v>
      </c>
      <c r="T12" s="2270" t="s">
        <v>109</v>
      </c>
      <c r="U12" s="2269" t="s">
        <v>109</v>
      </c>
      <c r="V12" s="2269" t="s">
        <v>110</v>
      </c>
      <c r="W12" s="2269" t="s">
        <v>109</v>
      </c>
      <c r="X12" s="2270" t="s">
        <v>110</v>
      </c>
      <c r="Y12" s="2270" t="s">
        <v>110</v>
      </c>
      <c r="Z12" s="2440" t="s">
        <v>110</v>
      </c>
      <c r="AA12" s="2270" t="s">
        <v>110</v>
      </c>
    </row>
    <row r="13" ht="18.75" customHeight="1">
      <c r="A13" s="147"/>
      <c r="B13" s="644"/>
      <c r="C13" s="2539" t="s">
        <v>1271</v>
      </c>
      <c r="D13" s="2269" t="s">
        <v>110</v>
      </c>
      <c r="E13" s="2269" t="s">
        <v>109</v>
      </c>
      <c r="F13" s="2269" t="s">
        <v>109</v>
      </c>
      <c r="G13" s="2269" t="s">
        <v>109</v>
      </c>
      <c r="H13" s="2270" t="s">
        <v>110</v>
      </c>
      <c r="I13" s="2269" t="s">
        <v>108</v>
      </c>
      <c r="J13" s="2269" t="s">
        <v>108</v>
      </c>
      <c r="K13" s="2269" t="s">
        <v>108</v>
      </c>
      <c r="L13" s="2269" t="s">
        <v>108</v>
      </c>
      <c r="M13" s="2269" t="s">
        <v>108</v>
      </c>
      <c r="N13" s="2269" t="s">
        <v>108</v>
      </c>
      <c r="O13" s="2269" t="s">
        <v>108</v>
      </c>
      <c r="P13" s="2270" t="s">
        <v>108</v>
      </c>
      <c r="Q13" s="2269" t="s">
        <v>110</v>
      </c>
      <c r="R13" s="2269" t="s">
        <v>109</v>
      </c>
      <c r="S13" s="2269" t="s">
        <v>110</v>
      </c>
      <c r="T13" s="2270" t="s">
        <v>109</v>
      </c>
      <c r="U13" s="2269" t="s">
        <v>109</v>
      </c>
      <c r="V13" s="2269" t="s">
        <v>110</v>
      </c>
      <c r="W13" s="2269" t="s">
        <v>109</v>
      </c>
      <c r="X13" s="2270" t="s">
        <v>110</v>
      </c>
      <c r="Y13" s="2270" t="s">
        <v>110</v>
      </c>
      <c r="Z13" s="2440" t="s">
        <v>110</v>
      </c>
      <c r="AA13" s="2270" t="s">
        <v>110</v>
      </c>
    </row>
    <row r="14" ht="18.75" customHeight="1">
      <c r="A14" s="147"/>
      <c r="B14" s="658"/>
      <c r="C14" s="2540" t="s">
        <v>521</v>
      </c>
      <c r="D14" s="2541" t="s">
        <v>119</v>
      </c>
      <c r="E14" s="2451" t="s">
        <v>119</v>
      </c>
      <c r="F14" s="2451" t="s">
        <v>119</v>
      </c>
      <c r="G14" s="2451" t="s">
        <v>119</v>
      </c>
      <c r="H14" s="2452" t="s">
        <v>119</v>
      </c>
      <c r="I14" s="2281" t="s">
        <v>110</v>
      </c>
      <c r="J14" s="2281" t="s">
        <v>110</v>
      </c>
      <c r="K14" s="2542" t="s">
        <v>109</v>
      </c>
      <c r="L14" s="2281" t="s">
        <v>110</v>
      </c>
      <c r="M14" s="2542" t="s">
        <v>109</v>
      </c>
      <c r="N14" s="2542" t="s">
        <v>109</v>
      </c>
      <c r="O14" s="2281" t="s">
        <v>110</v>
      </c>
      <c r="P14" s="2282" t="s">
        <v>110</v>
      </c>
      <c r="Q14" s="2269" t="s">
        <v>110</v>
      </c>
      <c r="R14" s="2269" t="s">
        <v>109</v>
      </c>
      <c r="S14" s="2269" t="s">
        <v>110</v>
      </c>
      <c r="T14" s="2270" t="s">
        <v>109</v>
      </c>
      <c r="U14" s="2269" t="s">
        <v>109</v>
      </c>
      <c r="V14" s="2269" t="s">
        <v>109</v>
      </c>
      <c r="W14" s="2269" t="s">
        <v>109</v>
      </c>
      <c r="X14" s="2270" t="s">
        <v>110</v>
      </c>
      <c r="Y14" s="2270" t="s">
        <v>110</v>
      </c>
      <c r="Z14" s="2440" t="s">
        <v>110</v>
      </c>
      <c r="AA14" s="2270" t="s">
        <v>110</v>
      </c>
    </row>
    <row r="15" ht="18.75" customHeight="1">
      <c r="A15" s="147"/>
      <c r="B15" s="2543" t="s">
        <v>518</v>
      </c>
      <c r="C15" s="2544" t="s">
        <v>1264</v>
      </c>
      <c r="D15" s="2269" t="s">
        <v>110</v>
      </c>
      <c r="E15" s="2269" t="s">
        <v>109</v>
      </c>
      <c r="F15" s="2269" t="s">
        <v>110</v>
      </c>
      <c r="G15" s="2269" t="s">
        <v>109</v>
      </c>
      <c r="H15" s="2270" t="s">
        <v>110</v>
      </c>
      <c r="I15" s="2281" t="s">
        <v>110</v>
      </c>
      <c r="J15" s="2281" t="s">
        <v>110</v>
      </c>
      <c r="K15" s="2542" t="s">
        <v>109</v>
      </c>
      <c r="L15" s="2281" t="s">
        <v>110</v>
      </c>
      <c r="M15" s="2281" t="s">
        <v>110</v>
      </c>
      <c r="N15" s="2542" t="s">
        <v>109</v>
      </c>
      <c r="O15" s="2281" t="s">
        <v>110</v>
      </c>
      <c r="P15" s="2282" t="s">
        <v>110</v>
      </c>
      <c r="Q15" s="2269" t="s">
        <v>109</v>
      </c>
      <c r="R15" s="2269" t="s">
        <v>109</v>
      </c>
      <c r="S15" s="2269" t="s">
        <v>109</v>
      </c>
      <c r="T15" s="2270" t="s">
        <v>109</v>
      </c>
      <c r="U15" s="2269" t="s">
        <v>109</v>
      </c>
      <c r="V15" s="2269" t="s">
        <v>109</v>
      </c>
      <c r="W15" s="2269" t="s">
        <v>109</v>
      </c>
      <c r="X15" s="2270" t="s">
        <v>110</v>
      </c>
      <c r="Y15" s="2270" t="s">
        <v>110</v>
      </c>
      <c r="Z15" s="2440" t="s">
        <v>110</v>
      </c>
      <c r="AA15" s="2270" t="s">
        <v>110</v>
      </c>
    </row>
    <row r="16" ht="18.75" customHeight="1">
      <c r="A16" s="147"/>
      <c r="B16" s="644"/>
      <c r="C16" s="2545" t="s">
        <v>662</v>
      </c>
      <c r="D16" s="2269" t="s">
        <v>110</v>
      </c>
      <c r="E16" s="2269" t="s">
        <v>109</v>
      </c>
      <c r="F16" s="2269" t="s">
        <v>110</v>
      </c>
      <c r="G16" s="2269" t="s">
        <v>109</v>
      </c>
      <c r="H16" s="2270" t="s">
        <v>110</v>
      </c>
      <c r="I16" s="2281" t="s">
        <v>110</v>
      </c>
      <c r="J16" s="2281" t="s">
        <v>110</v>
      </c>
      <c r="K16" s="2542" t="s">
        <v>109</v>
      </c>
      <c r="L16" s="2281" t="s">
        <v>110</v>
      </c>
      <c r="M16" s="2269" t="s">
        <v>117</v>
      </c>
      <c r="N16" s="2542" t="s">
        <v>109</v>
      </c>
      <c r="O16" s="2281" t="s">
        <v>110</v>
      </c>
      <c r="P16" s="2282" t="s">
        <v>110</v>
      </c>
      <c r="Q16" s="2269" t="s">
        <v>109</v>
      </c>
      <c r="R16" s="2269" t="s">
        <v>109</v>
      </c>
      <c r="S16" s="2269" t="s">
        <v>109</v>
      </c>
      <c r="T16" s="2270" t="s">
        <v>109</v>
      </c>
      <c r="U16" s="2269" t="s">
        <v>109</v>
      </c>
      <c r="V16" s="2269" t="s">
        <v>109</v>
      </c>
      <c r="W16" s="2269" t="s">
        <v>109</v>
      </c>
      <c r="X16" s="2270" t="s">
        <v>110</v>
      </c>
      <c r="Y16" s="2270" t="s">
        <v>110</v>
      </c>
      <c r="Z16" s="2440" t="s">
        <v>110</v>
      </c>
      <c r="AA16" s="2270" t="s">
        <v>110</v>
      </c>
    </row>
    <row r="17" ht="18.75" customHeight="1">
      <c r="A17" s="147"/>
      <c r="B17" s="644"/>
      <c r="C17" s="2545" t="s">
        <v>1267</v>
      </c>
      <c r="D17" s="2269" t="s">
        <v>110</v>
      </c>
      <c r="E17" s="2269" t="s">
        <v>109</v>
      </c>
      <c r="F17" s="2269" t="s">
        <v>110</v>
      </c>
      <c r="G17" s="2269" t="s">
        <v>110</v>
      </c>
      <c r="H17" s="2270" t="s">
        <v>109</v>
      </c>
      <c r="I17" s="2281" t="s">
        <v>110</v>
      </c>
      <c r="J17" s="2281" t="s">
        <v>110</v>
      </c>
      <c r="K17" s="2542" t="s">
        <v>109</v>
      </c>
      <c r="L17" s="2281" t="s">
        <v>110</v>
      </c>
      <c r="M17" s="2281" t="s">
        <v>110</v>
      </c>
      <c r="N17" s="2281" t="s">
        <v>110</v>
      </c>
      <c r="O17" s="2281" t="s">
        <v>110</v>
      </c>
      <c r="P17" s="2282" t="s">
        <v>110</v>
      </c>
      <c r="Q17" s="2269" t="s">
        <v>110</v>
      </c>
      <c r="R17" s="2269" t="s">
        <v>109</v>
      </c>
      <c r="S17" s="2269" t="s">
        <v>109</v>
      </c>
      <c r="T17" s="2270" t="s">
        <v>109</v>
      </c>
      <c r="U17" s="2269" t="s">
        <v>109</v>
      </c>
      <c r="V17" s="2269" t="s">
        <v>109</v>
      </c>
      <c r="W17" s="2269" t="s">
        <v>109</v>
      </c>
      <c r="X17" s="2270" t="s">
        <v>110</v>
      </c>
      <c r="Y17" s="2270" t="s">
        <v>108</v>
      </c>
      <c r="Z17" s="2440" t="s">
        <v>110</v>
      </c>
      <c r="AA17" s="2270" t="s">
        <v>110</v>
      </c>
    </row>
    <row r="18" ht="18.75" customHeight="1">
      <c r="A18" s="147"/>
      <c r="B18" s="644"/>
      <c r="C18" s="2546" t="s">
        <v>1268</v>
      </c>
      <c r="D18" s="2269" t="s">
        <v>110</v>
      </c>
      <c r="E18" s="2269" t="s">
        <v>110</v>
      </c>
      <c r="F18" s="2269" t="s">
        <v>109</v>
      </c>
      <c r="G18" s="2269" t="s">
        <v>110</v>
      </c>
      <c r="H18" s="2270" t="s">
        <v>110</v>
      </c>
      <c r="I18" s="2269" t="s">
        <v>108</v>
      </c>
      <c r="J18" s="2269" t="s">
        <v>108</v>
      </c>
      <c r="K18" s="2269" t="s">
        <v>108</v>
      </c>
      <c r="L18" s="2269" t="s">
        <v>108</v>
      </c>
      <c r="M18" s="2269" t="s">
        <v>108</v>
      </c>
      <c r="N18" s="2269" t="s">
        <v>108</v>
      </c>
      <c r="O18" s="2269" t="s">
        <v>108</v>
      </c>
      <c r="P18" s="2270" t="s">
        <v>108</v>
      </c>
      <c r="Q18" s="2269" t="s">
        <v>108</v>
      </c>
      <c r="R18" s="2269" t="s">
        <v>108</v>
      </c>
      <c r="S18" s="2269" t="s">
        <v>108</v>
      </c>
      <c r="T18" s="2270" t="s">
        <v>108</v>
      </c>
      <c r="U18" s="2269" t="s">
        <v>108</v>
      </c>
      <c r="V18" s="2269" t="s">
        <v>108</v>
      </c>
      <c r="W18" s="2269" t="s">
        <v>108</v>
      </c>
      <c r="X18" s="2270" t="s">
        <v>108</v>
      </c>
      <c r="Y18" s="2270" t="s">
        <v>108</v>
      </c>
      <c r="Z18" s="2451" t="s">
        <v>119</v>
      </c>
      <c r="AA18" s="2452" t="s">
        <v>119</v>
      </c>
    </row>
    <row r="19" ht="18.75" customHeight="1">
      <c r="A19" s="147"/>
      <c r="B19" s="644"/>
      <c r="C19" s="2547"/>
      <c r="D19" s="2541" t="s">
        <v>119</v>
      </c>
      <c r="E19" s="2451" t="s">
        <v>119</v>
      </c>
      <c r="F19" s="2451" t="s">
        <v>119</v>
      </c>
      <c r="G19" s="2451" t="s">
        <v>119</v>
      </c>
      <c r="H19" s="2451" t="s">
        <v>119</v>
      </c>
      <c r="I19" s="2541" t="s">
        <v>119</v>
      </c>
      <c r="J19" s="2451" t="s">
        <v>119</v>
      </c>
      <c r="K19" s="2451" t="s">
        <v>119</v>
      </c>
      <c r="L19" s="2451" t="s">
        <v>119</v>
      </c>
      <c r="M19" s="2451" t="s">
        <v>119</v>
      </c>
      <c r="N19" s="2451" t="s">
        <v>119</v>
      </c>
      <c r="O19" s="2451" t="s">
        <v>119</v>
      </c>
      <c r="P19" s="2451" t="s">
        <v>119</v>
      </c>
      <c r="Q19" s="2541" t="s">
        <v>119</v>
      </c>
      <c r="R19" s="2451" t="s">
        <v>119</v>
      </c>
      <c r="S19" s="2451" t="s">
        <v>119</v>
      </c>
      <c r="T19" s="2451" t="s">
        <v>119</v>
      </c>
      <c r="U19" s="2541" t="s">
        <v>119</v>
      </c>
      <c r="V19" s="2451" t="s">
        <v>119</v>
      </c>
      <c r="W19" s="2451" t="s">
        <v>119</v>
      </c>
      <c r="X19" s="2451" t="s">
        <v>119</v>
      </c>
      <c r="Y19" s="2383" t="s">
        <v>119</v>
      </c>
      <c r="Z19" s="2269" t="s">
        <v>108</v>
      </c>
      <c r="AA19" s="2270" t="s">
        <v>108</v>
      </c>
    </row>
    <row r="20" ht="18.75" customHeight="1">
      <c r="A20" s="147"/>
      <c r="B20" s="644"/>
      <c r="C20" s="2547" t="s">
        <v>621</v>
      </c>
      <c r="D20" s="2269" t="s">
        <v>110</v>
      </c>
      <c r="E20" s="2269" t="s">
        <v>109</v>
      </c>
      <c r="F20" s="2269" t="s">
        <v>110</v>
      </c>
      <c r="G20" s="2269" t="s">
        <v>109</v>
      </c>
      <c r="H20" s="2270" t="s">
        <v>110</v>
      </c>
      <c r="I20" s="2281" t="s">
        <v>110</v>
      </c>
      <c r="J20" s="2281" t="s">
        <v>110</v>
      </c>
      <c r="K20" s="2542" t="s">
        <v>109</v>
      </c>
      <c r="L20" s="2281" t="s">
        <v>110</v>
      </c>
      <c r="M20" s="2281" t="s">
        <v>110</v>
      </c>
      <c r="N20" s="2542" t="s">
        <v>109</v>
      </c>
      <c r="O20" s="2281" t="s">
        <v>110</v>
      </c>
      <c r="P20" s="2282" t="s">
        <v>110</v>
      </c>
      <c r="Q20" s="2269" t="s">
        <v>109</v>
      </c>
      <c r="R20" s="2269" t="s">
        <v>109</v>
      </c>
      <c r="S20" s="2269" t="s">
        <v>110</v>
      </c>
      <c r="T20" s="2270" t="s">
        <v>109</v>
      </c>
      <c r="U20" s="2269" t="s">
        <v>109</v>
      </c>
      <c r="V20" s="2269" t="s">
        <v>109</v>
      </c>
      <c r="W20" s="2269" t="s">
        <v>109</v>
      </c>
      <c r="X20" s="2270" t="s">
        <v>110</v>
      </c>
      <c r="Y20" s="2270" t="s">
        <v>110</v>
      </c>
      <c r="Z20" s="2440" t="s">
        <v>110</v>
      </c>
      <c r="AA20" s="2270" t="s">
        <v>110</v>
      </c>
    </row>
    <row r="21" ht="18.75" customHeight="1">
      <c r="A21" s="147"/>
      <c r="B21" s="644"/>
      <c r="C21" s="2548" t="s">
        <v>153</v>
      </c>
      <c r="D21" s="2269" t="s">
        <v>110</v>
      </c>
      <c r="E21" s="2269" t="s">
        <v>109</v>
      </c>
      <c r="F21" s="2269" t="s">
        <v>110</v>
      </c>
      <c r="G21" s="2269" t="s">
        <v>109</v>
      </c>
      <c r="H21" s="2270" t="s">
        <v>110</v>
      </c>
      <c r="I21" s="2281" t="s">
        <v>110</v>
      </c>
      <c r="J21" s="2281" t="s">
        <v>110</v>
      </c>
      <c r="K21" s="2542" t="s">
        <v>109</v>
      </c>
      <c r="L21" s="2281" t="s">
        <v>110</v>
      </c>
      <c r="M21" s="2281" t="s">
        <v>110</v>
      </c>
      <c r="N21" s="2542" t="s">
        <v>109</v>
      </c>
      <c r="O21" s="2281" t="s">
        <v>110</v>
      </c>
      <c r="P21" s="2282" t="s">
        <v>110</v>
      </c>
      <c r="Q21" s="2269" t="s">
        <v>109</v>
      </c>
      <c r="R21" s="2269" t="s">
        <v>109</v>
      </c>
      <c r="S21" s="2269" t="s">
        <v>110</v>
      </c>
      <c r="T21" s="2270" t="s">
        <v>109</v>
      </c>
      <c r="U21" s="2269" t="s">
        <v>109</v>
      </c>
      <c r="V21" s="2269" t="s">
        <v>110</v>
      </c>
      <c r="W21" s="2269" t="s">
        <v>109</v>
      </c>
      <c r="X21" s="2270" t="s">
        <v>110</v>
      </c>
      <c r="Y21" s="2270" t="s">
        <v>108</v>
      </c>
      <c r="Z21" s="2269" t="s">
        <v>108</v>
      </c>
      <c r="AA21" s="2270" t="s">
        <v>108</v>
      </c>
    </row>
    <row r="22" ht="18.75" customHeight="1">
      <c r="A22" s="147"/>
      <c r="B22" s="658"/>
      <c r="C22" s="2549" t="s">
        <v>1275</v>
      </c>
      <c r="D22" s="2269" t="s">
        <v>108</v>
      </c>
      <c r="E22" s="2269" t="s">
        <v>108</v>
      </c>
      <c r="F22" s="2269" t="s">
        <v>108</v>
      </c>
      <c r="G22" s="2269" t="s">
        <v>108</v>
      </c>
      <c r="H22" s="2270" t="s">
        <v>108</v>
      </c>
      <c r="I22" s="2269" t="s">
        <v>108</v>
      </c>
      <c r="J22" s="2269" t="s">
        <v>108</v>
      </c>
      <c r="K22" s="2269" t="s">
        <v>108</v>
      </c>
      <c r="L22" s="2269" t="s">
        <v>108</v>
      </c>
      <c r="M22" s="2269" t="s">
        <v>108</v>
      </c>
      <c r="N22" s="2269" t="s">
        <v>108</v>
      </c>
      <c r="O22" s="2269" t="s">
        <v>108</v>
      </c>
      <c r="P22" s="2270" t="s">
        <v>108</v>
      </c>
      <c r="Q22" s="2269" t="s">
        <v>110</v>
      </c>
      <c r="R22" s="2269" t="s">
        <v>109</v>
      </c>
      <c r="S22" s="2269" t="s">
        <v>109</v>
      </c>
      <c r="T22" s="2270" t="s">
        <v>109</v>
      </c>
      <c r="U22" s="2269" t="s">
        <v>109</v>
      </c>
      <c r="V22" s="2269" t="s">
        <v>109</v>
      </c>
      <c r="W22" s="2269" t="s">
        <v>109</v>
      </c>
      <c r="X22" s="2270" t="s">
        <v>110</v>
      </c>
      <c r="Y22" s="2270" t="s">
        <v>110</v>
      </c>
      <c r="Z22" s="2269" t="s">
        <v>108</v>
      </c>
      <c r="AA22" s="2270" t="s">
        <v>108</v>
      </c>
    </row>
    <row r="23" ht="18.75" customHeight="1">
      <c r="A23" s="147"/>
      <c r="B23" s="2550" t="s">
        <v>519</v>
      </c>
      <c r="C23" s="2551" t="s">
        <v>617</v>
      </c>
      <c r="D23" s="2269" t="s">
        <v>117</v>
      </c>
      <c r="E23" s="2269" t="s">
        <v>109</v>
      </c>
      <c r="F23" s="2269" t="s">
        <v>110</v>
      </c>
      <c r="G23" s="2269" t="s">
        <v>109</v>
      </c>
      <c r="H23" s="2270" t="s">
        <v>110</v>
      </c>
      <c r="I23" s="2281" t="s">
        <v>110</v>
      </c>
      <c r="J23" s="2281" t="s">
        <v>110</v>
      </c>
      <c r="K23" s="2542" t="s">
        <v>109</v>
      </c>
      <c r="L23" s="2281" t="s">
        <v>110</v>
      </c>
      <c r="M23" s="2281" t="s">
        <v>110</v>
      </c>
      <c r="N23" s="2542" t="s">
        <v>109</v>
      </c>
      <c r="O23" s="2281" t="s">
        <v>110</v>
      </c>
      <c r="P23" s="2282" t="s">
        <v>110</v>
      </c>
      <c r="Q23" s="2269" t="s">
        <v>109</v>
      </c>
      <c r="R23" s="2269" t="s">
        <v>109</v>
      </c>
      <c r="S23" s="2269" t="s">
        <v>110</v>
      </c>
      <c r="T23" s="2270" t="s">
        <v>109</v>
      </c>
      <c r="U23" s="2451" t="s">
        <v>119</v>
      </c>
      <c r="V23" s="2451" t="s">
        <v>119</v>
      </c>
      <c r="W23" s="2451" t="s">
        <v>119</v>
      </c>
      <c r="X23" s="2452" t="s">
        <v>119</v>
      </c>
      <c r="Y23" s="2452" t="s">
        <v>119</v>
      </c>
      <c r="Z23" s="2451" t="s">
        <v>119</v>
      </c>
      <c r="AA23" s="2452" t="s">
        <v>119</v>
      </c>
    </row>
    <row r="24" ht="18.75" customHeight="1">
      <c r="A24" s="147"/>
      <c r="B24" s="644"/>
      <c r="C24" s="2552" t="s">
        <v>1296</v>
      </c>
      <c r="D24" s="2269" t="s">
        <v>110</v>
      </c>
      <c r="E24" s="2269" t="s">
        <v>109</v>
      </c>
      <c r="F24" s="2269" t="s">
        <v>110</v>
      </c>
      <c r="G24" s="2269" t="s">
        <v>109</v>
      </c>
      <c r="H24" s="2270" t="s">
        <v>110</v>
      </c>
      <c r="I24" s="2281" t="s">
        <v>110</v>
      </c>
      <c r="J24" s="2281" t="s">
        <v>110</v>
      </c>
      <c r="K24" s="2542" t="s">
        <v>109</v>
      </c>
      <c r="L24" s="2281" t="s">
        <v>110</v>
      </c>
      <c r="M24" s="2281" t="s">
        <v>110</v>
      </c>
      <c r="N24" s="2542" t="s">
        <v>109</v>
      </c>
      <c r="O24" s="2281" t="s">
        <v>110</v>
      </c>
      <c r="P24" s="2282" t="s">
        <v>110</v>
      </c>
      <c r="Q24" s="2269" t="s">
        <v>109</v>
      </c>
      <c r="R24" s="2269" t="s">
        <v>109</v>
      </c>
      <c r="S24" s="2269" t="s">
        <v>110</v>
      </c>
      <c r="T24" s="2270" t="s">
        <v>109</v>
      </c>
      <c r="U24" s="2269" t="s">
        <v>109</v>
      </c>
      <c r="V24" s="2269" t="s">
        <v>110</v>
      </c>
      <c r="W24" s="2269" t="s">
        <v>109</v>
      </c>
      <c r="X24" s="2270" t="s">
        <v>110</v>
      </c>
      <c r="Y24" s="2270" t="s">
        <v>110</v>
      </c>
      <c r="Z24" s="2269" t="s">
        <v>110</v>
      </c>
      <c r="AA24" s="2270" t="s">
        <v>110</v>
      </c>
    </row>
    <row r="25" ht="18.75" customHeight="1">
      <c r="A25" s="147"/>
      <c r="B25" s="644"/>
      <c r="C25" s="2553" t="s">
        <v>150</v>
      </c>
      <c r="D25" s="2541" t="s">
        <v>119</v>
      </c>
      <c r="E25" s="2451" t="s">
        <v>119</v>
      </c>
      <c r="F25" s="2451" t="s">
        <v>119</v>
      </c>
      <c r="G25" s="2451" t="s">
        <v>119</v>
      </c>
      <c r="H25" s="2452" t="s">
        <v>119</v>
      </c>
      <c r="I25" s="2451" t="s">
        <v>119</v>
      </c>
      <c r="J25" s="2451" t="s">
        <v>119</v>
      </c>
      <c r="K25" s="2451" t="s">
        <v>119</v>
      </c>
      <c r="L25" s="2451" t="s">
        <v>119</v>
      </c>
      <c r="M25" s="2451" t="s">
        <v>119</v>
      </c>
      <c r="N25" s="2451" t="s">
        <v>119</v>
      </c>
      <c r="O25" s="2451" t="s">
        <v>119</v>
      </c>
      <c r="P25" s="2452" t="s">
        <v>119</v>
      </c>
      <c r="Q25" s="2451" t="s">
        <v>119</v>
      </c>
      <c r="R25" s="2451" t="s">
        <v>119</v>
      </c>
      <c r="S25" s="2451" t="s">
        <v>119</v>
      </c>
      <c r="T25" s="2452" t="s">
        <v>119</v>
      </c>
      <c r="U25" s="2269" t="s">
        <v>109</v>
      </c>
      <c r="V25" s="2269" t="s">
        <v>109</v>
      </c>
      <c r="W25" s="2269" t="s">
        <v>110</v>
      </c>
      <c r="X25" s="2270" t="s">
        <v>110</v>
      </c>
      <c r="Y25" s="2270" t="s">
        <v>110</v>
      </c>
      <c r="Z25" s="2269" t="s">
        <v>110</v>
      </c>
      <c r="AA25" s="2270" t="s">
        <v>110</v>
      </c>
    </row>
    <row r="26" ht="18.75" customHeight="1">
      <c r="A26" s="147"/>
      <c r="B26" s="644"/>
      <c r="C26" s="2554" t="s">
        <v>503</v>
      </c>
      <c r="D26" s="2269" t="s">
        <v>110</v>
      </c>
      <c r="E26" s="2269" t="s">
        <v>109</v>
      </c>
      <c r="F26" s="2269" t="s">
        <v>110</v>
      </c>
      <c r="G26" s="2269" t="s">
        <v>109</v>
      </c>
      <c r="H26" s="2270" t="s">
        <v>110</v>
      </c>
      <c r="I26" s="2269" t="s">
        <v>108</v>
      </c>
      <c r="J26" s="2269" t="s">
        <v>108</v>
      </c>
      <c r="K26" s="2269" t="s">
        <v>108</v>
      </c>
      <c r="L26" s="2269" t="s">
        <v>108</v>
      </c>
      <c r="M26" s="2269" t="s">
        <v>108</v>
      </c>
      <c r="N26" s="2269" t="s">
        <v>108</v>
      </c>
      <c r="O26" s="2269" t="s">
        <v>108</v>
      </c>
      <c r="P26" s="2270" t="s">
        <v>108</v>
      </c>
      <c r="Q26" s="2269" t="s">
        <v>109</v>
      </c>
      <c r="R26" s="2269" t="s">
        <v>109</v>
      </c>
      <c r="S26" s="2269" t="s">
        <v>110</v>
      </c>
      <c r="T26" s="2270" t="s">
        <v>109</v>
      </c>
      <c r="U26" s="2269" t="s">
        <v>108</v>
      </c>
      <c r="V26" s="2269" t="s">
        <v>108</v>
      </c>
      <c r="W26" s="2269" t="s">
        <v>108</v>
      </c>
      <c r="X26" s="2270" t="s">
        <v>108</v>
      </c>
      <c r="Y26" s="2270" t="s">
        <v>110</v>
      </c>
      <c r="Z26" s="2269" t="s">
        <v>110</v>
      </c>
      <c r="AA26" s="2270" t="s">
        <v>110</v>
      </c>
    </row>
    <row r="27" ht="18.75" customHeight="1">
      <c r="A27" s="147"/>
      <c r="B27" s="2555" t="s">
        <v>597</v>
      </c>
      <c r="C27" s="2556" t="s">
        <v>1290</v>
      </c>
      <c r="D27" s="2269" t="s">
        <v>108</v>
      </c>
      <c r="E27" s="2269" t="s">
        <v>108</v>
      </c>
      <c r="F27" s="2269" t="s">
        <v>108</v>
      </c>
      <c r="G27" s="2269" t="s">
        <v>108</v>
      </c>
      <c r="H27" s="2270" t="s">
        <v>108</v>
      </c>
      <c r="I27" s="2451" t="s">
        <v>119</v>
      </c>
      <c r="J27" s="2451" t="s">
        <v>119</v>
      </c>
      <c r="K27" s="2451" t="s">
        <v>119</v>
      </c>
      <c r="L27" s="2451" t="s">
        <v>119</v>
      </c>
      <c r="M27" s="2451" t="s">
        <v>119</v>
      </c>
      <c r="N27" s="2451" t="s">
        <v>119</v>
      </c>
      <c r="O27" s="2451" t="s">
        <v>119</v>
      </c>
      <c r="P27" s="2452" t="s">
        <v>119</v>
      </c>
      <c r="Q27" s="2451" t="s">
        <v>119</v>
      </c>
      <c r="R27" s="2451" t="s">
        <v>119</v>
      </c>
      <c r="S27" s="2451" t="s">
        <v>119</v>
      </c>
      <c r="T27" s="2452" t="s">
        <v>119</v>
      </c>
      <c r="U27" s="2451" t="s">
        <v>119</v>
      </c>
      <c r="V27" s="2451" t="s">
        <v>119</v>
      </c>
      <c r="W27" s="2451" t="s">
        <v>119</v>
      </c>
      <c r="X27" s="2452" t="s">
        <v>119</v>
      </c>
      <c r="Y27" s="2452" t="s">
        <v>119</v>
      </c>
      <c r="Z27" s="2451" t="s">
        <v>119</v>
      </c>
      <c r="AA27" s="2452" t="s">
        <v>119</v>
      </c>
    </row>
    <row r="28" ht="18.75" customHeight="1">
      <c r="A28" s="159"/>
      <c r="B28" s="159"/>
      <c r="C28" s="2557" t="s">
        <v>1112</v>
      </c>
      <c r="D28" s="2558" t="s">
        <v>119</v>
      </c>
      <c r="E28" s="2558" t="s">
        <v>119</v>
      </c>
      <c r="F28" s="2558" t="s">
        <v>119</v>
      </c>
      <c r="G28" s="2558" t="s">
        <v>119</v>
      </c>
      <c r="H28" s="2559" t="s">
        <v>119</v>
      </c>
      <c r="I28" s="2281" t="s">
        <v>110</v>
      </c>
      <c r="J28" s="2281" t="s">
        <v>110</v>
      </c>
      <c r="K28" s="2542" t="s">
        <v>109</v>
      </c>
      <c r="L28" s="2281" t="s">
        <v>110</v>
      </c>
      <c r="M28" s="2281" t="s">
        <v>110</v>
      </c>
      <c r="N28" s="2281" t="s">
        <v>110</v>
      </c>
      <c r="O28" s="2542" t="s">
        <v>109</v>
      </c>
      <c r="P28" s="2282" t="s">
        <v>110</v>
      </c>
      <c r="Q28" s="2269" t="s">
        <v>110</v>
      </c>
      <c r="R28" s="2269" t="s">
        <v>110</v>
      </c>
      <c r="S28" s="2269" t="s">
        <v>110</v>
      </c>
      <c r="T28" s="2270" t="s">
        <v>109</v>
      </c>
      <c r="U28" s="2269" t="s">
        <v>109</v>
      </c>
      <c r="V28" s="2269" t="s">
        <v>109</v>
      </c>
      <c r="W28" s="2269" t="s">
        <v>110</v>
      </c>
      <c r="X28" s="2270" t="s">
        <v>110</v>
      </c>
      <c r="Y28" s="2270" t="s">
        <v>110</v>
      </c>
      <c r="Z28" s="2269" t="s">
        <v>110</v>
      </c>
      <c r="AA28" s="2270" t="s">
        <v>110</v>
      </c>
    </row>
    <row r="29" ht="9.75" customHeight="1">
      <c r="A29" s="2300"/>
      <c r="B29" s="2301"/>
      <c r="C29" s="2560"/>
      <c r="D29" s="2561" t="str">
        <f t="shared" ref="D29:AA29" si="1">LINKURL(D5)</f>
        <v>https://www.reddit.com/r/RMTK/comments/aipqmi/</v>
      </c>
      <c r="E29" s="2562" t="str">
        <f t="shared" si="1"/>
        <v>https://www.reddit.com/r/RMTK/comments/aiq3cp/</v>
      </c>
      <c r="F29" s="2562" t="str">
        <f t="shared" si="1"/>
        <v>https://www.reddit.com/r/RMTK/comments/aj2ow8/</v>
      </c>
      <c r="G29" s="2562" t="str">
        <f t="shared" si="1"/>
        <v>https://www.reddit.com/r/RMTK/comments/ajf9vj/</v>
      </c>
      <c r="H29" s="2563" t="str">
        <f t="shared" si="1"/>
        <v>https://www.reddit.com/r/RMTK/comments/ajfndl/</v>
      </c>
      <c r="I29" s="2516" t="str">
        <f t="shared" si="1"/>
        <v>https://www.reddit.com/r/RMTK/comments/akqcw6</v>
      </c>
      <c r="J29" s="2562" t="str">
        <f t="shared" si="1"/>
        <v>https://www.reddit.com/r/RMTK/comments/al2x7m/</v>
      </c>
      <c r="K29" s="2516" t="str">
        <f t="shared" si="1"/>
        <v>https://www.reddit.com/r/RMTK/comments/aleh5w/</v>
      </c>
      <c r="L29" s="2516" t="str">
        <f t="shared" si="1"/>
        <v>https://www.reddit.com/r/RMTK/comments/alfjq1/</v>
      </c>
      <c r="M29" s="2516" t="str">
        <f t="shared" si="1"/>
        <v>https://www.reddit.com/r/RMTK/comments/alrx3g/</v>
      </c>
      <c r="N29" s="2516" t="str">
        <f t="shared" si="1"/>
        <v>https://www.reddit.com/r/RMTK/comments/alskg2/</v>
      </c>
      <c r="O29" s="2516" t="str">
        <f t="shared" si="1"/>
        <v>https://www.reddit.com/r/RMTK/comments/a9np8r/</v>
      </c>
      <c r="P29" s="2391" t="str">
        <f t="shared" si="1"/>
        <v>https://www.reddit.com/r/RMTK/comments/adxbtn/</v>
      </c>
      <c r="Q29" s="2516" t="str">
        <f t="shared" si="1"/>
        <v>https://www.reddit.com/r/RMTK/comments/an3yg1</v>
      </c>
      <c r="R29" s="2516" t="str">
        <f t="shared" si="1"/>
        <v>https://www.reddit.com/r/RMTK/comments/an4pf6/</v>
      </c>
      <c r="S29" s="2516" t="str">
        <f t="shared" si="1"/>
        <v>https://www.reddit.com/r/RMTK/comments/ansc9j/</v>
      </c>
      <c r="T29" s="2391" t="str">
        <f t="shared" si="1"/>
        <v>https://www.reddit.com/r/RMTK/comments/ao8cgj/</v>
      </c>
      <c r="U29" s="2516" t="str">
        <f t="shared" si="1"/>
        <v>https://www.reddit.com/r/RMTK/comments/apk0kw/</v>
      </c>
      <c r="V29" s="2516" t="str">
        <f t="shared" si="1"/>
        <v>https://www.reddit.com/r/RMTK/comments/aqngvk/</v>
      </c>
      <c r="W29" s="2516" t="str">
        <f t="shared" si="1"/>
        <v>https://www.reddit.com/r/RMTK/comments/aqnnru/</v>
      </c>
      <c r="X29" s="2391" t="str">
        <f t="shared" si="1"/>
        <v>https://www.reddit.com/r/RMTK/comments/apwpjm/</v>
      </c>
      <c r="Y29" s="2391" t="str">
        <f t="shared" si="1"/>
        <v>https://www.reddit.com/r/RMTK/comments/asennu/</v>
      </c>
      <c r="Z29" s="2516" t="str">
        <f t="shared" si="1"/>
        <v>https://www.reddit.com/r/RMTK/comments/av3xoy/</v>
      </c>
      <c r="AA29" s="2516" t="str">
        <f t="shared" si="1"/>
        <v>https://www.reddit.com/r/RMTK/comments/avu0ir/</v>
      </c>
    </row>
    <row r="30" ht="18.75" customHeight="1">
      <c r="A30" s="2307" t="s">
        <v>1795</v>
      </c>
      <c r="B30" s="2267" t="s">
        <v>31</v>
      </c>
      <c r="C30" s="2564" t="s">
        <v>148</v>
      </c>
      <c r="D30" s="2269" t="s">
        <v>110</v>
      </c>
      <c r="E30" s="2269" t="s">
        <v>109</v>
      </c>
      <c r="F30" s="2269" t="s">
        <v>109</v>
      </c>
      <c r="G30" s="2269" t="s">
        <v>110</v>
      </c>
      <c r="H30" s="2270" t="s">
        <v>110</v>
      </c>
      <c r="I30" s="2269" t="s">
        <v>109</v>
      </c>
      <c r="J30" s="2269" t="s">
        <v>110</v>
      </c>
      <c r="K30" s="2269" t="s">
        <v>110</v>
      </c>
      <c r="L30" s="2269" t="s">
        <v>110</v>
      </c>
      <c r="M30" s="2269" t="s">
        <v>110</v>
      </c>
      <c r="N30" s="2269" t="s">
        <v>110</v>
      </c>
      <c r="O30" s="2269" t="s">
        <v>110</v>
      </c>
      <c r="P30" s="2270" t="s">
        <v>110</v>
      </c>
      <c r="Q30" s="2269" t="s">
        <v>110</v>
      </c>
      <c r="R30" s="2269" t="s">
        <v>110</v>
      </c>
      <c r="S30" s="2269" t="s">
        <v>110</v>
      </c>
      <c r="T30" s="2270" t="s">
        <v>110</v>
      </c>
      <c r="U30" s="2269" t="s">
        <v>110</v>
      </c>
      <c r="V30" s="2269" t="s">
        <v>110</v>
      </c>
      <c r="W30" s="2269" t="s">
        <v>109</v>
      </c>
      <c r="X30" s="2270" t="s">
        <v>110</v>
      </c>
      <c r="Y30" s="2270" t="s">
        <v>110</v>
      </c>
      <c r="Z30" s="2269" t="s">
        <v>109</v>
      </c>
      <c r="AA30" s="2270" t="s">
        <v>110</v>
      </c>
    </row>
    <row r="31" ht="18.75" customHeight="1">
      <c r="A31" s="147"/>
      <c r="B31" s="644"/>
      <c r="C31" s="2565" t="s">
        <v>1285</v>
      </c>
      <c r="D31" s="2269" t="s">
        <v>110</v>
      </c>
      <c r="E31" s="2269" t="s">
        <v>109</v>
      </c>
      <c r="F31" s="2269" t="s">
        <v>109</v>
      </c>
      <c r="G31" s="2269" t="s">
        <v>110</v>
      </c>
      <c r="H31" s="2270" t="s">
        <v>110</v>
      </c>
      <c r="I31" s="2269" t="s">
        <v>117</v>
      </c>
      <c r="J31" s="2269" t="s">
        <v>110</v>
      </c>
      <c r="K31" s="2269" t="s">
        <v>110</v>
      </c>
      <c r="L31" s="2269" t="s">
        <v>110</v>
      </c>
      <c r="M31" s="2269" t="s">
        <v>110</v>
      </c>
      <c r="N31" s="2269" t="s">
        <v>110</v>
      </c>
      <c r="O31" s="2269" t="s">
        <v>110</v>
      </c>
      <c r="P31" s="2270" t="s">
        <v>110</v>
      </c>
      <c r="Q31" s="2269" t="s">
        <v>110</v>
      </c>
      <c r="R31" s="2269" t="s">
        <v>110</v>
      </c>
      <c r="S31" s="2269" t="s">
        <v>110</v>
      </c>
      <c r="T31" s="2270" t="s">
        <v>110</v>
      </c>
      <c r="U31" s="2269" t="s">
        <v>110</v>
      </c>
      <c r="V31" s="2269" t="s">
        <v>110</v>
      </c>
      <c r="W31" s="2269" t="s">
        <v>109</v>
      </c>
      <c r="X31" s="2270" t="s">
        <v>110</v>
      </c>
      <c r="Y31" s="2270" t="s">
        <v>110</v>
      </c>
      <c r="Z31" s="2269" t="s">
        <v>109</v>
      </c>
      <c r="AA31" s="2270" t="s">
        <v>110</v>
      </c>
    </row>
    <row r="32" ht="18.75" customHeight="1">
      <c r="A32" s="147"/>
      <c r="B32" s="644"/>
      <c r="C32" s="2565" t="s">
        <v>650</v>
      </c>
      <c r="D32" s="2269" t="s">
        <v>110</v>
      </c>
      <c r="E32" s="2269" t="s">
        <v>109</v>
      </c>
      <c r="F32" s="2269" t="s">
        <v>109</v>
      </c>
      <c r="G32" s="2269" t="s">
        <v>110</v>
      </c>
      <c r="H32" s="2270" t="s">
        <v>109</v>
      </c>
      <c r="I32" s="2269" t="s">
        <v>117</v>
      </c>
      <c r="J32" s="2269" t="s">
        <v>110</v>
      </c>
      <c r="K32" s="2269" t="s">
        <v>110</v>
      </c>
      <c r="L32" s="2269" t="s">
        <v>110</v>
      </c>
      <c r="M32" s="2269" t="s">
        <v>110</v>
      </c>
      <c r="N32" s="2269" t="s">
        <v>110</v>
      </c>
      <c r="O32" s="2269" t="s">
        <v>110</v>
      </c>
      <c r="P32" s="2270" t="s">
        <v>110</v>
      </c>
      <c r="Q32" s="2269" t="s">
        <v>110</v>
      </c>
      <c r="R32" s="2269" t="s">
        <v>110</v>
      </c>
      <c r="S32" s="2269" t="s">
        <v>110</v>
      </c>
      <c r="T32" s="2270" t="s">
        <v>110</v>
      </c>
      <c r="U32" s="2269" t="s">
        <v>110</v>
      </c>
      <c r="V32" s="2269" t="s">
        <v>110</v>
      </c>
      <c r="W32" s="2269" t="s">
        <v>109</v>
      </c>
      <c r="X32" s="2270" t="s">
        <v>110</v>
      </c>
      <c r="Y32" s="2270" t="s">
        <v>110</v>
      </c>
      <c r="Z32" s="2269" t="s">
        <v>109</v>
      </c>
      <c r="AA32" s="2270" t="s">
        <v>110</v>
      </c>
    </row>
    <row r="33" ht="18.75" customHeight="1">
      <c r="A33" s="147"/>
      <c r="B33" s="658"/>
      <c r="C33" s="2565" t="s">
        <v>16</v>
      </c>
      <c r="D33" s="2269" t="s">
        <v>110</v>
      </c>
      <c r="E33" s="2269" t="s">
        <v>110</v>
      </c>
      <c r="F33" s="2269" t="s">
        <v>109</v>
      </c>
      <c r="G33" s="2269" t="s">
        <v>110</v>
      </c>
      <c r="H33" s="2270" t="s">
        <v>110</v>
      </c>
      <c r="I33" s="2269" t="s">
        <v>109</v>
      </c>
      <c r="J33" s="2269" t="s">
        <v>110</v>
      </c>
      <c r="K33" s="2269" t="s">
        <v>110</v>
      </c>
      <c r="L33" s="2269" t="s">
        <v>110</v>
      </c>
      <c r="M33" s="2269" t="s">
        <v>110</v>
      </c>
      <c r="N33" s="2269" t="s">
        <v>110</v>
      </c>
      <c r="O33" s="2269" t="s">
        <v>110</v>
      </c>
      <c r="P33" s="2270" t="s">
        <v>110</v>
      </c>
      <c r="Q33" s="2269" t="s">
        <v>110</v>
      </c>
      <c r="R33" s="2269" t="s">
        <v>110</v>
      </c>
      <c r="S33" s="2269" t="s">
        <v>110</v>
      </c>
      <c r="T33" s="2270" t="s">
        <v>110</v>
      </c>
      <c r="U33" s="2269" t="s">
        <v>110</v>
      </c>
      <c r="V33" s="2269" t="s">
        <v>110</v>
      </c>
      <c r="W33" s="2269" t="s">
        <v>109</v>
      </c>
      <c r="X33" s="2270" t="s">
        <v>110</v>
      </c>
      <c r="Y33" s="2270" t="s">
        <v>110</v>
      </c>
      <c r="Z33" s="2269" t="s">
        <v>109</v>
      </c>
      <c r="AA33" s="2270" t="s">
        <v>110</v>
      </c>
    </row>
    <row r="34" ht="18.75" customHeight="1">
      <c r="A34" s="147"/>
      <c r="B34" s="2566" t="s">
        <v>524</v>
      </c>
      <c r="C34" s="2567" t="s">
        <v>525</v>
      </c>
      <c r="D34" s="2269" t="s">
        <v>110</v>
      </c>
      <c r="E34" s="2269" t="s">
        <v>109</v>
      </c>
      <c r="F34" s="2269" t="s">
        <v>110</v>
      </c>
      <c r="G34" s="2269" t="s">
        <v>109</v>
      </c>
      <c r="H34" s="2270" t="s">
        <v>110</v>
      </c>
      <c r="I34" s="2269" t="s">
        <v>108</v>
      </c>
      <c r="J34" s="2269" t="s">
        <v>108</v>
      </c>
      <c r="K34" s="2269" t="s">
        <v>108</v>
      </c>
      <c r="L34" s="2269" t="s">
        <v>108</v>
      </c>
      <c r="M34" s="2269" t="s">
        <v>108</v>
      </c>
      <c r="N34" s="2269" t="s">
        <v>108</v>
      </c>
      <c r="O34" s="2269" t="s">
        <v>108</v>
      </c>
      <c r="P34" s="2270" t="s">
        <v>108</v>
      </c>
      <c r="Q34" s="2269" t="s">
        <v>109</v>
      </c>
      <c r="R34" s="2269" t="s">
        <v>109</v>
      </c>
      <c r="S34" s="2269" t="s">
        <v>109</v>
      </c>
      <c r="T34" s="2270" t="s">
        <v>109</v>
      </c>
      <c r="U34" s="2269" t="s">
        <v>108</v>
      </c>
      <c r="V34" s="2269" t="s">
        <v>108</v>
      </c>
      <c r="W34" s="2269" t="s">
        <v>108</v>
      </c>
      <c r="X34" s="2270" t="s">
        <v>108</v>
      </c>
      <c r="Y34" s="2270" t="s">
        <v>108</v>
      </c>
      <c r="Z34" s="2269" t="s">
        <v>110</v>
      </c>
      <c r="AA34" s="2270" t="s">
        <v>110</v>
      </c>
    </row>
    <row r="35" ht="18.75" customHeight="1">
      <c r="A35" s="147"/>
      <c r="B35" s="644"/>
      <c r="C35" s="2568" t="s">
        <v>1297</v>
      </c>
      <c r="D35" s="2269" t="s">
        <v>110</v>
      </c>
      <c r="E35" s="2269" t="s">
        <v>109</v>
      </c>
      <c r="F35" s="2269" t="s">
        <v>110</v>
      </c>
      <c r="G35" s="2269" t="s">
        <v>109</v>
      </c>
      <c r="H35" s="2270" t="s">
        <v>110</v>
      </c>
      <c r="I35" s="2269" t="s">
        <v>108</v>
      </c>
      <c r="J35" s="2269" t="s">
        <v>108</v>
      </c>
      <c r="K35" s="2269" t="s">
        <v>108</v>
      </c>
      <c r="L35" s="2269" t="s">
        <v>108</v>
      </c>
      <c r="M35" s="2269" t="s">
        <v>108</v>
      </c>
      <c r="N35" s="2269" t="s">
        <v>108</v>
      </c>
      <c r="O35" s="2269" t="s">
        <v>108</v>
      </c>
      <c r="P35" s="2270" t="s">
        <v>108</v>
      </c>
      <c r="Q35" s="2269" t="s">
        <v>109</v>
      </c>
      <c r="R35" s="2269" t="s">
        <v>109</v>
      </c>
      <c r="S35" s="2269" t="s">
        <v>109</v>
      </c>
      <c r="T35" s="2270" t="s">
        <v>109</v>
      </c>
      <c r="U35" s="2269" t="s">
        <v>108</v>
      </c>
      <c r="V35" s="2269" t="s">
        <v>108</v>
      </c>
      <c r="W35" s="2269" t="s">
        <v>108</v>
      </c>
      <c r="X35" s="2270" t="s">
        <v>108</v>
      </c>
      <c r="Y35" s="2270" t="s">
        <v>108</v>
      </c>
      <c r="Z35" s="2269" t="s">
        <v>108</v>
      </c>
      <c r="AA35" s="2270" t="s">
        <v>108</v>
      </c>
    </row>
    <row r="36" ht="18.75" customHeight="1">
      <c r="A36" s="147"/>
      <c r="B36" s="658"/>
      <c r="C36" s="2568" t="s">
        <v>299</v>
      </c>
      <c r="D36" s="2269" t="s">
        <v>108</v>
      </c>
      <c r="E36" s="2269" t="s">
        <v>108</v>
      </c>
      <c r="F36" s="2269" t="s">
        <v>108</v>
      </c>
      <c r="G36" s="2269" t="s">
        <v>108</v>
      </c>
      <c r="H36" s="2270" t="s">
        <v>108</v>
      </c>
      <c r="I36" s="2269" t="s">
        <v>108</v>
      </c>
      <c r="J36" s="2269" t="s">
        <v>108</v>
      </c>
      <c r="K36" s="2269" t="s">
        <v>108</v>
      </c>
      <c r="L36" s="2269" t="s">
        <v>108</v>
      </c>
      <c r="M36" s="2269" t="s">
        <v>108</v>
      </c>
      <c r="N36" s="2269" t="s">
        <v>108</v>
      </c>
      <c r="O36" s="2269" t="s">
        <v>108</v>
      </c>
      <c r="P36" s="2270" t="s">
        <v>108</v>
      </c>
      <c r="Q36" s="2269" t="s">
        <v>109</v>
      </c>
      <c r="R36" s="2269" t="s">
        <v>109</v>
      </c>
      <c r="S36" s="2269" t="s">
        <v>109</v>
      </c>
      <c r="T36" s="2270" t="s">
        <v>109</v>
      </c>
      <c r="U36" s="2269" t="s">
        <v>110</v>
      </c>
      <c r="V36" s="2269" t="s">
        <v>109</v>
      </c>
      <c r="W36" s="2269" t="s">
        <v>110</v>
      </c>
      <c r="X36" s="2270" t="s">
        <v>110</v>
      </c>
      <c r="Y36" s="2270" t="s">
        <v>110</v>
      </c>
      <c r="Z36" s="2269" t="s">
        <v>108</v>
      </c>
      <c r="AA36" s="2270" t="s">
        <v>108</v>
      </c>
    </row>
    <row r="37" ht="18.75" customHeight="1">
      <c r="A37" s="147"/>
      <c r="B37" s="2569" t="s">
        <v>526</v>
      </c>
      <c r="C37" s="2570" t="s">
        <v>527</v>
      </c>
      <c r="D37" s="2269" t="s">
        <v>109</v>
      </c>
      <c r="E37" s="2269" t="s">
        <v>109</v>
      </c>
      <c r="F37" s="2269" t="s">
        <v>109</v>
      </c>
      <c r="G37" s="2269" t="s">
        <v>109</v>
      </c>
      <c r="H37" s="2270" t="s">
        <v>109</v>
      </c>
      <c r="I37" s="2269" t="s">
        <v>109</v>
      </c>
      <c r="J37" s="2269" t="s">
        <v>109</v>
      </c>
      <c r="K37" s="2269" t="s">
        <v>109</v>
      </c>
      <c r="L37" s="2269" t="s">
        <v>109</v>
      </c>
      <c r="M37" s="2269" t="s">
        <v>109</v>
      </c>
      <c r="N37" s="2269" t="s">
        <v>109</v>
      </c>
      <c r="O37" s="2269" t="s">
        <v>109</v>
      </c>
      <c r="P37" s="2270" t="s">
        <v>109</v>
      </c>
      <c r="Q37" s="2269" t="s">
        <v>108</v>
      </c>
      <c r="R37" s="2269" t="s">
        <v>108</v>
      </c>
      <c r="S37" s="2269" t="s">
        <v>108</v>
      </c>
      <c r="T37" s="2270" t="s">
        <v>108</v>
      </c>
      <c r="U37" s="2269" t="s">
        <v>108</v>
      </c>
      <c r="V37" s="2269" t="s">
        <v>108</v>
      </c>
      <c r="W37" s="2269" t="s">
        <v>108</v>
      </c>
      <c r="X37" s="2270" t="s">
        <v>108</v>
      </c>
      <c r="Y37" s="2270" t="s">
        <v>108</v>
      </c>
      <c r="Z37" s="2269" t="s">
        <v>108</v>
      </c>
      <c r="AA37" s="2270" t="s">
        <v>108</v>
      </c>
    </row>
    <row r="38" ht="18.75" customHeight="1">
      <c r="A38" s="147"/>
      <c r="B38" s="644"/>
      <c r="C38" s="2571" t="s">
        <v>605</v>
      </c>
      <c r="D38" s="2269" t="s">
        <v>109</v>
      </c>
      <c r="E38" s="2269" t="s">
        <v>109</v>
      </c>
      <c r="F38" s="2269" t="s">
        <v>109</v>
      </c>
      <c r="G38" s="2269" t="s">
        <v>109</v>
      </c>
      <c r="H38" s="2270" t="s">
        <v>109</v>
      </c>
      <c r="I38" s="2269" t="s">
        <v>109</v>
      </c>
      <c r="J38" s="2269" t="s">
        <v>109</v>
      </c>
      <c r="K38" s="2269" t="s">
        <v>109</v>
      </c>
      <c r="L38" s="2269" t="s">
        <v>109</v>
      </c>
      <c r="M38" s="2269" t="s">
        <v>109</v>
      </c>
      <c r="N38" s="2269" t="s">
        <v>109</v>
      </c>
      <c r="O38" s="2269" t="s">
        <v>109</v>
      </c>
      <c r="P38" s="2270" t="s">
        <v>109</v>
      </c>
      <c r="Q38" s="2269" t="s">
        <v>109</v>
      </c>
      <c r="R38" s="2269" t="s">
        <v>109</v>
      </c>
      <c r="S38" s="2269" t="s">
        <v>110</v>
      </c>
      <c r="T38" s="2270" t="s">
        <v>109</v>
      </c>
      <c r="U38" s="2269" t="s">
        <v>108</v>
      </c>
      <c r="V38" s="2269" t="s">
        <v>108</v>
      </c>
      <c r="W38" s="2269" t="s">
        <v>108</v>
      </c>
      <c r="X38" s="2270" t="s">
        <v>108</v>
      </c>
      <c r="Y38" s="2270" t="s">
        <v>110</v>
      </c>
      <c r="Z38" s="2269" t="s">
        <v>109</v>
      </c>
      <c r="AA38" s="2269" t="s">
        <v>109</v>
      </c>
    </row>
    <row r="39" ht="18.75" customHeight="1">
      <c r="A39" s="147"/>
      <c r="B39" s="658"/>
      <c r="C39" s="2571" t="s">
        <v>1299</v>
      </c>
      <c r="D39" s="2269" t="s">
        <v>108</v>
      </c>
      <c r="E39" s="2269" t="s">
        <v>108</v>
      </c>
      <c r="F39" s="2269" t="s">
        <v>108</v>
      </c>
      <c r="G39" s="2269" t="s">
        <v>108</v>
      </c>
      <c r="H39" s="2270" t="s">
        <v>108</v>
      </c>
      <c r="I39" s="2269" t="s">
        <v>108</v>
      </c>
      <c r="J39" s="2269" t="s">
        <v>108</v>
      </c>
      <c r="K39" s="2269" t="s">
        <v>108</v>
      </c>
      <c r="L39" s="2269" t="s">
        <v>108</v>
      </c>
      <c r="M39" s="2269" t="s">
        <v>108</v>
      </c>
      <c r="N39" s="2269" t="s">
        <v>108</v>
      </c>
      <c r="O39" s="2269" t="s">
        <v>108</v>
      </c>
      <c r="P39" s="2270" t="s">
        <v>108</v>
      </c>
      <c r="Q39" s="2269" t="s">
        <v>108</v>
      </c>
      <c r="R39" s="2269" t="s">
        <v>108</v>
      </c>
      <c r="S39" s="2269" t="s">
        <v>108</v>
      </c>
      <c r="T39" s="2270" t="s">
        <v>108</v>
      </c>
      <c r="U39" s="2269" t="s">
        <v>110</v>
      </c>
      <c r="V39" s="2269" t="s">
        <v>109</v>
      </c>
      <c r="W39" s="2269" t="s">
        <v>109</v>
      </c>
      <c r="X39" s="2270" t="s">
        <v>109</v>
      </c>
      <c r="Y39" s="2270" t="s">
        <v>110</v>
      </c>
      <c r="Z39" s="2269" t="s">
        <v>108</v>
      </c>
      <c r="AA39" s="2270" t="s">
        <v>108</v>
      </c>
    </row>
    <row r="40" ht="18.75" customHeight="1">
      <c r="A40" s="147"/>
      <c r="B40" s="2572" t="s">
        <v>528</v>
      </c>
      <c r="C40" s="2573" t="s">
        <v>1201</v>
      </c>
      <c r="D40" s="2269" t="s">
        <v>108</v>
      </c>
      <c r="E40" s="2269" t="s">
        <v>108</v>
      </c>
      <c r="F40" s="2269" t="s">
        <v>108</v>
      </c>
      <c r="G40" s="2269" t="s">
        <v>108</v>
      </c>
      <c r="H40" s="2270" t="s">
        <v>108</v>
      </c>
      <c r="I40" s="2269" t="s">
        <v>108</v>
      </c>
      <c r="J40" s="2269" t="s">
        <v>108</v>
      </c>
      <c r="K40" s="2269" t="s">
        <v>108</v>
      </c>
      <c r="L40" s="2269" t="s">
        <v>108</v>
      </c>
      <c r="M40" s="2269" t="s">
        <v>108</v>
      </c>
      <c r="N40" s="2269" t="s">
        <v>108</v>
      </c>
      <c r="O40" s="2269" t="s">
        <v>108</v>
      </c>
      <c r="P40" s="2270" t="s">
        <v>108</v>
      </c>
      <c r="Q40" s="2269" t="s">
        <v>108</v>
      </c>
      <c r="R40" s="2269" t="s">
        <v>108</v>
      </c>
      <c r="S40" s="2269" t="s">
        <v>108</v>
      </c>
      <c r="T40" s="2270" t="s">
        <v>108</v>
      </c>
      <c r="U40" s="2269" t="s">
        <v>110</v>
      </c>
      <c r="V40" s="2269" t="s">
        <v>109</v>
      </c>
      <c r="W40" s="2269" t="s">
        <v>110</v>
      </c>
      <c r="X40" s="2270" t="s">
        <v>109</v>
      </c>
      <c r="Y40" s="2270" t="s">
        <v>110</v>
      </c>
      <c r="Z40" s="2269" t="s">
        <v>110</v>
      </c>
      <c r="AA40" s="2270" t="s">
        <v>110</v>
      </c>
    </row>
    <row r="41" ht="18.75" customHeight="1">
      <c r="A41" s="147"/>
      <c r="B41" s="644"/>
      <c r="C41" s="2574" t="s">
        <v>1304</v>
      </c>
      <c r="D41" s="2269" t="s">
        <v>108</v>
      </c>
      <c r="E41" s="2269" t="s">
        <v>108</v>
      </c>
      <c r="F41" s="2269" t="s">
        <v>108</v>
      </c>
      <c r="G41" s="2269" t="s">
        <v>108</v>
      </c>
      <c r="H41" s="2270" t="s">
        <v>108</v>
      </c>
      <c r="I41" s="2269" t="s">
        <v>108</v>
      </c>
      <c r="J41" s="2269" t="s">
        <v>108</v>
      </c>
      <c r="K41" s="2269" t="s">
        <v>108</v>
      </c>
      <c r="L41" s="2269" t="s">
        <v>108</v>
      </c>
      <c r="M41" s="2269" t="s">
        <v>108</v>
      </c>
      <c r="N41" s="2269" t="s">
        <v>108</v>
      </c>
      <c r="O41" s="2269" t="s">
        <v>108</v>
      </c>
      <c r="P41" s="2270" t="s">
        <v>108</v>
      </c>
      <c r="Q41" s="2269" t="s">
        <v>108</v>
      </c>
      <c r="R41" s="2269" t="s">
        <v>108</v>
      </c>
      <c r="S41" s="2269" t="s">
        <v>108</v>
      </c>
      <c r="T41" s="2270" t="s">
        <v>108</v>
      </c>
      <c r="U41" s="2269" t="s">
        <v>110</v>
      </c>
      <c r="V41" s="2269" t="s">
        <v>110</v>
      </c>
      <c r="W41" s="2269" t="s">
        <v>110</v>
      </c>
      <c r="X41" s="2270" t="s">
        <v>109</v>
      </c>
      <c r="Y41" s="2270" t="s">
        <v>108</v>
      </c>
      <c r="Z41" s="2269" t="s">
        <v>108</v>
      </c>
      <c r="AA41" s="2270" t="s">
        <v>108</v>
      </c>
    </row>
    <row r="42" ht="18.75" customHeight="1">
      <c r="A42" s="147"/>
      <c r="B42" s="658"/>
      <c r="C42" s="2575" t="s">
        <v>1307</v>
      </c>
      <c r="D42" s="2269" t="s">
        <v>109</v>
      </c>
      <c r="E42" s="2269" t="s">
        <v>109</v>
      </c>
      <c r="F42" s="2269" t="s">
        <v>109</v>
      </c>
      <c r="G42" s="2269" t="s">
        <v>109</v>
      </c>
      <c r="H42" s="2270" t="s">
        <v>109</v>
      </c>
      <c r="I42" s="2269" t="s">
        <v>108</v>
      </c>
      <c r="J42" s="2269" t="s">
        <v>108</v>
      </c>
      <c r="K42" s="2269" t="s">
        <v>108</v>
      </c>
      <c r="L42" s="2269" t="s">
        <v>108</v>
      </c>
      <c r="M42" s="2269" t="s">
        <v>108</v>
      </c>
      <c r="N42" s="2269" t="s">
        <v>108</v>
      </c>
      <c r="O42" s="2269" t="s">
        <v>108</v>
      </c>
      <c r="P42" s="2270" t="s">
        <v>108</v>
      </c>
      <c r="Q42" s="2269" t="s">
        <v>109</v>
      </c>
      <c r="R42" s="2269" t="s">
        <v>109</v>
      </c>
      <c r="S42" s="2269" t="s">
        <v>109</v>
      </c>
      <c r="T42" s="2270" t="s">
        <v>109</v>
      </c>
      <c r="U42" s="2269" t="s">
        <v>110</v>
      </c>
      <c r="V42" s="2269" t="s">
        <v>117</v>
      </c>
      <c r="W42" s="2269" t="s">
        <v>109</v>
      </c>
      <c r="X42" s="2270" t="s">
        <v>109</v>
      </c>
      <c r="Y42" s="2270" t="s">
        <v>110</v>
      </c>
      <c r="Z42" s="2269" t="s">
        <v>108</v>
      </c>
      <c r="AA42" s="2270" t="s">
        <v>108</v>
      </c>
    </row>
    <row r="43" ht="18.75" customHeight="1">
      <c r="A43" s="147"/>
      <c r="B43" s="2576" t="s">
        <v>452</v>
      </c>
      <c r="C43" s="2577" t="s">
        <v>530</v>
      </c>
      <c r="D43" s="2269" t="s">
        <v>110</v>
      </c>
      <c r="E43" s="2269" t="s">
        <v>110</v>
      </c>
      <c r="F43" s="2269" t="s">
        <v>110</v>
      </c>
      <c r="G43" s="2269" t="s">
        <v>110</v>
      </c>
      <c r="H43" s="2270" t="s">
        <v>110</v>
      </c>
      <c r="I43" s="2269" t="s">
        <v>110</v>
      </c>
      <c r="J43" s="2269" t="s">
        <v>110</v>
      </c>
      <c r="K43" s="2269" t="s">
        <v>110</v>
      </c>
      <c r="L43" s="2269" t="s">
        <v>110</v>
      </c>
      <c r="M43" s="2269" t="s">
        <v>110</v>
      </c>
      <c r="N43" s="2269" t="s">
        <v>110</v>
      </c>
      <c r="O43" s="2269" t="s">
        <v>109</v>
      </c>
      <c r="P43" s="2270" t="s">
        <v>110</v>
      </c>
      <c r="Q43" s="2269" t="s">
        <v>110</v>
      </c>
      <c r="R43" s="2269" t="s">
        <v>110</v>
      </c>
      <c r="S43" s="2269" t="s">
        <v>109</v>
      </c>
      <c r="T43" s="2270" t="s">
        <v>110</v>
      </c>
      <c r="U43" s="2269" t="s">
        <v>110</v>
      </c>
      <c r="V43" s="2269" t="s">
        <v>110</v>
      </c>
      <c r="W43" s="2269" t="s">
        <v>110</v>
      </c>
      <c r="X43" s="2270" t="s">
        <v>110</v>
      </c>
      <c r="Y43" s="2270" t="s">
        <v>108</v>
      </c>
      <c r="Z43" s="2269" t="s">
        <v>108</v>
      </c>
      <c r="AA43" s="2270" t="s">
        <v>108</v>
      </c>
    </row>
    <row r="44" ht="18.75" customHeight="1">
      <c r="A44" s="147"/>
      <c r="B44" s="658"/>
      <c r="C44" s="2578" t="s">
        <v>1309</v>
      </c>
      <c r="D44" s="2269" t="s">
        <v>108</v>
      </c>
      <c r="E44" s="2269" t="s">
        <v>108</v>
      </c>
      <c r="F44" s="2269" t="s">
        <v>108</v>
      </c>
      <c r="G44" s="2269" t="s">
        <v>108</v>
      </c>
      <c r="H44" s="2270" t="s">
        <v>108</v>
      </c>
      <c r="I44" s="2269" t="s">
        <v>108</v>
      </c>
      <c r="J44" s="2269" t="s">
        <v>108</v>
      </c>
      <c r="K44" s="2269" t="s">
        <v>108</v>
      </c>
      <c r="L44" s="2269" t="s">
        <v>108</v>
      </c>
      <c r="M44" s="2269" t="s">
        <v>108</v>
      </c>
      <c r="N44" s="2269" t="s">
        <v>108</v>
      </c>
      <c r="O44" s="2269" t="s">
        <v>108</v>
      </c>
      <c r="P44" s="2270" t="s">
        <v>108</v>
      </c>
      <c r="Q44" s="2269" t="s">
        <v>110</v>
      </c>
      <c r="R44" s="2269" t="s">
        <v>110</v>
      </c>
      <c r="S44" s="2269" t="s">
        <v>109</v>
      </c>
      <c r="T44" s="2270" t="s">
        <v>110</v>
      </c>
      <c r="U44" s="2269" t="s">
        <v>110</v>
      </c>
      <c r="V44" s="2269" t="s">
        <v>110</v>
      </c>
      <c r="W44" s="2269" t="s">
        <v>110</v>
      </c>
      <c r="X44" s="2270" t="s">
        <v>110</v>
      </c>
      <c r="Y44" s="2270" t="s">
        <v>109</v>
      </c>
      <c r="Z44" s="2269" t="s">
        <v>108</v>
      </c>
      <c r="AA44" s="2270" t="s">
        <v>108</v>
      </c>
    </row>
    <row r="45" ht="18.75" customHeight="1">
      <c r="A45" s="147"/>
      <c r="B45" s="2579" t="s">
        <v>531</v>
      </c>
      <c r="C45" s="2580" t="s">
        <v>1796</v>
      </c>
      <c r="D45" s="2269" t="s">
        <v>110</v>
      </c>
      <c r="E45" s="2269" t="s">
        <v>109</v>
      </c>
      <c r="F45" s="2269" t="s">
        <v>110</v>
      </c>
      <c r="G45" s="2269" t="s">
        <v>109</v>
      </c>
      <c r="H45" s="2270" t="s">
        <v>110</v>
      </c>
      <c r="I45" s="2269" t="s">
        <v>109</v>
      </c>
      <c r="J45" s="2269" t="s">
        <v>110</v>
      </c>
      <c r="K45" s="2269" t="s">
        <v>109</v>
      </c>
      <c r="L45" s="2269" t="s">
        <v>110</v>
      </c>
      <c r="M45" s="2269" t="s">
        <v>110</v>
      </c>
      <c r="N45" s="2269" t="s">
        <v>110</v>
      </c>
      <c r="O45" s="2269" t="s">
        <v>110</v>
      </c>
      <c r="P45" s="2270" t="s">
        <v>110</v>
      </c>
      <c r="Q45" s="2269" t="s">
        <v>110</v>
      </c>
      <c r="R45" s="2269" t="s">
        <v>109</v>
      </c>
      <c r="S45" s="2269" t="s">
        <v>109</v>
      </c>
      <c r="T45" s="2270" t="s">
        <v>110</v>
      </c>
      <c r="U45" s="2269" t="s">
        <v>117</v>
      </c>
      <c r="V45" s="2269" t="s">
        <v>109</v>
      </c>
      <c r="W45" s="2269" t="s">
        <v>109</v>
      </c>
      <c r="X45" s="2270" t="s">
        <v>110</v>
      </c>
      <c r="Y45" s="2270" t="s">
        <v>108</v>
      </c>
      <c r="Z45" s="2269" t="s">
        <v>108</v>
      </c>
      <c r="AA45" s="2270" t="s">
        <v>108</v>
      </c>
    </row>
    <row r="46" ht="11.25" customHeight="1">
      <c r="A46" s="2323"/>
      <c r="B46" s="2324"/>
      <c r="C46" s="2478"/>
      <c r="D46" s="2007" t="str">
        <f t="shared" ref="D46:AA46" si="2">CONCATENATE("{""status"": ", IF(GT(D47, D48), """aangenomen""", """verworpen"""), ", ""title"": """, D5, """, ""url"": """,D29  , """, ""voor"":", D47,", ""tegen"": ", D48, ", ""onthouden"":", D49, "}")</f>
        <v>{"status": "aangenomen", "title": "M0020", "url": "https://www.reddit.com/r/RMTK/comments/aipqmi/", "voor":23, "tegen": 3, "onthouden":1}</v>
      </c>
      <c r="E46" s="2007" t="str">
        <f t="shared" si="2"/>
        <v>{"status": "verworpen", "title": "M0021", "url": "https://www.reddit.com/r/RMTK/comments/aiq3cp/", "voor":3, "tegen": 24, "onthouden":0}</v>
      </c>
      <c r="F46" s="2007" t="str">
        <f t="shared" si="2"/>
        <v>{"status": "aangenomen", "title": "M0022", "url": "https://www.reddit.com/r/RMTK/comments/aj2ow8/", "voor":17, "tegen": 10, "onthouden":0}</v>
      </c>
      <c r="G46" s="2007" t="str">
        <f t="shared" si="2"/>
        <v>{"status": "verworpen", "title": "M0023", "url": "https://www.reddit.com/r/RMTK/comments/ajf9vj/", "voor":7, "tegen": 20, "onthouden":0}</v>
      </c>
      <c r="H46" s="2007" t="str">
        <f t="shared" si="2"/>
        <v>{"status": "aangenomen", "title": "M0024", "url": "https://www.reddit.com/r/RMTK/comments/ajfndl/", "voor":21, "tegen": 6, "onthouden":0}</v>
      </c>
      <c r="I46" s="2007" t="str">
        <f t="shared" si="2"/>
        <v>{"status": "aangenomen", "title": "M0025", "url": "https://www.reddit.com/r/RMTK/comments/akqcw6", "voor":15, "tegen": 5, "onthouden":2}</v>
      </c>
      <c r="J46" s="2007" t="str">
        <f t="shared" si="2"/>
        <v>{"status": "aangenomen", "title": "M0026", "url": "https://www.reddit.com/r/RMTK/comments/al2x7m/", "voor":20, "tegen": 2, "onthouden":0}</v>
      </c>
      <c r="K46" s="2007" t="str">
        <f t="shared" si="2"/>
        <v>{"status": "verworpen", "title": "M0027", "url": "https://www.reddit.com/r/RMTK/comments/aleh5w/", "voor":5, "tegen": 17, "onthouden":0}</v>
      </c>
      <c r="L46" s="2007" t="str">
        <f t="shared" si="2"/>
        <v>{"status": "aangenomen", "title": "M0028", "url": "https://www.reddit.com/r/RMTK/comments/alfjq1/", "voor":20, "tegen": 2, "onthouden":0}</v>
      </c>
      <c r="M46" s="2007" t="str">
        <f t="shared" si="2"/>
        <v>{"status": "aangenomen", "title": "M0029", "url": "https://www.reddit.com/r/RMTK/comments/alrx3g/", "voor":14, "tegen": 7, "onthouden":1}</v>
      </c>
      <c r="N46" s="2007" t="str">
        <f t="shared" si="2"/>
        <v>{"status": "verworpen", "title": "M0030", "url": "https://www.reddit.com/r/RMTK/comments/alskg2/", "voor":9, "tegen": 13, "onthouden":0}</v>
      </c>
      <c r="O46" s="2007" t="str">
        <f t="shared" si="2"/>
        <v>{"status": "aangenomen", "title": "W0005", "url": "https://www.reddit.com/r/RMTK/comments/a9np8r/", "voor":18, "tegen": 4, "onthouden":0}</v>
      </c>
      <c r="P46" s="2007" t="str">
        <f t="shared" si="2"/>
        <v>{"status": "aangenomen", "title": "W0007", "url": "https://www.reddit.com/r/RMTK/comments/adxbtn/", "voor":20, "tegen": 2, "onthouden":0}</v>
      </c>
      <c r="Q46" s="2007" t="str">
        <f t="shared" si="2"/>
        <v>{"status": "verworpen", "title": "M0031", "url": "https://www.reddit.com/r/RMTK/comments/an3yg1", "voor":15, "tegen": 15, "onthouden":0}</v>
      </c>
      <c r="R46" s="2007" t="str">
        <f t="shared" si="2"/>
        <v>{"status": "verworpen", "title": "M0032", "url": "https://www.reddit.com/r/RMTK/comments/an4pf6/", "voor":7, "tegen": 23, "onthouden":0}</v>
      </c>
      <c r="S46" s="2007" t="str">
        <f t="shared" si="2"/>
        <v>{"status": "verworpen", "title": "M0033", "url": "https://www.reddit.com/r/RMTK/comments/ansc9j/", "voor":14, "tegen": 16, "onthouden":0}</v>
      </c>
      <c r="T46" s="2007" t="str">
        <f t="shared" si="2"/>
        <v>{"status": "verworpen", "title": "M0034", "url": "https://www.reddit.com/r/RMTK/comments/ao8cgj/", "voor":7, "tegen": 23, "onthouden":0}</v>
      </c>
      <c r="U46" s="2007" t="str">
        <f t="shared" si="2"/>
        <v>{"status": "verworpen", "title": "M0035", "url": "https://www.reddit.com/r/RMTK/comments/apk0kw/", "voor":11, "tegen": 17, "onthouden":1}</v>
      </c>
      <c r="V46" s="2007" t="str">
        <f t="shared" si="2"/>
        <v>{"status": "verworpen", "title": "M0036", "url": "https://www.reddit.com/r/RMTK/comments/aqngvk/", "voor":11, "tegen": 17, "onthouden":1}</v>
      </c>
      <c r="W46" s="2007" t="str">
        <f t="shared" si="2"/>
        <v>{"status": "verworpen", "title": "M0037", "url": "https://www.reddit.com/r/RMTK/comments/aqnnru/", "voor":7, "tegen": 22, "onthouden":0}</v>
      </c>
      <c r="X46" s="2007" t="str">
        <f t="shared" si="2"/>
        <v>{"status": "aangenomen", "title": "W0010", "url": "https://www.reddit.com/r/RMTK/comments/apwpjm/", "voor":25, "tegen": 4, "onthouden":0}</v>
      </c>
      <c r="Y46" s="2007" t="str">
        <f t="shared" si="2"/>
        <v>{"status": "aangenomen", "title": "M0038", "url": "https://www.reddit.com/r/RMTK/comments/asennu/", "voor":25, "tegen": 1, "onthouden":0}</v>
      </c>
      <c r="Z46" s="2007" t="str">
        <f t="shared" si="2"/>
        <v>{"status": "aangenomen", "title": "M0039", "url": "https://www.reddit.com/r/RMTK/comments/av3xoy/", "voor":16, "tegen": 5, "onthouden":0}</v>
      </c>
      <c r="AA46" s="2007" t="str">
        <f t="shared" si="2"/>
        <v>{"status": "aangenomen", "title": "W0011", "url": "https://www.reddit.com/r/RMTK/comments/avu0ir/", "voor":20, "tegen": 1, "onthouden":0}</v>
      </c>
    </row>
    <row r="47" ht="18.0" customHeight="1">
      <c r="A47" s="2332" t="s">
        <v>158</v>
      </c>
      <c r="B47" s="2333" t="s">
        <v>110</v>
      </c>
      <c r="C47" s="44"/>
      <c r="D47" s="2334">
        <f t="shared" ref="D47:G47" si="3">COUNTIF(D5:D45,"Voor")</f>
        <v>23</v>
      </c>
      <c r="E47" s="2334">
        <f t="shared" si="3"/>
        <v>3</v>
      </c>
      <c r="F47" s="2334">
        <f t="shared" si="3"/>
        <v>17</v>
      </c>
      <c r="G47" s="2334">
        <f t="shared" si="3"/>
        <v>7</v>
      </c>
      <c r="H47" s="2334">
        <f t="shared" ref="H47:AA47" si="4">COUNTIF(H4:H45,"Voor")</f>
        <v>21</v>
      </c>
      <c r="I47" s="2334">
        <f t="shared" si="4"/>
        <v>15</v>
      </c>
      <c r="J47" s="2334">
        <f t="shared" si="4"/>
        <v>20</v>
      </c>
      <c r="K47" s="2334">
        <f t="shared" si="4"/>
        <v>5</v>
      </c>
      <c r="L47" s="2334">
        <f t="shared" si="4"/>
        <v>20</v>
      </c>
      <c r="M47" s="2334">
        <f t="shared" si="4"/>
        <v>14</v>
      </c>
      <c r="N47" s="2334">
        <f t="shared" si="4"/>
        <v>9</v>
      </c>
      <c r="O47" s="2334">
        <f t="shared" si="4"/>
        <v>18</v>
      </c>
      <c r="P47" s="2334">
        <f t="shared" si="4"/>
        <v>20</v>
      </c>
      <c r="Q47" s="2334">
        <f t="shared" si="4"/>
        <v>15</v>
      </c>
      <c r="R47" s="2334">
        <f t="shared" si="4"/>
        <v>7</v>
      </c>
      <c r="S47" s="2334">
        <f t="shared" si="4"/>
        <v>14</v>
      </c>
      <c r="T47" s="2334">
        <f t="shared" si="4"/>
        <v>7</v>
      </c>
      <c r="U47" s="2334">
        <f t="shared" si="4"/>
        <v>11</v>
      </c>
      <c r="V47" s="2334">
        <f t="shared" si="4"/>
        <v>11</v>
      </c>
      <c r="W47" s="2334">
        <f t="shared" si="4"/>
        <v>7</v>
      </c>
      <c r="X47" s="2334">
        <f t="shared" si="4"/>
        <v>25</v>
      </c>
      <c r="Y47" s="2334">
        <f t="shared" si="4"/>
        <v>25</v>
      </c>
      <c r="Z47" s="2334">
        <f t="shared" si="4"/>
        <v>16</v>
      </c>
      <c r="AA47" s="2334">
        <f t="shared" si="4"/>
        <v>20</v>
      </c>
    </row>
    <row r="48" ht="18.75" customHeight="1">
      <c r="A48" s="44"/>
      <c r="B48" s="2338" t="s">
        <v>109</v>
      </c>
      <c r="C48" s="44"/>
      <c r="D48" s="2339">
        <f t="shared" ref="D48:G48" si="5">COUNTIF(D5:D45,"Tegen")</f>
        <v>3</v>
      </c>
      <c r="E48" s="2339">
        <f t="shared" si="5"/>
        <v>24</v>
      </c>
      <c r="F48" s="2339">
        <f t="shared" si="5"/>
        <v>10</v>
      </c>
      <c r="G48" s="2339">
        <f t="shared" si="5"/>
        <v>20</v>
      </c>
      <c r="H48" s="2339">
        <f t="shared" ref="H48:AA48" si="6">COUNTIF(H4:H45,"Tegen")</f>
        <v>6</v>
      </c>
      <c r="I48" s="2339">
        <f t="shared" si="6"/>
        <v>5</v>
      </c>
      <c r="J48" s="2339">
        <f t="shared" si="6"/>
        <v>2</v>
      </c>
      <c r="K48" s="2339">
        <f t="shared" si="6"/>
        <v>17</v>
      </c>
      <c r="L48" s="2339">
        <f t="shared" si="6"/>
        <v>2</v>
      </c>
      <c r="M48" s="2339">
        <f t="shared" si="6"/>
        <v>7</v>
      </c>
      <c r="N48" s="2339">
        <f t="shared" si="6"/>
        <v>13</v>
      </c>
      <c r="O48" s="2339">
        <f t="shared" si="6"/>
        <v>4</v>
      </c>
      <c r="P48" s="2339">
        <f t="shared" si="6"/>
        <v>2</v>
      </c>
      <c r="Q48" s="2339">
        <f t="shared" si="6"/>
        <v>15</v>
      </c>
      <c r="R48" s="2339">
        <f t="shared" si="6"/>
        <v>23</v>
      </c>
      <c r="S48" s="2339">
        <f t="shared" si="6"/>
        <v>16</v>
      </c>
      <c r="T48" s="2339">
        <f t="shared" si="6"/>
        <v>23</v>
      </c>
      <c r="U48" s="2339">
        <f t="shared" si="6"/>
        <v>17</v>
      </c>
      <c r="V48" s="2339">
        <f t="shared" si="6"/>
        <v>17</v>
      </c>
      <c r="W48" s="2339">
        <f t="shared" si="6"/>
        <v>22</v>
      </c>
      <c r="X48" s="2339">
        <f t="shared" si="6"/>
        <v>4</v>
      </c>
      <c r="Y48" s="2339">
        <f t="shared" si="6"/>
        <v>1</v>
      </c>
      <c r="Z48" s="2339">
        <f t="shared" si="6"/>
        <v>5</v>
      </c>
      <c r="AA48" s="2339">
        <f t="shared" si="6"/>
        <v>1</v>
      </c>
    </row>
    <row r="49" ht="18.75" customHeight="1">
      <c r="A49" s="44"/>
      <c r="B49" s="2343" t="s">
        <v>159</v>
      </c>
      <c r="C49" s="44"/>
      <c r="D49" s="2344">
        <f t="shared" ref="D49:G49" si="7">COUNTIF(D5:D45,"SO")</f>
        <v>1</v>
      </c>
      <c r="E49" s="2344">
        <f t="shared" si="7"/>
        <v>0</v>
      </c>
      <c r="F49" s="2344">
        <f t="shared" si="7"/>
        <v>0</v>
      </c>
      <c r="G49" s="2344">
        <f t="shared" si="7"/>
        <v>0</v>
      </c>
      <c r="H49" s="2344">
        <f t="shared" ref="H49:AA49" si="8">COUNTIF(H4:H45,"SO")</f>
        <v>0</v>
      </c>
      <c r="I49" s="2344">
        <f t="shared" si="8"/>
        <v>2</v>
      </c>
      <c r="J49" s="2344">
        <f t="shared" si="8"/>
        <v>0</v>
      </c>
      <c r="K49" s="2344">
        <f t="shared" si="8"/>
        <v>0</v>
      </c>
      <c r="L49" s="2344">
        <f t="shared" si="8"/>
        <v>0</v>
      </c>
      <c r="M49" s="2344">
        <f t="shared" si="8"/>
        <v>1</v>
      </c>
      <c r="N49" s="2344">
        <f t="shared" si="8"/>
        <v>0</v>
      </c>
      <c r="O49" s="2344">
        <f t="shared" si="8"/>
        <v>0</v>
      </c>
      <c r="P49" s="2344">
        <f t="shared" si="8"/>
        <v>0</v>
      </c>
      <c r="Q49" s="2344">
        <f t="shared" si="8"/>
        <v>0</v>
      </c>
      <c r="R49" s="2344">
        <f t="shared" si="8"/>
        <v>0</v>
      </c>
      <c r="S49" s="2344">
        <f t="shared" si="8"/>
        <v>0</v>
      </c>
      <c r="T49" s="2344">
        <f t="shared" si="8"/>
        <v>0</v>
      </c>
      <c r="U49" s="2344">
        <f t="shared" si="8"/>
        <v>1</v>
      </c>
      <c r="V49" s="2344">
        <f t="shared" si="8"/>
        <v>1</v>
      </c>
      <c r="W49" s="2344">
        <f t="shared" si="8"/>
        <v>0</v>
      </c>
      <c r="X49" s="2344">
        <f t="shared" si="8"/>
        <v>0</v>
      </c>
      <c r="Y49" s="2344">
        <f t="shared" si="8"/>
        <v>0</v>
      </c>
      <c r="Z49" s="2344">
        <f t="shared" si="8"/>
        <v>0</v>
      </c>
      <c r="AA49" s="2344">
        <f t="shared" si="8"/>
        <v>0</v>
      </c>
    </row>
    <row r="50" ht="18.75" customHeight="1">
      <c r="A50" s="44"/>
      <c r="B50" s="2348" t="s">
        <v>160</v>
      </c>
      <c r="C50" s="44"/>
      <c r="D50" s="2349">
        <f t="shared" ref="D50:G50" si="9">COUNTIF(D5:D45,"NG")</f>
        <v>7</v>
      </c>
      <c r="E50" s="2349">
        <f t="shared" si="9"/>
        <v>7</v>
      </c>
      <c r="F50" s="2349">
        <f t="shared" si="9"/>
        <v>7</v>
      </c>
      <c r="G50" s="2349">
        <f t="shared" si="9"/>
        <v>7</v>
      </c>
      <c r="H50" s="2349">
        <f t="shared" ref="H50:AA50" si="10">COUNTIF(H4:H45,"NG")</f>
        <v>7</v>
      </c>
      <c r="I50" s="2349">
        <f t="shared" si="10"/>
        <v>13</v>
      </c>
      <c r="J50" s="2349">
        <f t="shared" si="10"/>
        <v>13</v>
      </c>
      <c r="K50" s="2349">
        <f t="shared" si="10"/>
        <v>13</v>
      </c>
      <c r="L50" s="2349">
        <f t="shared" si="10"/>
        <v>13</v>
      </c>
      <c r="M50" s="2349">
        <f t="shared" si="10"/>
        <v>13</v>
      </c>
      <c r="N50" s="2349">
        <f t="shared" si="10"/>
        <v>13</v>
      </c>
      <c r="O50" s="2349">
        <f t="shared" si="10"/>
        <v>13</v>
      </c>
      <c r="P50" s="2349">
        <f t="shared" si="10"/>
        <v>13</v>
      </c>
      <c r="Q50" s="2349">
        <f t="shared" si="10"/>
        <v>5</v>
      </c>
      <c r="R50" s="2349">
        <f t="shared" si="10"/>
        <v>5</v>
      </c>
      <c r="S50" s="2349">
        <f t="shared" si="10"/>
        <v>5</v>
      </c>
      <c r="T50" s="2349">
        <f t="shared" si="10"/>
        <v>5</v>
      </c>
      <c r="U50" s="2349">
        <f t="shared" si="10"/>
        <v>6</v>
      </c>
      <c r="V50" s="2349">
        <f t="shared" si="10"/>
        <v>6</v>
      </c>
      <c r="W50" s="2349">
        <f t="shared" si="10"/>
        <v>6</v>
      </c>
      <c r="X50" s="2349">
        <f t="shared" si="10"/>
        <v>6</v>
      </c>
      <c r="Y50" s="2349">
        <f t="shared" si="10"/>
        <v>9</v>
      </c>
      <c r="Z50" s="2349">
        <f t="shared" si="10"/>
        <v>14</v>
      </c>
      <c r="AA50" s="2349">
        <f t="shared" si="10"/>
        <v>14</v>
      </c>
    </row>
    <row r="51" ht="18.75" customHeight="1">
      <c r="A51" s="44"/>
      <c r="B51" s="2353" t="s">
        <v>161</v>
      </c>
      <c r="C51" s="44"/>
      <c r="D51" s="2354">
        <f t="shared" ref="D51:AA51" si="11">SUM(D47:D50)</f>
        <v>34</v>
      </c>
      <c r="E51" s="2354">
        <f t="shared" si="11"/>
        <v>34</v>
      </c>
      <c r="F51" s="2354">
        <f t="shared" si="11"/>
        <v>34</v>
      </c>
      <c r="G51" s="2354">
        <f t="shared" si="11"/>
        <v>34</v>
      </c>
      <c r="H51" s="2354">
        <f t="shared" si="11"/>
        <v>34</v>
      </c>
      <c r="I51" s="2354">
        <f t="shared" si="11"/>
        <v>35</v>
      </c>
      <c r="J51" s="2354">
        <f t="shared" si="11"/>
        <v>35</v>
      </c>
      <c r="K51" s="2354">
        <f t="shared" si="11"/>
        <v>35</v>
      </c>
      <c r="L51" s="2354">
        <f t="shared" si="11"/>
        <v>35</v>
      </c>
      <c r="M51" s="2354">
        <f t="shared" si="11"/>
        <v>35</v>
      </c>
      <c r="N51" s="2354">
        <f t="shared" si="11"/>
        <v>35</v>
      </c>
      <c r="O51" s="2354">
        <f t="shared" si="11"/>
        <v>35</v>
      </c>
      <c r="P51" s="2354">
        <f t="shared" si="11"/>
        <v>35</v>
      </c>
      <c r="Q51" s="2354">
        <f t="shared" si="11"/>
        <v>35</v>
      </c>
      <c r="R51" s="2354">
        <f t="shared" si="11"/>
        <v>35</v>
      </c>
      <c r="S51" s="2354">
        <f t="shared" si="11"/>
        <v>35</v>
      </c>
      <c r="T51" s="2354">
        <f t="shared" si="11"/>
        <v>35</v>
      </c>
      <c r="U51" s="2354">
        <f t="shared" si="11"/>
        <v>35</v>
      </c>
      <c r="V51" s="2354">
        <f t="shared" si="11"/>
        <v>35</v>
      </c>
      <c r="W51" s="2354">
        <f t="shared" si="11"/>
        <v>35</v>
      </c>
      <c r="X51" s="2354">
        <f t="shared" si="11"/>
        <v>35</v>
      </c>
      <c r="Y51" s="2354">
        <f t="shared" si="11"/>
        <v>35</v>
      </c>
      <c r="Z51" s="2354">
        <f t="shared" si="11"/>
        <v>35</v>
      </c>
      <c r="AA51" s="2354">
        <f t="shared" si="11"/>
        <v>35</v>
      </c>
    </row>
    <row r="52" ht="18.75" customHeight="1">
      <c r="A52" s="44"/>
      <c r="B52" s="2358" t="s">
        <v>162</v>
      </c>
      <c r="C52" s="44"/>
      <c r="D52" s="2359">
        <f t="shared" ref="D52:AA52" si="12">D47+D48+D49</f>
        <v>27</v>
      </c>
      <c r="E52" s="2359">
        <f t="shared" si="12"/>
        <v>27</v>
      </c>
      <c r="F52" s="2359">
        <f t="shared" si="12"/>
        <v>27</v>
      </c>
      <c r="G52" s="2359">
        <f t="shared" si="12"/>
        <v>27</v>
      </c>
      <c r="H52" s="2359">
        <f t="shared" si="12"/>
        <v>27</v>
      </c>
      <c r="I52" s="2359">
        <f t="shared" si="12"/>
        <v>22</v>
      </c>
      <c r="J52" s="2359">
        <f t="shared" si="12"/>
        <v>22</v>
      </c>
      <c r="K52" s="2359">
        <f t="shared" si="12"/>
        <v>22</v>
      </c>
      <c r="L52" s="2359">
        <f t="shared" si="12"/>
        <v>22</v>
      </c>
      <c r="M52" s="2359">
        <f t="shared" si="12"/>
        <v>22</v>
      </c>
      <c r="N52" s="2359">
        <f t="shared" si="12"/>
        <v>22</v>
      </c>
      <c r="O52" s="2359">
        <f t="shared" si="12"/>
        <v>22</v>
      </c>
      <c r="P52" s="2359">
        <f t="shared" si="12"/>
        <v>22</v>
      </c>
      <c r="Q52" s="2359">
        <f t="shared" si="12"/>
        <v>30</v>
      </c>
      <c r="R52" s="2359">
        <f t="shared" si="12"/>
        <v>30</v>
      </c>
      <c r="S52" s="2359">
        <f t="shared" si="12"/>
        <v>30</v>
      </c>
      <c r="T52" s="2359">
        <f t="shared" si="12"/>
        <v>30</v>
      </c>
      <c r="U52" s="2359">
        <f t="shared" si="12"/>
        <v>29</v>
      </c>
      <c r="V52" s="2359">
        <f t="shared" si="12"/>
        <v>29</v>
      </c>
      <c r="W52" s="2359">
        <f t="shared" si="12"/>
        <v>29</v>
      </c>
      <c r="X52" s="2359">
        <f t="shared" si="12"/>
        <v>29</v>
      </c>
      <c r="Y52" s="2359">
        <f t="shared" si="12"/>
        <v>26</v>
      </c>
      <c r="Z52" s="2359">
        <f t="shared" si="12"/>
        <v>21</v>
      </c>
      <c r="AA52" s="2359">
        <f t="shared" si="12"/>
        <v>21</v>
      </c>
    </row>
    <row r="53" ht="18.75" customHeight="1">
      <c r="A53" s="230"/>
      <c r="B53" s="2363" t="s">
        <v>163</v>
      </c>
      <c r="C53" s="230"/>
      <c r="D53" s="2364">
        <f t="shared" ref="D53:AA53" si="13">IFERROR(D52/D51,"")</f>
        <v>0.7941176471</v>
      </c>
      <c r="E53" s="2364">
        <f t="shared" si="13"/>
        <v>0.7941176471</v>
      </c>
      <c r="F53" s="2364">
        <f t="shared" si="13"/>
        <v>0.7941176471</v>
      </c>
      <c r="G53" s="2364">
        <f t="shared" si="13"/>
        <v>0.7941176471</v>
      </c>
      <c r="H53" s="2364">
        <f t="shared" si="13"/>
        <v>0.7941176471</v>
      </c>
      <c r="I53" s="2364">
        <f t="shared" si="13"/>
        <v>0.6285714286</v>
      </c>
      <c r="J53" s="2364">
        <f t="shared" si="13"/>
        <v>0.6285714286</v>
      </c>
      <c r="K53" s="2364">
        <f t="shared" si="13"/>
        <v>0.6285714286</v>
      </c>
      <c r="L53" s="2364">
        <f t="shared" si="13"/>
        <v>0.6285714286</v>
      </c>
      <c r="M53" s="2364">
        <f t="shared" si="13"/>
        <v>0.6285714286</v>
      </c>
      <c r="N53" s="2364">
        <f t="shared" si="13"/>
        <v>0.6285714286</v>
      </c>
      <c r="O53" s="2364">
        <f t="shared" si="13"/>
        <v>0.6285714286</v>
      </c>
      <c r="P53" s="2364">
        <f t="shared" si="13"/>
        <v>0.6285714286</v>
      </c>
      <c r="Q53" s="2364">
        <f t="shared" si="13"/>
        <v>0.8571428571</v>
      </c>
      <c r="R53" s="2364">
        <f t="shared" si="13"/>
        <v>0.8571428571</v>
      </c>
      <c r="S53" s="2364">
        <f t="shared" si="13"/>
        <v>0.8571428571</v>
      </c>
      <c r="T53" s="2364">
        <f t="shared" si="13"/>
        <v>0.8571428571</v>
      </c>
      <c r="U53" s="2364">
        <f t="shared" si="13"/>
        <v>0.8285714286</v>
      </c>
      <c r="V53" s="2364">
        <f t="shared" si="13"/>
        <v>0.8285714286</v>
      </c>
      <c r="W53" s="2364">
        <f t="shared" si="13"/>
        <v>0.8285714286</v>
      </c>
      <c r="X53" s="2364">
        <f t="shared" si="13"/>
        <v>0.8285714286</v>
      </c>
      <c r="Y53" s="2364">
        <f t="shared" si="13"/>
        <v>0.7428571429</v>
      </c>
      <c r="Z53" s="2364">
        <f t="shared" si="13"/>
        <v>0.6</v>
      </c>
      <c r="AA53" s="2364">
        <f t="shared" si="13"/>
        <v>0.6</v>
      </c>
    </row>
    <row r="54" ht="18.75" customHeight="1">
      <c r="A54" s="1601"/>
      <c r="B54" s="1601"/>
      <c r="C54" s="1601"/>
      <c r="D54" s="1601"/>
      <c r="E54" s="1601"/>
      <c r="F54" s="1601"/>
      <c r="G54" s="1601"/>
      <c r="H54" s="1601"/>
      <c r="I54" s="1601"/>
      <c r="J54" s="2581"/>
      <c r="K54" s="2581"/>
      <c r="L54" s="2581"/>
      <c r="M54" s="2581"/>
      <c r="N54" s="2581"/>
      <c r="O54" s="2581"/>
      <c r="P54" s="2581"/>
      <c r="Q54" s="2581"/>
      <c r="R54" s="2581"/>
      <c r="S54" s="2581"/>
      <c r="T54" s="2581"/>
      <c r="U54" s="2581"/>
      <c r="V54" s="2581"/>
      <c r="W54" s="2581"/>
      <c r="X54" s="2581"/>
      <c r="Y54" s="2581"/>
      <c r="Z54" s="2581"/>
      <c r="AA54" s="2581"/>
    </row>
  </sheetData>
  <mergeCells count="22">
    <mergeCell ref="A2:C2"/>
    <mergeCell ref="D2:AA4"/>
    <mergeCell ref="A3:C4"/>
    <mergeCell ref="B7:B14"/>
    <mergeCell ref="B15:B22"/>
    <mergeCell ref="B23:B26"/>
    <mergeCell ref="B27:B28"/>
    <mergeCell ref="B43:B44"/>
    <mergeCell ref="B47:C47"/>
    <mergeCell ref="B48:C48"/>
    <mergeCell ref="B49:C49"/>
    <mergeCell ref="B50:C50"/>
    <mergeCell ref="B51:C51"/>
    <mergeCell ref="B52:C52"/>
    <mergeCell ref="B53:C53"/>
    <mergeCell ref="A7:A28"/>
    <mergeCell ref="A30:A45"/>
    <mergeCell ref="B30:B33"/>
    <mergeCell ref="B34:B36"/>
    <mergeCell ref="B37:B39"/>
    <mergeCell ref="B40:B42"/>
    <mergeCell ref="A47:A53"/>
  </mergeCells>
  <conditionalFormatting sqref="A3">
    <cfRule type="containsText" dxfId="0" priority="1" operator="containsText" text="voor">
      <formula>NOT(ISERROR(SEARCH(("voor"),(A3))))</formula>
    </cfRule>
  </conditionalFormatting>
  <conditionalFormatting sqref="A54:AA54">
    <cfRule type="containsText" dxfId="39" priority="2" operator="containsText" text="SO">
      <formula>NOT(ISERROR(SEARCH(("SO"),(A54))))</formula>
    </cfRule>
  </conditionalFormatting>
  <conditionalFormatting sqref="A54:AA54">
    <cfRule type="containsText" dxfId="40" priority="3" operator="containsText" text="N.v.t.">
      <formula>NOT(ISERROR(SEARCH(("N.v.t."),(A54))))</formula>
    </cfRule>
  </conditionalFormatting>
  <conditionalFormatting sqref="A54:AA54">
    <cfRule type="containsText" dxfId="23" priority="4" operator="containsText" text="Voor">
      <formula>NOT(ISERROR(SEARCH(("Voor"),(A54))))</formula>
    </cfRule>
  </conditionalFormatting>
  <conditionalFormatting sqref="A54:AA54">
    <cfRule type="containsText" dxfId="41" priority="5" operator="containsText" text="Tegen">
      <formula>NOT(ISERROR(SEARCH(("Tegen"),(A54))))</formula>
    </cfRule>
  </conditionalFormatting>
  <conditionalFormatting sqref="A54:AA54">
    <cfRule type="containsText" dxfId="42" priority="6" operator="containsText" text="N.v.t.">
      <formula>NOT(ISERROR(SEARCH(("N.v.t."),(A54))))</formula>
    </cfRule>
  </conditionalFormatting>
  <conditionalFormatting sqref="A54:AA54">
    <cfRule type="cellIs" dxfId="39" priority="7" operator="equal">
      <formula>"SO"</formula>
    </cfRule>
  </conditionalFormatting>
  <conditionalFormatting sqref="A54:AA54">
    <cfRule type="cellIs" dxfId="43" priority="8" operator="equal">
      <formula>"NG"</formula>
    </cfRule>
  </conditionalFormatting>
  <conditionalFormatting sqref="D7:H13 I7:Y18 Z7:AA17 D15:H18 Z19:AA22 D20:T24 U20:Y22 U24:AA26 D26:H27 I26:T26 I28:AA45 D29:H45">
    <cfRule type="containsText" dxfId="2" priority="9" operator="containsText" text="SO">
      <formula>NOT(ISERROR(SEARCH(("SO"),(D7))))</formula>
    </cfRule>
  </conditionalFormatting>
  <conditionalFormatting sqref="A3 D7:H13 I7:Y18 Z7:AA17 D15:H18 Z19:AA22 D20:T24 U20:Y22 U24:AA26 D26:H27 I26:T26 I28:AA45 D29:H45">
    <cfRule type="containsText" dxfId="1" priority="10" operator="containsText" text="tegen">
      <formula>NOT(ISERROR(SEARCH(("tegen"),(A3))))</formula>
    </cfRule>
  </conditionalFormatting>
  <conditionalFormatting sqref="D7:H13 I7:Y18 Z7:AA17 D15:H18 Z19:AA22 D20:T24 U20:Y22 U24:AA26 D26:H27 I26:T26 I28:AA45 D29:H45">
    <cfRule type="containsText" dxfId="4" priority="11" operator="containsText" text="voor">
      <formula>NOT(ISERROR(SEARCH(("voor"),(D7))))</formula>
    </cfRule>
  </conditionalFormatting>
  <conditionalFormatting sqref="D7:H13 I7:Y18 Z7:AA17 D15:H18 Z19:AA22 D20:T24 U20:Y22 U24:AA26 D26:H27 I26:T26 I28:AA45 D29:H45">
    <cfRule type="cellIs" dxfId="5" priority="12" operator="equal">
      <formula>"NG"</formula>
    </cfRule>
  </conditionalFormatting>
  <conditionalFormatting sqref="D7:H13 I7:Y18 Z7:AA17 D15:H18 Z19:AA22 D20:T24 U20:Y22 U24:AA26 D26:H27 I26:T26 I28:AA45 D29:H45">
    <cfRule type="containsText" dxfId="6" priority="13" operator="containsText" text="NVT">
      <formula>NOT(ISERROR(SEARCH(("NVT"),(D7))))</formula>
    </cfRule>
  </conditionalFormatting>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B0F00"/>
    <outlinePr summaryBelow="0" summaryRight="0"/>
  </sheetPr>
  <sheetViews>
    <sheetView workbookViewId="0">
      <pane xSplit="3.0" topLeftCell="D1" activePane="topRight" state="frozen"/>
      <selection activeCell="E2" sqref="E2" pane="topRight"/>
    </sheetView>
  </sheetViews>
  <sheetFormatPr customHeight="1" defaultColWidth="14.43" defaultRowHeight="15.75"/>
  <cols>
    <col customWidth="1" min="1" max="1" width="10.86"/>
    <col customWidth="1" min="2" max="2" width="11.0"/>
    <col customWidth="1" min="3" max="3" width="21.86"/>
  </cols>
  <sheetData>
    <row r="1" ht="18.75" customHeight="1">
      <c r="A1" s="2518" t="s">
        <v>1658</v>
      </c>
      <c r="B1" s="1601"/>
      <c r="C1" s="1601"/>
      <c r="D1" s="1601"/>
      <c r="E1" s="1601"/>
      <c r="F1" s="1601"/>
      <c r="G1" s="1601"/>
      <c r="H1" s="1601"/>
      <c r="I1" s="1601"/>
      <c r="J1" s="1601"/>
      <c r="K1" s="1601"/>
      <c r="L1" s="1601"/>
      <c r="M1" s="1601"/>
      <c r="N1" s="1601"/>
      <c r="O1" s="1601"/>
      <c r="P1" s="1601"/>
      <c r="Q1" s="1601"/>
      <c r="R1" s="1601"/>
      <c r="S1" s="1601"/>
      <c r="T1" s="1601"/>
      <c r="U1" s="1601"/>
      <c r="V1" s="1601"/>
      <c r="W1" s="1601"/>
      <c r="X1" s="1601"/>
      <c r="Y1" s="1601"/>
    </row>
    <row r="2" ht="18.75" customHeight="1">
      <c r="A2" s="2369"/>
      <c r="B2" s="2109"/>
      <c r="C2" s="2110"/>
      <c r="D2" s="2502" t="s">
        <v>1659</v>
      </c>
      <c r="E2" s="16"/>
      <c r="F2" s="16"/>
      <c r="G2" s="16"/>
      <c r="H2" s="16"/>
      <c r="I2" s="16"/>
      <c r="J2" s="16"/>
      <c r="K2" s="17"/>
      <c r="L2" s="1601"/>
      <c r="M2" s="1601"/>
      <c r="N2" s="1601"/>
      <c r="O2" s="1601"/>
      <c r="P2" s="1601"/>
      <c r="Q2" s="1601"/>
      <c r="R2" s="1601"/>
      <c r="S2" s="1601"/>
      <c r="T2" s="1601"/>
      <c r="U2" s="1601"/>
      <c r="V2" s="1601"/>
      <c r="W2" s="1601"/>
      <c r="X2" s="1601"/>
      <c r="Y2" s="1601"/>
    </row>
    <row r="3" ht="18.75" customHeight="1">
      <c r="A3" s="1601"/>
      <c r="B3" s="1601"/>
      <c r="C3" s="1601"/>
      <c r="D3" s="1599"/>
      <c r="E3" s="1599"/>
      <c r="F3" s="1599"/>
      <c r="G3" s="1599"/>
      <c r="H3" s="1601"/>
      <c r="I3" s="1601"/>
      <c r="J3" s="1601"/>
      <c r="K3" s="1601"/>
      <c r="L3" s="1601"/>
      <c r="M3" s="1601"/>
      <c r="N3" s="1601"/>
      <c r="O3" s="1601"/>
      <c r="P3" s="1601"/>
      <c r="Q3" s="1601"/>
      <c r="R3" s="1601"/>
      <c r="S3" s="1601"/>
      <c r="T3" s="1601"/>
      <c r="U3" s="1601"/>
      <c r="V3" s="1601"/>
      <c r="W3" s="1601"/>
      <c r="X3" s="1601"/>
      <c r="Y3" s="1601"/>
    </row>
    <row r="4" ht="18.75" customHeight="1">
      <c r="A4" s="2369" t="s">
        <v>1012</v>
      </c>
      <c r="B4" s="2109"/>
      <c r="C4" s="2110"/>
      <c r="D4" s="2503" t="s">
        <v>165</v>
      </c>
      <c r="E4" s="112"/>
      <c r="F4" s="112"/>
      <c r="G4" s="20"/>
      <c r="H4" s="1601"/>
      <c r="I4" s="1601"/>
      <c r="J4" s="1601"/>
      <c r="K4" s="1601"/>
      <c r="L4" s="1601"/>
      <c r="M4" s="1601"/>
      <c r="N4" s="1601"/>
      <c r="O4" s="1601"/>
      <c r="P4" s="1601"/>
      <c r="Q4" s="1601"/>
      <c r="R4" s="1601"/>
      <c r="S4" s="1601"/>
      <c r="T4" s="1601"/>
      <c r="U4" s="1601"/>
      <c r="V4" s="1601"/>
      <c r="W4" s="1601"/>
      <c r="X4" s="1601"/>
      <c r="Y4" s="1601"/>
    </row>
    <row r="5" ht="18.75" customHeight="1">
      <c r="A5" s="2421" t="s">
        <v>1793</v>
      </c>
      <c r="C5" s="115"/>
      <c r="D5" s="43"/>
      <c r="G5" s="44"/>
      <c r="H5" s="1601"/>
      <c r="I5" s="1601"/>
      <c r="J5" s="1601"/>
      <c r="K5" s="1601"/>
      <c r="L5" s="1601"/>
      <c r="M5" s="1601"/>
      <c r="N5" s="1601"/>
      <c r="O5" s="1601"/>
      <c r="P5" s="1601"/>
      <c r="Q5" s="1601"/>
      <c r="R5" s="1601"/>
      <c r="S5" s="1601"/>
      <c r="T5" s="1601"/>
      <c r="U5" s="1601"/>
      <c r="V5" s="1601"/>
      <c r="W5" s="1601"/>
      <c r="X5" s="1601"/>
      <c r="Y5" s="1601"/>
    </row>
    <row r="6" ht="18.75" customHeight="1">
      <c r="C6" s="115"/>
      <c r="D6" s="26"/>
      <c r="E6" s="504"/>
      <c r="F6" s="504"/>
      <c r="G6" s="27"/>
      <c r="H6" s="1601"/>
      <c r="I6" s="1601"/>
      <c r="J6" s="1601"/>
      <c r="K6" s="1601"/>
      <c r="L6" s="1601"/>
      <c r="M6" s="1601"/>
      <c r="N6" s="1601"/>
      <c r="O6" s="1601"/>
      <c r="P6" s="1601"/>
      <c r="Q6" s="1601"/>
      <c r="R6" s="1601"/>
      <c r="S6" s="1601"/>
      <c r="T6" s="1601"/>
      <c r="U6" s="1601"/>
      <c r="V6" s="1601"/>
      <c r="W6" s="1601"/>
      <c r="X6" s="1601"/>
      <c r="Y6" s="1601"/>
    </row>
    <row r="7" ht="18.75" customHeight="1">
      <c r="A7" s="2372" t="s">
        <v>82</v>
      </c>
      <c r="B7" s="2373" t="s">
        <v>83</v>
      </c>
      <c r="C7" s="2374" t="s">
        <v>84</v>
      </c>
      <c r="D7" s="2504" t="str">
        <f>HYPERLINK("https://reddit.com/r/RMTK/comments/agz1n5", "W0009")</f>
        <v>W0009</v>
      </c>
      <c r="E7" s="2258" t="str">
        <f>HYPERLINK("https://www.reddit.com/r/RMTK/comments/a9np8r/","W0005")</f>
        <v>W0005</v>
      </c>
      <c r="F7" s="2258" t="str">
        <f>HYPERLINK("https://www.reddit.com/r/RMTK/comments/adxbtn/","W0007")</f>
        <v>W0007</v>
      </c>
      <c r="G7" s="2258" t="str">
        <f>HYPERLINK("https://www.reddit.com/r/RMTK/comments/apwpjm/","W0010")</f>
        <v>W0010</v>
      </c>
      <c r="H7" s="1601"/>
      <c r="I7" s="1601"/>
      <c r="J7" s="1601"/>
      <c r="K7" s="1601"/>
      <c r="L7" s="1601"/>
      <c r="M7" s="1601"/>
      <c r="N7" s="1601"/>
      <c r="O7" s="1601"/>
      <c r="P7" s="1601"/>
      <c r="Q7" s="1601"/>
      <c r="R7" s="1601"/>
      <c r="S7" s="1601"/>
      <c r="T7" s="1601"/>
      <c r="U7" s="1601"/>
      <c r="V7" s="1601"/>
      <c r="W7" s="1601"/>
      <c r="X7" s="1601"/>
      <c r="Y7" s="1601"/>
    </row>
    <row r="8" ht="6.0" customHeight="1">
      <c r="A8" s="2260"/>
      <c r="B8" s="2261"/>
      <c r="C8" s="2261"/>
      <c r="D8" s="2260"/>
      <c r="E8" s="2260"/>
      <c r="F8" s="2261"/>
      <c r="G8" s="2261"/>
      <c r="H8" s="1601"/>
      <c r="I8" s="1601"/>
      <c r="J8" s="1601"/>
      <c r="K8" s="1601"/>
      <c r="L8" s="1601"/>
      <c r="M8" s="1601"/>
      <c r="N8" s="1601"/>
      <c r="O8" s="1601"/>
      <c r="P8" s="1601"/>
      <c r="Q8" s="1601"/>
      <c r="R8" s="1601"/>
      <c r="S8" s="1601"/>
      <c r="T8" s="1601"/>
      <c r="U8" s="1601"/>
      <c r="V8" s="1601"/>
      <c r="W8" s="1601"/>
      <c r="X8" s="1601"/>
      <c r="Y8" s="1601"/>
    </row>
    <row r="9" ht="18.75" customHeight="1">
      <c r="A9" s="2266" t="s">
        <v>1797</v>
      </c>
      <c r="B9" s="2508" t="s">
        <v>440</v>
      </c>
      <c r="C9" s="2582" t="s">
        <v>521</v>
      </c>
      <c r="D9" s="2510" t="s">
        <v>110</v>
      </c>
      <c r="E9" s="2440" t="s">
        <v>110</v>
      </c>
      <c r="F9" s="2270" t="s">
        <v>110</v>
      </c>
      <c r="G9" s="2269" t="s">
        <v>110</v>
      </c>
      <c r="H9" s="1601"/>
      <c r="I9" s="1601"/>
      <c r="J9" s="1601"/>
      <c r="K9" s="1601"/>
      <c r="L9" s="1601"/>
      <c r="M9" s="1601"/>
      <c r="N9" s="1601"/>
      <c r="O9" s="1601"/>
      <c r="P9" s="1601"/>
      <c r="Q9" s="1601"/>
      <c r="R9" s="1601"/>
      <c r="S9" s="1601"/>
      <c r="T9" s="1601"/>
      <c r="U9" s="1601"/>
      <c r="V9" s="1601"/>
      <c r="W9" s="1601"/>
      <c r="X9" s="1601"/>
      <c r="Y9" s="1601"/>
    </row>
    <row r="10" ht="18.75" customHeight="1">
      <c r="A10" s="147"/>
      <c r="B10" s="2583" t="s">
        <v>518</v>
      </c>
      <c r="C10" s="2584" t="s">
        <v>1315</v>
      </c>
      <c r="D10" s="2269" t="s">
        <v>108</v>
      </c>
      <c r="E10" s="2440" t="s">
        <v>110</v>
      </c>
      <c r="F10" s="2270" t="s">
        <v>110</v>
      </c>
      <c r="G10" s="2269" t="s">
        <v>110</v>
      </c>
      <c r="H10" s="1601"/>
      <c r="I10" s="1601"/>
      <c r="J10" s="1601"/>
      <c r="K10" s="1601"/>
      <c r="L10" s="1601"/>
      <c r="M10" s="1601"/>
      <c r="N10" s="1601"/>
      <c r="O10" s="1601"/>
      <c r="P10" s="1601"/>
      <c r="Q10" s="1601"/>
      <c r="R10" s="1601"/>
      <c r="S10" s="1601"/>
      <c r="T10" s="1601"/>
      <c r="U10" s="1601"/>
      <c r="V10" s="1601"/>
      <c r="W10" s="1601"/>
      <c r="X10" s="1601"/>
      <c r="Y10" s="1601"/>
    </row>
    <row r="11" ht="18.75" customHeight="1">
      <c r="A11" s="147"/>
      <c r="B11" s="2585" t="s">
        <v>519</v>
      </c>
      <c r="C11" s="2586" t="s">
        <v>1798</v>
      </c>
      <c r="D11" s="2269" t="s">
        <v>117</v>
      </c>
      <c r="E11" s="2440" t="s">
        <v>110</v>
      </c>
      <c r="F11" s="2270" t="s">
        <v>110</v>
      </c>
      <c r="G11" s="2269" t="s">
        <v>110</v>
      </c>
      <c r="H11" s="1601"/>
      <c r="I11" s="1601"/>
      <c r="J11" s="1601"/>
      <c r="K11" s="1601"/>
      <c r="L11" s="1601"/>
      <c r="M11" s="1601"/>
      <c r="N11" s="1601"/>
      <c r="O11" s="1601"/>
      <c r="P11" s="1601"/>
      <c r="Q11" s="1601"/>
      <c r="R11" s="1601"/>
      <c r="S11" s="1601"/>
      <c r="T11" s="1601"/>
      <c r="U11" s="1601"/>
      <c r="V11" s="1601"/>
      <c r="W11" s="1601"/>
      <c r="X11" s="1601"/>
      <c r="Y11" s="1601"/>
    </row>
    <row r="12" ht="18.75" customHeight="1">
      <c r="A12" s="147"/>
      <c r="B12" s="2587" t="s">
        <v>597</v>
      </c>
      <c r="C12" s="2588" t="s">
        <v>1112</v>
      </c>
      <c r="D12" s="2269" t="s">
        <v>108</v>
      </c>
      <c r="E12" s="2541" t="s">
        <v>119</v>
      </c>
      <c r="F12" s="2452" t="s">
        <v>119</v>
      </c>
      <c r="G12" s="2451" t="s">
        <v>119</v>
      </c>
      <c r="H12" s="1601"/>
      <c r="I12" s="1601"/>
      <c r="J12" s="1601"/>
      <c r="K12" s="1601"/>
      <c r="L12" s="1601"/>
      <c r="M12" s="1601"/>
      <c r="N12" s="1601"/>
      <c r="O12" s="1601"/>
      <c r="P12" s="1601"/>
      <c r="Q12" s="1601"/>
      <c r="R12" s="1601"/>
      <c r="S12" s="1601"/>
      <c r="T12" s="1601"/>
      <c r="U12" s="1601"/>
      <c r="V12" s="1601"/>
      <c r="W12" s="1601"/>
      <c r="X12" s="1601"/>
      <c r="Y12" s="1601"/>
    </row>
    <row r="13" ht="18.75" customHeight="1">
      <c r="A13" s="159"/>
      <c r="C13" s="2589" t="s">
        <v>118</v>
      </c>
      <c r="D13" s="2451" t="s">
        <v>119</v>
      </c>
      <c r="E13" s="2440" t="s">
        <v>110</v>
      </c>
      <c r="F13" s="2270" t="s">
        <v>110</v>
      </c>
      <c r="G13" s="2269" t="s">
        <v>110</v>
      </c>
      <c r="H13" s="1601"/>
      <c r="I13" s="1601"/>
      <c r="J13" s="1601"/>
      <c r="K13" s="1601"/>
      <c r="L13" s="1601"/>
      <c r="M13" s="1601"/>
      <c r="N13" s="1601"/>
      <c r="O13" s="1601"/>
      <c r="P13" s="1601"/>
      <c r="Q13" s="1601"/>
      <c r="R13" s="1601"/>
      <c r="S13" s="1601"/>
      <c r="T13" s="1601"/>
      <c r="U13" s="1601"/>
      <c r="V13" s="1601"/>
      <c r="W13" s="1601"/>
      <c r="X13" s="1601"/>
      <c r="Y13" s="1601"/>
    </row>
    <row r="14" ht="6.75" customHeight="1">
      <c r="A14" s="2514"/>
      <c r="B14" s="2526"/>
      <c r="C14" s="2590"/>
      <c r="D14" s="2516" t="str">
        <f t="shared" ref="D14:G14" si="1">LINKURL(D7)</f>
        <v>https://reddit.com/r/RMTK/comments/agz1n5</v>
      </c>
      <c r="E14" s="2591" t="str">
        <f t="shared" si="1"/>
        <v>https://www.reddit.com/r/RMTK/comments/a9np8r/</v>
      </c>
      <c r="F14" s="2391" t="str">
        <f t="shared" si="1"/>
        <v>https://www.reddit.com/r/RMTK/comments/adxbtn/</v>
      </c>
      <c r="G14" s="2516" t="str">
        <f t="shared" si="1"/>
        <v>https://www.reddit.com/r/RMTK/comments/apwpjm/</v>
      </c>
      <c r="H14" s="2592"/>
      <c r="I14" s="1639"/>
      <c r="J14" s="1601"/>
      <c r="K14" s="1601"/>
      <c r="L14" s="1601"/>
      <c r="M14" s="1601"/>
      <c r="N14" s="1601"/>
      <c r="O14" s="1601"/>
      <c r="P14" s="1601"/>
      <c r="Q14" s="1601"/>
      <c r="R14" s="1601"/>
      <c r="S14" s="1601"/>
      <c r="T14" s="1601"/>
      <c r="U14" s="1601"/>
      <c r="V14" s="1601"/>
      <c r="W14" s="1601"/>
      <c r="X14" s="1601"/>
      <c r="Y14" s="1601"/>
    </row>
    <row r="15" ht="18.75" customHeight="1">
      <c r="A15" s="2266" t="s">
        <v>1799</v>
      </c>
      <c r="B15" s="2512" t="s">
        <v>31</v>
      </c>
      <c r="C15" s="2593" t="s">
        <v>203</v>
      </c>
      <c r="D15" s="2269" t="s">
        <v>110</v>
      </c>
      <c r="E15" s="2440" t="s">
        <v>110</v>
      </c>
      <c r="F15" s="2270" t="s">
        <v>110</v>
      </c>
      <c r="G15" s="2269" t="s">
        <v>110</v>
      </c>
      <c r="H15" s="1601"/>
      <c r="I15" s="1601"/>
      <c r="J15" s="1601"/>
      <c r="K15" s="1601"/>
      <c r="L15" s="1601"/>
      <c r="M15" s="1601"/>
      <c r="N15" s="1601"/>
      <c r="O15" s="1601"/>
      <c r="P15" s="1601"/>
      <c r="Q15" s="1601"/>
      <c r="R15" s="1601"/>
      <c r="S15" s="1601"/>
      <c r="T15" s="1601"/>
      <c r="U15" s="1601"/>
      <c r="V15" s="1601"/>
      <c r="W15" s="1601"/>
      <c r="X15" s="1601"/>
      <c r="Y15" s="1601"/>
    </row>
    <row r="16" ht="18.75" customHeight="1">
      <c r="A16" s="147"/>
      <c r="B16" s="2594" t="s">
        <v>524</v>
      </c>
      <c r="C16" s="2595" t="s">
        <v>155</v>
      </c>
      <c r="D16" s="2269" t="s">
        <v>109</v>
      </c>
      <c r="E16" s="2541" t="s">
        <v>119</v>
      </c>
      <c r="F16" s="2452" t="s">
        <v>119</v>
      </c>
      <c r="G16" s="2451" t="s">
        <v>119</v>
      </c>
      <c r="H16" s="1601"/>
      <c r="I16" s="1601"/>
      <c r="J16" s="1601"/>
      <c r="K16" s="1601"/>
      <c r="L16" s="1601"/>
      <c r="M16" s="1601"/>
      <c r="N16" s="1601"/>
      <c r="O16" s="1601"/>
      <c r="P16" s="1601"/>
      <c r="Q16" s="1601"/>
      <c r="R16" s="1601"/>
      <c r="S16" s="1601"/>
      <c r="T16" s="1601"/>
      <c r="U16" s="1601"/>
      <c r="V16" s="1601"/>
      <c r="W16" s="1601"/>
      <c r="X16" s="1601"/>
      <c r="Y16" s="1601"/>
    </row>
    <row r="17" ht="18.75" customHeight="1">
      <c r="A17" s="147"/>
      <c r="C17" s="2596" t="s">
        <v>299</v>
      </c>
      <c r="D17" s="2451" t="s">
        <v>119</v>
      </c>
      <c r="E17" s="2440" t="s">
        <v>109</v>
      </c>
      <c r="F17" s="2270" t="s">
        <v>109</v>
      </c>
      <c r="G17" s="2269" t="s">
        <v>109</v>
      </c>
      <c r="H17" s="1601"/>
      <c r="I17" s="1601"/>
      <c r="J17" s="1601"/>
      <c r="K17" s="1601"/>
      <c r="L17" s="1601"/>
      <c r="M17" s="1601"/>
      <c r="N17" s="1601"/>
      <c r="O17" s="1601"/>
      <c r="P17" s="1601"/>
      <c r="Q17" s="1601"/>
      <c r="R17" s="1601"/>
      <c r="S17" s="1601"/>
      <c r="T17" s="1601"/>
      <c r="U17" s="1601"/>
      <c r="V17" s="1601"/>
      <c r="W17" s="1601"/>
      <c r="X17" s="1601"/>
      <c r="Y17" s="1601"/>
    </row>
    <row r="18" ht="18.75" customHeight="1">
      <c r="A18" s="147"/>
      <c r="B18" s="2597" t="s">
        <v>526</v>
      </c>
      <c r="C18" s="2598" t="s">
        <v>871</v>
      </c>
      <c r="D18" s="2269" t="s">
        <v>109</v>
      </c>
      <c r="E18" s="2440" t="s">
        <v>109</v>
      </c>
      <c r="F18" s="2270" t="s">
        <v>110</v>
      </c>
      <c r="G18" s="2269" t="s">
        <v>109</v>
      </c>
      <c r="H18" s="1601"/>
      <c r="I18" s="1601"/>
      <c r="J18" s="1601"/>
      <c r="K18" s="1601"/>
      <c r="L18" s="1601"/>
      <c r="M18" s="1601"/>
      <c r="N18" s="1601"/>
      <c r="O18" s="1601"/>
      <c r="P18" s="1601"/>
      <c r="Q18" s="1601"/>
      <c r="R18" s="1601"/>
      <c r="S18" s="1601"/>
      <c r="T18" s="1601"/>
      <c r="U18" s="1601"/>
      <c r="V18" s="1601"/>
      <c r="W18" s="1601"/>
      <c r="X18" s="1601"/>
      <c r="Y18" s="1601"/>
    </row>
    <row r="19" ht="18.75" customHeight="1">
      <c r="A19" s="147"/>
      <c r="B19" s="2599" t="s">
        <v>528</v>
      </c>
      <c r="C19" s="2600" t="s">
        <v>513</v>
      </c>
      <c r="D19" s="2269" t="s">
        <v>108</v>
      </c>
      <c r="E19" s="2440" t="s">
        <v>108</v>
      </c>
      <c r="F19" s="2270" t="s">
        <v>108</v>
      </c>
      <c r="G19" s="2269" t="s">
        <v>108</v>
      </c>
      <c r="H19" s="1601"/>
      <c r="I19" s="1601"/>
      <c r="J19" s="1601"/>
      <c r="K19" s="1601"/>
      <c r="L19" s="1601"/>
      <c r="M19" s="1601"/>
      <c r="N19" s="1601"/>
      <c r="O19" s="1601"/>
      <c r="P19" s="1601"/>
      <c r="Q19" s="1601"/>
      <c r="R19" s="1601"/>
      <c r="S19" s="1601"/>
      <c r="T19" s="1601"/>
      <c r="U19" s="1601"/>
      <c r="V19" s="1601"/>
      <c r="W19" s="1601"/>
      <c r="X19" s="1601"/>
      <c r="Y19" s="1601"/>
    </row>
    <row r="20" ht="18.75" customHeight="1">
      <c r="A20" s="147"/>
      <c r="B20" s="2601" t="s">
        <v>452</v>
      </c>
      <c r="C20" s="2602" t="s">
        <v>1311</v>
      </c>
      <c r="D20" s="2269" t="s">
        <v>110</v>
      </c>
      <c r="E20" s="2440" t="s">
        <v>108</v>
      </c>
      <c r="F20" s="2270" t="s">
        <v>108</v>
      </c>
      <c r="G20" s="2269" t="s">
        <v>110</v>
      </c>
      <c r="H20" s="1601"/>
      <c r="I20" s="1601"/>
      <c r="J20" s="1601"/>
      <c r="K20" s="1601"/>
      <c r="L20" s="1601"/>
      <c r="M20" s="1601"/>
      <c r="N20" s="1601"/>
      <c r="O20" s="1601"/>
      <c r="P20" s="1601"/>
      <c r="Q20" s="1601"/>
      <c r="R20" s="1601"/>
      <c r="S20" s="1601"/>
      <c r="T20" s="1601"/>
      <c r="U20" s="1601"/>
      <c r="V20" s="1601"/>
      <c r="W20" s="1601"/>
      <c r="X20" s="1601"/>
      <c r="Y20" s="1601"/>
    </row>
    <row r="21" ht="12.0" customHeight="1">
      <c r="A21" s="2514"/>
      <c r="B21" s="2526"/>
      <c r="C21" s="2527"/>
      <c r="D21" s="2007" t="str">
        <f t="shared" ref="D21:G21" si="2">CONCATENATE("{""status"": ", IF(GT(D22, D23), """aangenomen""", """verworpen"""), ", ""title"": """, D7, """, ""url"": """,D14  , """, ""voor"":", D22,", ""tegen"": ", D23, ", ""onthouden"":", D24, "}")</f>
        <v>{"status": "aangenomen", "title": "W0009", "url": "https://reddit.com/r/RMTK/comments/agz1n5", "voor":3, "tegen": 2, "onthouden":1}</v>
      </c>
      <c r="E21" s="2007" t="str">
        <f t="shared" si="2"/>
        <v>{"status": "aangenomen", "title": "W0005", "url": "https://www.reddit.com/r/RMTK/comments/a9np8r/", "voor":5, "tegen": 2, "onthouden":0}</v>
      </c>
      <c r="F21" s="2007" t="str">
        <f t="shared" si="2"/>
        <v>{"status": "aangenomen", "title": "W0007", "url": "https://www.reddit.com/r/RMTK/comments/adxbtn/", "voor":6, "tegen": 1, "onthouden":0}</v>
      </c>
      <c r="G21" s="2007" t="str">
        <f t="shared" si="2"/>
        <v>{"status": "aangenomen", "title": "W0010", "url": "https://www.reddit.com/r/RMTK/comments/apwpjm/", "voor":6, "tegen": 2, "onthouden":0}</v>
      </c>
      <c r="H21" s="2592"/>
      <c r="I21" s="1639"/>
      <c r="J21" s="1601"/>
      <c r="K21" s="1601"/>
      <c r="L21" s="1601"/>
      <c r="M21" s="1601"/>
      <c r="N21" s="1601"/>
      <c r="O21" s="1601"/>
      <c r="P21" s="1601"/>
      <c r="Q21" s="1601"/>
      <c r="R21" s="1601"/>
      <c r="S21" s="1601"/>
      <c r="T21" s="1601"/>
      <c r="U21" s="1601"/>
      <c r="V21" s="1601"/>
      <c r="W21" s="1601"/>
      <c r="X21" s="1601"/>
      <c r="Y21" s="1601"/>
    </row>
    <row r="22" ht="18.75" customHeight="1">
      <c r="A22" s="2406" t="s">
        <v>158</v>
      </c>
      <c r="B22" s="2407" t="s">
        <v>110</v>
      </c>
      <c r="D22" s="2408">
        <f t="shared" ref="D22:G22" si="3">COUNTIF(D6:D20,"Voor")</f>
        <v>3</v>
      </c>
      <c r="E22" s="2529">
        <f t="shared" si="3"/>
        <v>5</v>
      </c>
      <c r="F22" s="2529">
        <f t="shared" si="3"/>
        <v>6</v>
      </c>
      <c r="G22" s="2529">
        <f t="shared" si="3"/>
        <v>6</v>
      </c>
      <c r="H22" s="1601"/>
      <c r="I22" s="1601"/>
      <c r="J22" s="1601"/>
      <c r="K22" s="1601"/>
      <c r="L22" s="1601"/>
      <c r="M22" s="1601"/>
      <c r="N22" s="1601"/>
      <c r="O22" s="1601"/>
      <c r="P22" s="1601"/>
      <c r="Q22" s="1601"/>
      <c r="R22" s="1601"/>
      <c r="S22" s="1601"/>
      <c r="T22" s="1601"/>
      <c r="U22" s="1601"/>
      <c r="V22" s="1601"/>
      <c r="W22" s="1601"/>
      <c r="X22" s="1601"/>
      <c r="Y22" s="1601"/>
    </row>
    <row r="23" ht="18.75" customHeight="1">
      <c r="B23" s="2409" t="s">
        <v>109</v>
      </c>
      <c r="D23" s="2410">
        <f t="shared" ref="D23:G23" si="4">COUNTIF(D6:D20,"Tegen")</f>
        <v>2</v>
      </c>
      <c r="E23" s="2530">
        <f t="shared" si="4"/>
        <v>2</v>
      </c>
      <c r="F23" s="2530">
        <f t="shared" si="4"/>
        <v>1</v>
      </c>
      <c r="G23" s="2530">
        <f t="shared" si="4"/>
        <v>2</v>
      </c>
      <c r="H23" s="1601"/>
      <c r="I23" s="1601"/>
      <c r="J23" s="1601"/>
      <c r="K23" s="1601"/>
      <c r="L23" s="1601"/>
      <c r="M23" s="1601"/>
      <c r="N23" s="1601"/>
      <c r="O23" s="1601"/>
      <c r="P23" s="1601"/>
      <c r="Q23" s="1601"/>
      <c r="R23" s="1601"/>
      <c r="S23" s="1601"/>
      <c r="T23" s="1601"/>
      <c r="U23" s="1601"/>
      <c r="V23" s="1601"/>
      <c r="W23" s="1601"/>
      <c r="X23" s="1601"/>
      <c r="Y23" s="1601"/>
    </row>
    <row r="24" ht="18.75" customHeight="1">
      <c r="B24" s="2531" t="s">
        <v>159</v>
      </c>
      <c r="D24" s="2412">
        <f t="shared" ref="D24:G24" si="5">COUNTIF(D6:D20,"SO")</f>
        <v>1</v>
      </c>
      <c r="E24" s="2532">
        <f t="shared" si="5"/>
        <v>0</v>
      </c>
      <c r="F24" s="2532">
        <f t="shared" si="5"/>
        <v>0</v>
      </c>
      <c r="G24" s="2532">
        <f t="shared" si="5"/>
        <v>0</v>
      </c>
      <c r="H24" s="1601"/>
      <c r="I24" s="1601"/>
      <c r="J24" s="1601"/>
      <c r="K24" s="1601"/>
      <c r="L24" s="1601"/>
      <c r="M24" s="1601"/>
      <c r="N24" s="1601"/>
      <c r="O24" s="1601"/>
      <c r="P24" s="1601"/>
      <c r="Q24" s="1601"/>
      <c r="R24" s="1601"/>
      <c r="S24" s="1601"/>
      <c r="T24" s="1601"/>
      <c r="U24" s="1601"/>
      <c r="V24" s="1601"/>
      <c r="W24" s="1601"/>
      <c r="X24" s="1601"/>
      <c r="Y24" s="1601"/>
    </row>
    <row r="25" ht="18.75" customHeight="1">
      <c r="B25" s="2533" t="s">
        <v>160</v>
      </c>
      <c r="D25" s="2414">
        <f t="shared" ref="D25:G25" si="6">COUNTIF(D6:D20,"NG")</f>
        <v>3</v>
      </c>
      <c r="E25" s="2534">
        <f t="shared" si="6"/>
        <v>2</v>
      </c>
      <c r="F25" s="2534">
        <f t="shared" si="6"/>
        <v>2</v>
      </c>
      <c r="G25" s="2534">
        <f t="shared" si="6"/>
        <v>1</v>
      </c>
      <c r="H25" s="1601"/>
      <c r="I25" s="1601"/>
      <c r="J25" s="1601"/>
      <c r="K25" s="1601"/>
      <c r="L25" s="1601"/>
      <c r="M25" s="1601"/>
      <c r="N25" s="1601"/>
      <c r="O25" s="1601"/>
      <c r="P25" s="1601"/>
      <c r="Q25" s="1601"/>
      <c r="R25" s="1601"/>
      <c r="S25" s="1601"/>
      <c r="T25" s="1601"/>
      <c r="U25" s="1601"/>
      <c r="V25" s="1601"/>
      <c r="W25" s="1601"/>
      <c r="X25" s="1601"/>
      <c r="Y25" s="1601"/>
    </row>
    <row r="26" ht="18.75" customHeight="1">
      <c r="B26" s="2415" t="s">
        <v>161</v>
      </c>
      <c r="D26" s="2492">
        <f t="shared" ref="D26:G26" si="7">SUM(D22:D25)</f>
        <v>9</v>
      </c>
      <c r="E26" s="2416">
        <f t="shared" si="7"/>
        <v>9</v>
      </c>
      <c r="F26" s="2416">
        <f t="shared" si="7"/>
        <v>9</v>
      </c>
      <c r="G26" s="2416">
        <f t="shared" si="7"/>
        <v>9</v>
      </c>
      <c r="H26" s="1601"/>
      <c r="I26" s="1601"/>
      <c r="J26" s="1601"/>
      <c r="K26" s="1601"/>
      <c r="L26" s="1601"/>
      <c r="M26" s="1601"/>
      <c r="N26" s="1601"/>
      <c r="O26" s="1601"/>
      <c r="P26" s="1601"/>
      <c r="Q26" s="1601"/>
      <c r="R26" s="1601"/>
      <c r="S26" s="1601"/>
      <c r="T26" s="1601"/>
      <c r="U26" s="1601"/>
      <c r="V26" s="1601"/>
      <c r="W26" s="1601"/>
      <c r="X26" s="1601"/>
      <c r="Y26" s="1601"/>
    </row>
    <row r="27" ht="18.75" customHeight="1">
      <c r="B27" s="2417" t="s">
        <v>162</v>
      </c>
      <c r="D27" s="2493">
        <f t="shared" ref="D27:G27" si="8">D22+D23+D24</f>
        <v>6</v>
      </c>
      <c r="E27" s="2418">
        <f t="shared" si="8"/>
        <v>7</v>
      </c>
      <c r="F27" s="2418">
        <f t="shared" si="8"/>
        <v>7</v>
      </c>
      <c r="G27" s="2418">
        <f t="shared" si="8"/>
        <v>8</v>
      </c>
      <c r="H27" s="1601"/>
      <c r="I27" s="1601"/>
      <c r="J27" s="1601"/>
      <c r="K27" s="1601"/>
      <c r="L27" s="1601"/>
      <c r="M27" s="1601"/>
      <c r="N27" s="1601"/>
      <c r="O27" s="1601"/>
      <c r="P27" s="1601"/>
      <c r="Q27" s="1601"/>
      <c r="R27" s="1601"/>
      <c r="S27" s="1601"/>
      <c r="T27" s="1601"/>
      <c r="U27" s="1601"/>
      <c r="V27" s="1601"/>
      <c r="W27" s="1601"/>
      <c r="X27" s="1601"/>
      <c r="Y27" s="1601"/>
    </row>
    <row r="28" ht="18.75" customHeight="1">
      <c r="B28" s="2419" t="s">
        <v>163</v>
      </c>
      <c r="C28" s="109"/>
      <c r="D28" s="2494">
        <f t="shared" ref="D28:G28" si="9">IFERROR(D27/D26,"")</f>
        <v>0.6666666667</v>
      </c>
      <c r="E28" s="2420">
        <f t="shared" si="9"/>
        <v>0.7777777778</v>
      </c>
      <c r="F28" s="2420">
        <f t="shared" si="9"/>
        <v>0.7777777778</v>
      </c>
      <c r="G28" s="2420">
        <f t="shared" si="9"/>
        <v>0.8888888889</v>
      </c>
      <c r="H28" s="1601"/>
      <c r="I28" s="1601"/>
      <c r="J28" s="1601"/>
      <c r="K28" s="1601"/>
      <c r="L28" s="1601"/>
      <c r="M28" s="1601"/>
      <c r="N28" s="1601"/>
      <c r="O28" s="1601"/>
      <c r="P28" s="1601"/>
      <c r="Q28" s="1601"/>
      <c r="R28" s="1601"/>
      <c r="S28" s="1601"/>
      <c r="T28" s="1601"/>
      <c r="U28" s="1601"/>
      <c r="V28" s="1601"/>
      <c r="W28" s="1601"/>
      <c r="X28" s="1601"/>
      <c r="Y28" s="1601"/>
    </row>
    <row r="29" ht="18.75" customHeight="1">
      <c r="A29" s="1599"/>
      <c r="B29" s="1599"/>
      <c r="C29" s="1599"/>
      <c r="D29" s="1601"/>
      <c r="E29" s="1601"/>
      <c r="F29" s="1601"/>
      <c r="G29" s="1601"/>
      <c r="H29" s="1601"/>
      <c r="I29" s="1601"/>
      <c r="J29" s="1601"/>
      <c r="K29" s="1601"/>
      <c r="L29" s="1601"/>
      <c r="M29" s="1601"/>
      <c r="N29" s="1601"/>
      <c r="O29" s="1601"/>
      <c r="P29" s="1601"/>
      <c r="Q29" s="1601"/>
      <c r="R29" s="1601"/>
      <c r="S29" s="1601"/>
      <c r="T29" s="1601"/>
      <c r="U29" s="1601"/>
      <c r="V29" s="1601"/>
      <c r="W29" s="1601"/>
      <c r="X29" s="1601"/>
      <c r="Y29" s="1601"/>
    </row>
    <row r="30" ht="18.75" customHeight="1">
      <c r="A30" s="1601"/>
      <c r="B30" s="1601"/>
      <c r="C30" s="1601"/>
      <c r="D30" s="1601"/>
      <c r="E30" s="1601"/>
      <c r="F30" s="1601"/>
      <c r="G30" s="1601"/>
      <c r="H30" s="1601"/>
      <c r="I30" s="1601"/>
      <c r="J30" s="1601"/>
      <c r="K30" s="1601"/>
      <c r="L30" s="1601"/>
      <c r="M30" s="1601"/>
      <c r="N30" s="1601"/>
      <c r="O30" s="1601"/>
      <c r="P30" s="1601"/>
      <c r="Q30" s="1601"/>
      <c r="R30" s="1601"/>
      <c r="S30" s="1601"/>
      <c r="T30" s="1601"/>
      <c r="U30" s="1601"/>
      <c r="V30" s="1601"/>
      <c r="W30" s="1601"/>
      <c r="X30" s="1601"/>
      <c r="Y30" s="1601"/>
    </row>
  </sheetData>
  <mergeCells count="19">
    <mergeCell ref="A9:A13"/>
    <mergeCell ref="A15:A20"/>
    <mergeCell ref="B16:B17"/>
    <mergeCell ref="A22:A28"/>
    <mergeCell ref="H21:I21"/>
    <mergeCell ref="B22:C22"/>
    <mergeCell ref="B23:C23"/>
    <mergeCell ref="B24:C24"/>
    <mergeCell ref="B25:C25"/>
    <mergeCell ref="B26:C26"/>
    <mergeCell ref="B27:C27"/>
    <mergeCell ref="B28:C28"/>
    <mergeCell ref="A2:C2"/>
    <mergeCell ref="D2:K2"/>
    <mergeCell ref="A4:C4"/>
    <mergeCell ref="D4:G6"/>
    <mergeCell ref="A5:C6"/>
    <mergeCell ref="B12:B13"/>
    <mergeCell ref="H14:I14"/>
  </mergeCells>
  <conditionalFormatting sqref="D9:D12 E9:G11 E13:G13 D15:D16 E15:G15 E17:G20 D18:D20">
    <cfRule type="containsText" dxfId="4" priority="1" operator="containsText" text="voor">
      <formula>NOT(ISERROR(SEARCH(("voor"),(D9))))</formula>
    </cfRule>
  </conditionalFormatting>
  <conditionalFormatting sqref="D9:D12 E9:G11 E13:G15 D14:D16 E17:G20 D18:D20">
    <cfRule type="containsText" dxfId="2" priority="2" operator="containsText" text="SO">
      <formula>NOT(ISERROR(SEARCH(("SO"),(D9))))</formula>
    </cfRule>
  </conditionalFormatting>
  <conditionalFormatting sqref="D14:G14">
    <cfRule type="containsText" dxfId="49" priority="3" operator="containsText" text="voor">
      <formula>NOT(ISERROR(SEARCH(("voor"),(D14))))</formula>
    </cfRule>
  </conditionalFormatting>
  <conditionalFormatting sqref="D9:D12 E9:G11 E13:G15 D14:D16 E17:G20 D18:D20">
    <cfRule type="containsText" dxfId="5" priority="4" operator="containsText" text="NG">
      <formula>NOT(ISERROR(SEARCH(("NG"),(D9))))</formula>
    </cfRule>
  </conditionalFormatting>
  <conditionalFormatting sqref="D9:D12 E9:G11 E13:G15 D14:D16 E17:G20 D18:D20">
    <cfRule type="containsText" dxfId="6" priority="5" operator="containsText" text="NVT">
      <formula>NOT(ISERROR(SEARCH(("NVT"),(D9))))</formula>
    </cfRule>
  </conditionalFormatting>
  <conditionalFormatting sqref="A1:G3 H1:H30 I1:Y29 D9 A29:C29 D29:G30">
    <cfRule type="containsText" dxfId="39" priority="6" operator="containsText" text="SO">
      <formula>NOT(ISERROR(SEARCH(("SO"),(A1))))</formula>
    </cfRule>
  </conditionalFormatting>
  <conditionalFormatting sqref="A1:G3 H1:H30 I1:Y29 D9 A29:C29 D29:G30">
    <cfRule type="containsText" dxfId="40" priority="7" operator="containsText" text="N.v.t.">
      <formula>NOT(ISERROR(SEARCH(("N.v.t."),(A1))))</formula>
    </cfRule>
  </conditionalFormatting>
  <conditionalFormatting sqref="A1:G3 H1:H30 I1:Y29 D9 A29:C29 D29:G30">
    <cfRule type="containsText" dxfId="23" priority="8" operator="containsText" text="Voor">
      <formula>NOT(ISERROR(SEARCH(("Voor"),(A1))))</formula>
    </cfRule>
  </conditionalFormatting>
  <conditionalFormatting sqref="A1:G3 H1:H30 I1:Y29 D9 A29:C29 D29:G30">
    <cfRule type="containsText" dxfId="41" priority="9" operator="containsText" text="Tegen">
      <formula>NOT(ISERROR(SEARCH(("Tegen"),(A1))))</formula>
    </cfRule>
  </conditionalFormatting>
  <conditionalFormatting sqref="A1:G3 H1:H30 I1:Y29 D9 A29:C29 D29:G30">
    <cfRule type="containsText" dxfId="42" priority="10" operator="containsText" text="N.v.t.">
      <formula>NOT(ISERROR(SEARCH(("N.v.t."),(A1))))</formula>
    </cfRule>
  </conditionalFormatting>
  <conditionalFormatting sqref="A1:G3 H1:H30 I1:Y29 D9 A29:C29 D29:G30">
    <cfRule type="cellIs" dxfId="39" priority="11" operator="equal">
      <formula>"SO"</formula>
    </cfRule>
  </conditionalFormatting>
  <conditionalFormatting sqref="A1:G3 H1:H30 I1:Y29 D9 A29:C29 D29:G30">
    <cfRule type="cellIs" dxfId="43" priority="12" operator="equal">
      <formula>"NG"</formula>
    </cfRule>
  </conditionalFormatting>
  <conditionalFormatting sqref="A1:A5 B1:C4 D1:G6 H1:H30 I1:Y29 A7:B29 C7:C14 D8:D12 E8:G11 E13:G15 D14:D16 C17:C29 E17:G20 D18:D20 D22:G30">
    <cfRule type="containsText" dxfId="0" priority="13" operator="containsText" text="voor">
      <formula>NOT(ISERROR(SEARCH(("voor"),(A1))))</formula>
    </cfRule>
  </conditionalFormatting>
  <conditionalFormatting sqref="A1:A5 B1:C4 D1:G6 H1:H30 I1:Y29 A7:B29 C7:C14 D8:D12 E8:G11 E13:G15 D14:D16 C17:C29 E17:G20 D18:D20 D22:G30">
    <cfRule type="containsText" dxfId="1" priority="14" operator="containsText" text="tegen">
      <formula>NOT(ISERROR(SEARCH(("tegen"),(A1))))</formula>
    </cfRule>
  </conditionalFormatting>
  <conditionalFormatting sqref="A1:C3 D1:G6 H1:H30 I1:Y29 D8:D12 E8:G11 E13:G15 D14:D16 E17:G20 D18:D20 D22:G30 A29:C29">
    <cfRule type="containsText" dxfId="44" priority="15" operator="containsText" text="SO">
      <formula>NOT(ISERROR(SEARCH(("SO"),(A1))))</formula>
    </cfRule>
  </conditionalFormatting>
  <conditionalFormatting sqref="A1:C3 D1:G6 H1:H30 I1:Y29 D8:D12 E8:G11 E13:G15 D14:D16 E17:G20 D18:D20 D22:G30 A29:C29">
    <cfRule type="containsText" dxfId="45" priority="16" operator="containsText" text="NG">
      <formula>NOT(ISERROR(SEARCH(("NG"),(A1))))</formula>
    </cfRule>
  </conditionalFormatting>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4125"/>
    <outlinePr summaryBelow="0" summaryRight="0"/>
  </sheetPr>
  <sheetViews>
    <sheetView workbookViewId="0">
      <pane xSplit="3.0" ySplit="5.0" topLeftCell="D6" activePane="bottomRight" state="frozen"/>
      <selection activeCell="D1" sqref="D1" pane="topRight"/>
      <selection activeCell="A6" sqref="A6" pane="bottomLeft"/>
      <selection activeCell="D6" sqref="D6" pane="bottomRight"/>
    </sheetView>
  </sheetViews>
  <sheetFormatPr customHeight="1" defaultColWidth="14.43" defaultRowHeight="15.75"/>
  <cols>
    <col customWidth="1" min="1" max="1" width="10.86"/>
    <col customWidth="1" min="2" max="2" width="11.0"/>
    <col customWidth="1" min="3" max="3" width="26.29"/>
  </cols>
  <sheetData>
    <row r="1" ht="18.75" customHeight="1">
      <c r="A1" s="2248" t="s">
        <v>164</v>
      </c>
      <c r="B1" s="2249"/>
      <c r="C1" s="2249"/>
      <c r="D1" s="2249"/>
      <c r="E1" s="2249"/>
      <c r="F1" s="2249"/>
      <c r="G1" s="2249"/>
      <c r="H1" s="2249"/>
      <c r="I1" s="2249"/>
      <c r="J1" s="2249"/>
      <c r="K1" s="2249"/>
      <c r="L1" s="2249"/>
      <c r="M1" s="2249"/>
      <c r="N1" s="2249"/>
      <c r="O1" s="2249"/>
      <c r="P1" s="2249"/>
      <c r="Q1" s="2249"/>
      <c r="R1" s="2249"/>
      <c r="S1" s="2249"/>
      <c r="T1" s="2249"/>
      <c r="U1" s="2249"/>
      <c r="V1" s="2249"/>
      <c r="W1" s="2249"/>
      <c r="X1" s="2249"/>
      <c r="Y1" s="2249"/>
      <c r="Z1" s="2249"/>
      <c r="AA1" s="2249"/>
      <c r="AB1" s="2249"/>
      <c r="AC1" s="2249"/>
      <c r="AD1" s="2249"/>
      <c r="AE1" s="2249"/>
      <c r="AF1" s="2249"/>
      <c r="AG1" s="2249"/>
    </row>
    <row r="2" ht="18.75" customHeight="1">
      <c r="A2" s="2252" t="s">
        <v>1012</v>
      </c>
      <c r="B2" s="109"/>
      <c r="C2" s="110"/>
      <c r="D2" s="2603" t="s">
        <v>1792</v>
      </c>
    </row>
    <row r="3" ht="18.75" customHeight="1">
      <c r="A3" s="2604" t="s">
        <v>1800</v>
      </c>
      <c r="C3" s="115"/>
    </row>
    <row r="4" ht="18.75" customHeight="1">
      <c r="C4" s="115"/>
      <c r="D4" s="504"/>
      <c r="E4" s="504"/>
      <c r="F4" s="504"/>
      <c r="G4" s="504"/>
      <c r="H4" s="504"/>
      <c r="I4" s="504"/>
      <c r="J4" s="504"/>
      <c r="K4" s="504"/>
      <c r="L4" s="504"/>
      <c r="M4" s="504"/>
      <c r="N4" s="504"/>
      <c r="O4" s="504"/>
      <c r="P4" s="504"/>
      <c r="Q4" s="504"/>
      <c r="R4" s="504"/>
      <c r="S4" s="504"/>
      <c r="T4" s="504"/>
      <c r="U4" s="504"/>
      <c r="V4" s="504"/>
      <c r="W4" s="504"/>
      <c r="X4" s="504"/>
      <c r="Y4" s="504"/>
      <c r="Z4" s="504"/>
      <c r="AA4" s="504"/>
      <c r="AB4" s="504"/>
      <c r="AC4" s="504"/>
      <c r="AD4" s="504"/>
      <c r="AE4" s="504"/>
      <c r="AF4" s="504"/>
      <c r="AG4" s="504"/>
    </row>
    <row r="5" ht="18.75" customHeight="1">
      <c r="A5" s="2255" t="s">
        <v>82</v>
      </c>
      <c r="B5" s="2256" t="s">
        <v>83</v>
      </c>
      <c r="C5" s="2257" t="s">
        <v>84</v>
      </c>
      <c r="D5" s="2258" t="str">
        <f>HYPERLINK("https://www.reddit.com/r/RMTK/comments/9uhc7u/","M0002")</f>
        <v>M0002</v>
      </c>
      <c r="E5" s="2504" t="str">
        <f>HYPERLINK("https://www.reddit.com/r/RMTK/comments/9v3mni", "M0003")</f>
        <v>M0003</v>
      </c>
      <c r="F5" s="2504" t="str">
        <f>HYPERLINK("https://www.reddit.com/r/RMTK/comments/9vbs93","M0004")</f>
        <v>M0004</v>
      </c>
      <c r="G5" s="2504" t="str">
        <f>HYPERLINK("https://www.reddit.com/r/RMTK/comments/9uriq3", "W0001")</f>
        <v>W0001</v>
      </c>
      <c r="H5" s="2504" t="str">
        <f>HYPERLINK("https://www.reddit.com/r/RMTK/comments/9xaw30", "M0005")</f>
        <v>M0005</v>
      </c>
      <c r="I5" s="2504" t="str">
        <f>HYPERLINK("https://www.reddit.com/r/RMTK/comments/9uriq3", "W0002")</f>
        <v>W0002</v>
      </c>
      <c r="J5" s="2504" t="str">
        <f>HYPERLINK("https://reddit.com/r/RMTK/comments/9yb2l5", "M0006")</f>
        <v>M0006</v>
      </c>
      <c r="K5" s="2504" t="str">
        <f>HYPERLINK("https://reddit.com/r/RMTK/comments/9yw1yh/", "M0007")</f>
        <v>M0007</v>
      </c>
      <c r="L5" s="2504" t="str">
        <f>HYPERLINK("https://www.reddit.com/r/RMTK/comments/a0hbsz/","M0008")</f>
        <v>M0008</v>
      </c>
      <c r="M5" s="2504" t="str">
        <f>HYPERLINK("https://reddit.com/r/RMTK/comments/a157uw/", "M0009")</f>
        <v>M0009</v>
      </c>
      <c r="N5" s="2504" t="str">
        <f>HYPERLINK("https://www.reddit.com/r/RMTK/comments/a1lug6/", "W0003-I")</f>
        <v>W0003-I</v>
      </c>
      <c r="O5" s="2504" t="str">
        <f>HYPERLINK("https://www.reddit.com/r/RMTK/comments/a3evk8/","M0010")</f>
        <v>M0010</v>
      </c>
      <c r="P5" s="2504" t="str">
        <f>HYPERLINK("https://www.reddit.com/r/RMTK/comments/a0wpec/","W0003")</f>
        <v>W0003</v>
      </c>
      <c r="Q5" s="2504" t="str">
        <f>HYPERLINK("https://reddit.com/r/RMTK/comments/a4kfpa", "M0011")</f>
        <v>M0011</v>
      </c>
      <c r="R5" s="2504" t="str">
        <f>HYPERLINK("https://reddit.com/r/RMTK/comments/a4x47a", "M0012")</f>
        <v>M0012</v>
      </c>
      <c r="S5" s="2504" t="str">
        <f>HYPERLINK("https://reddit.com/r/RMTK/comments/a6yip8", "M0013")</f>
        <v>M0013</v>
      </c>
      <c r="T5" s="2504" t="str">
        <f>HYPERLINK("https://reddit.com/r/RMTK/comments/a7lfim", "W0004")</f>
        <v>W0004</v>
      </c>
      <c r="U5" s="2504" t="str">
        <f>HYPERLINK("https://reddit.com/r/RMTK/comments/a9e3yl", "M0014")</f>
        <v>M0014</v>
      </c>
      <c r="V5" s="2504" t="str">
        <f>HYPERLINK("https://reddit.com/r/RMTK/comments/abmvb8", "M0015")</f>
        <v>M0015</v>
      </c>
      <c r="W5" s="2504" t="str">
        <f>HYPERLINK("https://reddit.com/r/RMTK/comments/abwerm", "W0006")</f>
        <v>W0006</v>
      </c>
      <c r="X5" s="2504" t="str">
        <f>HYPERLINK("https://reddit.com/r/RMTK/comments/acgtkp", "M0016")</f>
        <v>M0016</v>
      </c>
      <c r="Y5" s="2504" t="str">
        <f>HYPERLINK("https://reddit.com/r/RMTK/comments/acl9yo", "W0005-I")</f>
        <v>W0005-I</v>
      </c>
      <c r="Z5" s="2504" t="str">
        <f>HYPERLINK("https://reddit.com/r/RMTK/comments/acy21s", "W0005-II")</f>
        <v>W0005-II</v>
      </c>
      <c r="AA5" s="2504" t="str">
        <f>HYPERLINK("https://reddit.com/r/RMTK/comments/adl4nh", "M0017")</f>
        <v>M0017</v>
      </c>
      <c r="AB5" s="2504" t="str">
        <f>HYPERLINK("https://reddit.com/r/RMTK/comments/ae7cyz", "M0018")</f>
        <v>M0018</v>
      </c>
      <c r="AC5" s="2504" t="str">
        <f>HYPERLINK("https://reddit.com/r/RMTK/comments/aeu8iv", "M0019")</f>
        <v>M0019</v>
      </c>
      <c r="AD5" s="2504" t="str">
        <f>HYPERLINK("https://reddit.com/r/RMTK/comments/aehqrq", "W0008")</f>
        <v>W0008</v>
      </c>
      <c r="AE5" s="2504" t="str">
        <f>HYPERLINK("https://reddit.com/r/RMTK/comments/agckzr", "W0007-I")</f>
        <v>W0007-I</v>
      </c>
      <c r="AF5" s="2504" t="str">
        <f>HYPERLINK("https://reddit.com/r/RMTK/comments/agz1n5", "W0009")</f>
        <v>W0009</v>
      </c>
      <c r="AG5" s="2504" t="str">
        <f>HYPERLINK("https://reddit.com/r/RMTK/comments/aiejgc", "TE0001")</f>
        <v>TE0001</v>
      </c>
    </row>
    <row r="6" ht="6.0" customHeight="1">
      <c r="A6" s="2260"/>
      <c r="B6" s="2261"/>
      <c r="C6" s="2261"/>
      <c r="D6" s="2422"/>
      <c r="E6" s="2536"/>
      <c r="F6" s="2536"/>
      <c r="G6" s="2536"/>
      <c r="H6" s="2536"/>
      <c r="I6" s="2536"/>
      <c r="J6" s="2536"/>
      <c r="K6" s="2536"/>
      <c r="L6" s="2536"/>
      <c r="M6" s="2536"/>
      <c r="N6" s="2536"/>
      <c r="O6" s="2536"/>
      <c r="P6" s="2536"/>
      <c r="Q6" s="2536"/>
      <c r="R6" s="2536"/>
      <c r="S6" s="2536"/>
      <c r="T6" s="2536"/>
      <c r="U6" s="2536"/>
      <c r="V6" s="2536"/>
      <c r="W6" s="2536"/>
      <c r="X6" s="2536"/>
      <c r="Y6" s="2536"/>
      <c r="Z6" s="2536"/>
      <c r="AA6" s="2605"/>
      <c r="AB6" s="2605"/>
      <c r="AC6" s="2605"/>
      <c r="AD6" s="2605"/>
      <c r="AE6" s="2605"/>
      <c r="AF6" s="2605"/>
      <c r="AG6" s="2605"/>
    </row>
    <row r="7" ht="18.75" customHeight="1">
      <c r="A7" s="2266" t="s">
        <v>1801</v>
      </c>
      <c r="B7" s="2606" t="s">
        <v>518</v>
      </c>
      <c r="C7" s="2607" t="s">
        <v>1264</v>
      </c>
      <c r="D7" s="2269" t="s">
        <v>112</v>
      </c>
      <c r="E7" s="2269" t="s">
        <v>112</v>
      </c>
      <c r="F7" s="2269" t="s">
        <v>113</v>
      </c>
      <c r="G7" s="2270" t="s">
        <v>112</v>
      </c>
      <c r="H7" s="2269" t="s">
        <v>112</v>
      </c>
      <c r="I7" s="2270" t="s">
        <v>112</v>
      </c>
      <c r="J7" s="2269" t="s">
        <v>117</v>
      </c>
      <c r="K7" s="2270" t="s">
        <v>112</v>
      </c>
      <c r="L7" s="2269" t="s">
        <v>112</v>
      </c>
      <c r="M7" s="2269" t="s">
        <v>112</v>
      </c>
      <c r="N7" s="2270" t="s">
        <v>117</v>
      </c>
      <c r="O7" s="2270" t="s">
        <v>112</v>
      </c>
      <c r="P7" s="2269" t="s">
        <v>112</v>
      </c>
      <c r="Q7" s="2269" t="s">
        <v>112</v>
      </c>
      <c r="R7" s="2270" t="s">
        <v>113</v>
      </c>
      <c r="S7" s="2270" t="s">
        <v>113</v>
      </c>
      <c r="T7" s="2608" t="s">
        <v>112</v>
      </c>
      <c r="U7" s="2609" t="s">
        <v>112</v>
      </c>
      <c r="V7" s="2269" t="s">
        <v>109</v>
      </c>
      <c r="W7" s="2269" t="s">
        <v>110</v>
      </c>
      <c r="X7" s="2269" t="s">
        <v>110</v>
      </c>
      <c r="Y7" s="2269" t="s">
        <v>117</v>
      </c>
      <c r="Z7" s="2270" t="s">
        <v>117</v>
      </c>
      <c r="AA7" s="2269" t="s">
        <v>110</v>
      </c>
      <c r="AB7" s="2269" t="s">
        <v>109</v>
      </c>
      <c r="AC7" s="2269" t="s">
        <v>110</v>
      </c>
      <c r="AD7" s="2269" t="s">
        <v>110</v>
      </c>
      <c r="AE7" s="2440" t="s">
        <v>110</v>
      </c>
      <c r="AF7" s="2270" t="s">
        <v>110</v>
      </c>
      <c r="AG7" s="2269" t="s">
        <v>110</v>
      </c>
    </row>
    <row r="8" ht="18.75" customHeight="1">
      <c r="A8" s="147"/>
      <c r="B8" s="115"/>
      <c r="C8" s="2610" t="s">
        <v>1265</v>
      </c>
      <c r="D8" s="2269" t="s">
        <v>113</v>
      </c>
      <c r="E8" s="2269" t="s">
        <v>113</v>
      </c>
      <c r="F8" s="2269" t="s">
        <v>113</v>
      </c>
      <c r="G8" s="2270" t="s">
        <v>112</v>
      </c>
      <c r="H8" s="2269" t="s">
        <v>112</v>
      </c>
      <c r="I8" s="2270" t="s">
        <v>112</v>
      </c>
      <c r="J8" s="2269" t="s">
        <v>113</v>
      </c>
      <c r="K8" s="2270" t="s">
        <v>112</v>
      </c>
      <c r="L8" s="2269" t="s">
        <v>112</v>
      </c>
      <c r="M8" s="2269" t="s">
        <v>112</v>
      </c>
      <c r="N8" s="2270" t="s">
        <v>112</v>
      </c>
      <c r="O8" s="2270" t="s">
        <v>108</v>
      </c>
      <c r="P8" s="2269" t="s">
        <v>112</v>
      </c>
      <c r="Q8" s="2269" t="s">
        <v>112</v>
      </c>
      <c r="R8" s="2270" t="s">
        <v>113</v>
      </c>
      <c r="S8" s="2270" t="s">
        <v>113</v>
      </c>
      <c r="T8" s="2274" t="s">
        <v>108</v>
      </c>
      <c r="U8" s="2270" t="s">
        <v>108</v>
      </c>
      <c r="V8" s="2269" t="s">
        <v>108</v>
      </c>
      <c r="W8" s="2269" t="s">
        <v>108</v>
      </c>
      <c r="X8" s="2269" t="s">
        <v>108</v>
      </c>
      <c r="Y8" s="2269" t="s">
        <v>108</v>
      </c>
      <c r="Z8" s="2270" t="s">
        <v>108</v>
      </c>
      <c r="AA8" s="2269" t="s">
        <v>108</v>
      </c>
      <c r="AB8" s="2269" t="s">
        <v>108</v>
      </c>
      <c r="AC8" s="2269" t="s">
        <v>108</v>
      </c>
      <c r="AD8" s="2269" t="s">
        <v>108</v>
      </c>
      <c r="AE8" s="2440" t="s">
        <v>119</v>
      </c>
      <c r="AF8" s="2270" t="s">
        <v>119</v>
      </c>
      <c r="AG8" s="2451" t="s">
        <v>119</v>
      </c>
    </row>
    <row r="9" ht="18.75" customHeight="1">
      <c r="A9" s="147"/>
      <c r="B9" s="115"/>
      <c r="C9" s="2548" t="s">
        <v>662</v>
      </c>
      <c r="D9" s="2269" t="s">
        <v>119</v>
      </c>
      <c r="E9" s="2269" t="s">
        <v>119</v>
      </c>
      <c r="F9" s="2269" t="s">
        <v>119</v>
      </c>
      <c r="G9" s="2270" t="s">
        <v>119</v>
      </c>
      <c r="H9" s="2269" t="s">
        <v>119</v>
      </c>
      <c r="I9" s="2270" t="s">
        <v>119</v>
      </c>
      <c r="J9" s="2269" t="s">
        <v>119</v>
      </c>
      <c r="K9" s="2270" t="s">
        <v>119</v>
      </c>
      <c r="L9" s="2269" t="s">
        <v>119</v>
      </c>
      <c r="M9" s="2269" t="s">
        <v>119</v>
      </c>
      <c r="N9" s="2270" t="s">
        <v>119</v>
      </c>
      <c r="O9" s="2270" t="s">
        <v>119</v>
      </c>
      <c r="P9" s="2269" t="s">
        <v>119</v>
      </c>
      <c r="Q9" s="2269" t="s">
        <v>119</v>
      </c>
      <c r="R9" s="2270" t="s">
        <v>119</v>
      </c>
      <c r="S9" s="2270" t="s">
        <v>119</v>
      </c>
      <c r="T9" s="2269" t="s">
        <v>119</v>
      </c>
      <c r="U9" s="2270" t="s">
        <v>119</v>
      </c>
      <c r="V9" s="2269" t="s">
        <v>119</v>
      </c>
      <c r="W9" s="2269" t="s">
        <v>119</v>
      </c>
      <c r="X9" s="2269" t="s">
        <v>119</v>
      </c>
      <c r="Y9" s="2269" t="s">
        <v>119</v>
      </c>
      <c r="Z9" s="2270" t="s">
        <v>119</v>
      </c>
      <c r="AA9" s="2269" t="s">
        <v>119</v>
      </c>
      <c r="AB9" s="2269" t="s">
        <v>119</v>
      </c>
      <c r="AC9" s="2269" t="s">
        <v>119</v>
      </c>
      <c r="AD9" s="2269" t="s">
        <v>119</v>
      </c>
      <c r="AE9" s="2440" t="s">
        <v>110</v>
      </c>
      <c r="AF9" s="2270" t="s">
        <v>110</v>
      </c>
      <c r="AG9" s="2269" t="s">
        <v>110</v>
      </c>
    </row>
    <row r="10" ht="18.75" customHeight="1">
      <c r="A10" s="147"/>
      <c r="B10" s="115"/>
      <c r="C10" s="2548" t="s">
        <v>1267</v>
      </c>
      <c r="D10" s="2269" t="s">
        <v>119</v>
      </c>
      <c r="E10" s="2269" t="s">
        <v>119</v>
      </c>
      <c r="F10" s="2269" t="s">
        <v>119</v>
      </c>
      <c r="G10" s="2270" t="s">
        <v>119</v>
      </c>
      <c r="H10" s="2269" t="s">
        <v>119</v>
      </c>
      <c r="I10" s="2270" t="s">
        <v>119</v>
      </c>
      <c r="J10" s="2269" t="s">
        <v>119</v>
      </c>
      <c r="K10" s="2270" t="s">
        <v>119</v>
      </c>
      <c r="L10" s="2269" t="s">
        <v>119</v>
      </c>
      <c r="M10" s="2269" t="s">
        <v>119</v>
      </c>
      <c r="N10" s="2270" t="s">
        <v>119</v>
      </c>
      <c r="O10" s="2270" t="s">
        <v>119</v>
      </c>
      <c r="P10" s="2269" t="s">
        <v>119</v>
      </c>
      <c r="Q10" s="2269" t="s">
        <v>119</v>
      </c>
      <c r="R10" s="2270" t="s">
        <v>119</v>
      </c>
      <c r="S10" s="2270" t="s">
        <v>113</v>
      </c>
      <c r="T10" s="2608" t="s">
        <v>112</v>
      </c>
      <c r="U10" s="2609" t="s">
        <v>112</v>
      </c>
      <c r="V10" s="2611" t="s">
        <v>109</v>
      </c>
      <c r="W10" s="2269" t="s">
        <v>110</v>
      </c>
      <c r="X10" s="2269" t="s">
        <v>110</v>
      </c>
      <c r="Y10" s="2269" t="s">
        <v>110</v>
      </c>
      <c r="Z10" s="2270" t="s">
        <v>110</v>
      </c>
      <c r="AA10" s="2269" t="s">
        <v>108</v>
      </c>
      <c r="AB10" s="2269" t="s">
        <v>108</v>
      </c>
      <c r="AC10" s="2269" t="s">
        <v>108</v>
      </c>
      <c r="AD10" s="2269" t="s">
        <v>108</v>
      </c>
      <c r="AE10" s="2612" t="s">
        <v>108</v>
      </c>
      <c r="AF10" s="2270" t="s">
        <v>108</v>
      </c>
      <c r="AG10" s="2269" t="s">
        <v>110</v>
      </c>
    </row>
    <row r="11" ht="18.75" customHeight="1">
      <c r="A11" s="147"/>
      <c r="B11" s="115"/>
      <c r="C11" s="2610" t="s">
        <v>1266</v>
      </c>
      <c r="D11" s="2269" t="s">
        <v>108</v>
      </c>
      <c r="E11" s="2269" t="s">
        <v>108</v>
      </c>
      <c r="F11" s="2269" t="s">
        <v>108</v>
      </c>
      <c r="G11" s="2270" t="s">
        <v>108</v>
      </c>
      <c r="H11" s="2269" t="s">
        <v>113</v>
      </c>
      <c r="I11" s="2270" t="s">
        <v>112</v>
      </c>
      <c r="J11" s="2269" t="s">
        <v>108</v>
      </c>
      <c r="K11" s="2270" t="s">
        <v>108</v>
      </c>
      <c r="L11" s="2269" t="s">
        <v>108</v>
      </c>
      <c r="M11" s="2269" t="s">
        <v>108</v>
      </c>
      <c r="N11" s="2270" t="s">
        <v>108</v>
      </c>
      <c r="O11" s="2270" t="s">
        <v>108</v>
      </c>
      <c r="P11" s="2269" t="s">
        <v>108</v>
      </c>
      <c r="Q11" s="2269" t="s">
        <v>108</v>
      </c>
      <c r="R11" s="2270" t="s">
        <v>108</v>
      </c>
      <c r="S11" s="2270" t="s">
        <v>119</v>
      </c>
      <c r="T11" s="2269" t="s">
        <v>119</v>
      </c>
      <c r="U11" s="2270" t="s">
        <v>119</v>
      </c>
      <c r="V11" s="2269" t="s">
        <v>119</v>
      </c>
      <c r="W11" s="2269" t="s">
        <v>119</v>
      </c>
      <c r="X11" s="2269" t="s">
        <v>119</v>
      </c>
      <c r="Y11" s="2269" t="s">
        <v>119</v>
      </c>
      <c r="Z11" s="2270" t="s">
        <v>119</v>
      </c>
      <c r="AA11" s="2269" t="s">
        <v>119</v>
      </c>
      <c r="AB11" s="2269" t="s">
        <v>119</v>
      </c>
      <c r="AC11" s="2269" t="s">
        <v>119</v>
      </c>
      <c r="AD11" s="2269" t="s">
        <v>119</v>
      </c>
      <c r="AE11" s="2440" t="s">
        <v>119</v>
      </c>
      <c r="AF11" s="2270" t="s">
        <v>119</v>
      </c>
      <c r="AG11" s="2451" t="s">
        <v>119</v>
      </c>
    </row>
    <row r="12" ht="18.75" customHeight="1">
      <c r="A12" s="147"/>
      <c r="B12" s="115"/>
      <c r="C12" s="2548" t="s">
        <v>1268</v>
      </c>
      <c r="D12" s="2269" t="s">
        <v>112</v>
      </c>
      <c r="E12" s="2269" t="s">
        <v>112</v>
      </c>
      <c r="F12" s="2269" t="s">
        <v>113</v>
      </c>
      <c r="G12" s="2270" t="s">
        <v>112</v>
      </c>
      <c r="H12" s="2269" t="s">
        <v>108</v>
      </c>
      <c r="I12" s="2270" t="s">
        <v>108</v>
      </c>
      <c r="J12" s="2269" t="s">
        <v>108</v>
      </c>
      <c r="K12" s="2270" t="s">
        <v>108</v>
      </c>
      <c r="L12" s="2269" t="s">
        <v>112</v>
      </c>
      <c r="M12" s="2269" t="s">
        <v>112</v>
      </c>
      <c r="N12" s="2270" t="s">
        <v>112</v>
      </c>
      <c r="O12" s="2270" t="s">
        <v>112</v>
      </c>
      <c r="P12" s="2269" t="s">
        <v>112</v>
      </c>
      <c r="Q12" s="2269" t="s">
        <v>112</v>
      </c>
      <c r="R12" s="2270" t="s">
        <v>113</v>
      </c>
      <c r="S12" s="2270" t="s">
        <v>113</v>
      </c>
      <c r="T12" s="2269" t="s">
        <v>113</v>
      </c>
      <c r="U12" s="2270" t="s">
        <v>113</v>
      </c>
      <c r="V12" s="2269" t="s">
        <v>110</v>
      </c>
      <c r="W12" s="2269" t="s">
        <v>110</v>
      </c>
      <c r="X12" s="2269" t="s">
        <v>109</v>
      </c>
      <c r="Y12" s="2269" t="s">
        <v>110</v>
      </c>
      <c r="Z12" s="2270" t="s">
        <v>110</v>
      </c>
      <c r="AA12" s="2269" t="s">
        <v>110</v>
      </c>
      <c r="AB12" s="2269" t="s">
        <v>110</v>
      </c>
      <c r="AC12" s="2269" t="s">
        <v>110</v>
      </c>
      <c r="AD12" s="2269" t="s">
        <v>110</v>
      </c>
      <c r="AE12" s="2440" t="s">
        <v>110</v>
      </c>
      <c r="AF12" s="2270" t="s">
        <v>110</v>
      </c>
      <c r="AG12" s="2269" t="s">
        <v>108</v>
      </c>
    </row>
    <row r="13" ht="18.75" customHeight="1">
      <c r="A13" s="147"/>
      <c r="B13" s="115"/>
      <c r="C13" s="2613" t="s">
        <v>621</v>
      </c>
      <c r="D13" s="2269" t="s">
        <v>113</v>
      </c>
      <c r="E13" s="2269" t="s">
        <v>113</v>
      </c>
      <c r="F13" s="2269" t="s">
        <v>113</v>
      </c>
      <c r="G13" s="2270" t="s">
        <v>112</v>
      </c>
      <c r="H13" s="2269" t="s">
        <v>112</v>
      </c>
      <c r="I13" s="2270" t="s">
        <v>112</v>
      </c>
      <c r="J13" s="2269" t="s">
        <v>113</v>
      </c>
      <c r="K13" s="2270" t="s">
        <v>112</v>
      </c>
      <c r="L13" s="2269" t="s">
        <v>112</v>
      </c>
      <c r="M13" s="2269" t="s">
        <v>112</v>
      </c>
      <c r="N13" s="2270" t="s">
        <v>112</v>
      </c>
      <c r="O13" s="2270" t="s">
        <v>112</v>
      </c>
      <c r="P13" s="2269" t="s">
        <v>112</v>
      </c>
      <c r="Q13" s="2269" t="s">
        <v>112</v>
      </c>
      <c r="R13" s="2270" t="s">
        <v>113</v>
      </c>
      <c r="S13" s="2270" t="s">
        <v>113</v>
      </c>
      <c r="T13" s="2269" t="s">
        <v>113</v>
      </c>
      <c r="U13" s="2270" t="s">
        <v>113</v>
      </c>
      <c r="V13" s="2269" t="s">
        <v>109</v>
      </c>
      <c r="W13" s="2269" t="s">
        <v>110</v>
      </c>
      <c r="X13" s="2269" t="s">
        <v>110</v>
      </c>
      <c r="Y13" s="2269" t="s">
        <v>109</v>
      </c>
      <c r="Z13" s="2270" t="s">
        <v>110</v>
      </c>
      <c r="AA13" s="2269" t="s">
        <v>110</v>
      </c>
      <c r="AB13" s="2269" t="s">
        <v>109</v>
      </c>
      <c r="AC13" s="2269" t="s">
        <v>110</v>
      </c>
      <c r="AD13" s="2269" t="s">
        <v>110</v>
      </c>
      <c r="AE13" s="2440" t="s">
        <v>110</v>
      </c>
      <c r="AF13" s="2270" t="s">
        <v>110</v>
      </c>
      <c r="AG13" s="2269" t="s">
        <v>110</v>
      </c>
    </row>
    <row r="14" ht="18.75" customHeight="1">
      <c r="A14" s="147"/>
      <c r="B14" s="2614" t="s">
        <v>519</v>
      </c>
      <c r="C14" s="2615" t="s">
        <v>1274</v>
      </c>
      <c r="D14" s="2269" t="s">
        <v>113</v>
      </c>
      <c r="E14" s="2269" t="s">
        <v>113</v>
      </c>
      <c r="F14" s="2269" t="s">
        <v>112</v>
      </c>
      <c r="G14" s="2270" t="s">
        <v>112</v>
      </c>
      <c r="H14" s="2269" t="s">
        <v>117</v>
      </c>
      <c r="I14" s="2270" t="s">
        <v>112</v>
      </c>
      <c r="J14" s="2269" t="s">
        <v>108</v>
      </c>
      <c r="K14" s="2270" t="s">
        <v>108</v>
      </c>
      <c r="L14" s="2269" t="s">
        <v>112</v>
      </c>
      <c r="M14" s="2269" t="s">
        <v>117</v>
      </c>
      <c r="N14" s="2270" t="s">
        <v>112</v>
      </c>
      <c r="O14" s="2270" t="s">
        <v>108</v>
      </c>
      <c r="P14" s="2608" t="s">
        <v>112</v>
      </c>
      <c r="Q14" s="2608" t="s">
        <v>112</v>
      </c>
      <c r="R14" s="2609" t="s">
        <v>112</v>
      </c>
      <c r="S14" s="2270" t="s">
        <v>113</v>
      </c>
      <c r="T14" s="2269" t="s">
        <v>113</v>
      </c>
      <c r="U14" s="2270" t="s">
        <v>112</v>
      </c>
      <c r="V14" s="2269" t="s">
        <v>108</v>
      </c>
      <c r="W14" s="2269" t="s">
        <v>108</v>
      </c>
      <c r="X14" s="2269" t="s">
        <v>108</v>
      </c>
      <c r="Y14" s="2269" t="s">
        <v>108</v>
      </c>
      <c r="Z14" s="2270" t="s">
        <v>108</v>
      </c>
      <c r="AA14" s="2269" t="s">
        <v>108</v>
      </c>
      <c r="AB14" s="2269" t="s">
        <v>108</v>
      </c>
      <c r="AC14" s="2269" t="s">
        <v>108</v>
      </c>
      <c r="AD14" s="2269" t="s">
        <v>108</v>
      </c>
      <c r="AE14" s="2440" t="s">
        <v>108</v>
      </c>
      <c r="AF14" s="2270" t="s">
        <v>108</v>
      </c>
      <c r="AG14" s="2269" t="s">
        <v>108</v>
      </c>
    </row>
    <row r="15" ht="18.75" customHeight="1">
      <c r="A15" s="147"/>
      <c r="B15" s="115"/>
      <c r="C15" s="2554" t="s">
        <v>1275</v>
      </c>
      <c r="D15" s="2269" t="s">
        <v>113</v>
      </c>
      <c r="E15" s="2269" t="s">
        <v>113</v>
      </c>
      <c r="F15" s="2269" t="s">
        <v>113</v>
      </c>
      <c r="G15" s="2270" t="s">
        <v>112</v>
      </c>
      <c r="H15" s="2269" t="s">
        <v>112</v>
      </c>
      <c r="I15" s="2270" t="s">
        <v>112</v>
      </c>
      <c r="J15" s="2269" t="s">
        <v>112</v>
      </c>
      <c r="K15" s="2270" t="s">
        <v>117</v>
      </c>
      <c r="L15" s="2269" t="s">
        <v>112</v>
      </c>
      <c r="M15" s="2269" t="s">
        <v>112</v>
      </c>
      <c r="N15" s="2270" t="s">
        <v>112</v>
      </c>
      <c r="O15" s="2270" t="s">
        <v>112</v>
      </c>
      <c r="P15" s="2269" t="s">
        <v>112</v>
      </c>
      <c r="Q15" s="2269" t="s">
        <v>112</v>
      </c>
      <c r="R15" s="2270" t="s">
        <v>117</v>
      </c>
      <c r="S15" s="2270" t="s">
        <v>113</v>
      </c>
      <c r="T15" s="2269" t="s">
        <v>112</v>
      </c>
      <c r="U15" s="2270" t="s">
        <v>112</v>
      </c>
      <c r="V15" s="2269" t="s">
        <v>109</v>
      </c>
      <c r="W15" s="2269" t="s">
        <v>110</v>
      </c>
      <c r="X15" s="2269" t="s">
        <v>110</v>
      </c>
      <c r="Y15" s="2269" t="s">
        <v>109</v>
      </c>
      <c r="Z15" s="2270" t="s">
        <v>110</v>
      </c>
      <c r="AA15" s="2269" t="s">
        <v>108</v>
      </c>
      <c r="AB15" s="2269" t="s">
        <v>108</v>
      </c>
      <c r="AC15" s="2269" t="s">
        <v>108</v>
      </c>
      <c r="AD15" s="2269" t="s">
        <v>108</v>
      </c>
      <c r="AE15" s="2440" t="s">
        <v>110</v>
      </c>
      <c r="AF15" s="2270" t="s">
        <v>110</v>
      </c>
      <c r="AG15" s="2269" t="s">
        <v>110</v>
      </c>
    </row>
    <row r="16" ht="18.75" customHeight="1">
      <c r="A16" s="147"/>
      <c r="B16" s="115"/>
      <c r="C16" s="2616" t="s">
        <v>617</v>
      </c>
      <c r="D16" s="2269" t="s">
        <v>113</v>
      </c>
      <c r="E16" s="2269" t="s">
        <v>113</v>
      </c>
      <c r="F16" s="2269" t="s">
        <v>112</v>
      </c>
      <c r="G16" s="2270" t="s">
        <v>112</v>
      </c>
      <c r="H16" s="2269" t="s">
        <v>112</v>
      </c>
      <c r="I16" s="2270" t="s">
        <v>112</v>
      </c>
      <c r="J16" s="2269" t="s">
        <v>113</v>
      </c>
      <c r="K16" s="2270" t="s">
        <v>112</v>
      </c>
      <c r="L16" s="2269" t="s">
        <v>112</v>
      </c>
      <c r="M16" s="2269" t="s">
        <v>112</v>
      </c>
      <c r="N16" s="2270" t="s">
        <v>112</v>
      </c>
      <c r="O16" s="2270" t="s">
        <v>112</v>
      </c>
      <c r="P16" s="2269" t="s">
        <v>112</v>
      </c>
      <c r="Q16" s="2269" t="s">
        <v>112</v>
      </c>
      <c r="R16" s="2270" t="s">
        <v>117</v>
      </c>
      <c r="S16" s="2270" t="s">
        <v>113</v>
      </c>
      <c r="T16" s="2269" t="s">
        <v>113</v>
      </c>
      <c r="U16" s="2270" t="s">
        <v>113</v>
      </c>
      <c r="V16" s="2269" t="s">
        <v>109</v>
      </c>
      <c r="W16" s="2269" t="s">
        <v>110</v>
      </c>
      <c r="X16" s="2269" t="s">
        <v>110</v>
      </c>
      <c r="Y16" s="2269" t="s">
        <v>109</v>
      </c>
      <c r="Z16" s="2270" t="s">
        <v>110</v>
      </c>
      <c r="AA16" s="2269" t="s">
        <v>110</v>
      </c>
      <c r="AB16" s="2269" t="s">
        <v>109</v>
      </c>
      <c r="AC16" s="2269" t="s">
        <v>110</v>
      </c>
      <c r="AD16" s="2269" t="s">
        <v>110</v>
      </c>
      <c r="AE16" s="2440" t="s">
        <v>110</v>
      </c>
      <c r="AF16" s="2270" t="s">
        <v>110</v>
      </c>
      <c r="AG16" s="2269" t="s">
        <v>109</v>
      </c>
    </row>
    <row r="17" ht="18.75" customHeight="1">
      <c r="A17" s="147"/>
      <c r="B17" s="115"/>
      <c r="C17" s="2554" t="s">
        <v>153</v>
      </c>
      <c r="D17" s="2269" t="s">
        <v>113</v>
      </c>
      <c r="E17" s="2269" t="s">
        <v>113</v>
      </c>
      <c r="F17" s="2269" t="s">
        <v>113</v>
      </c>
      <c r="G17" s="2270" t="s">
        <v>112</v>
      </c>
      <c r="H17" s="2269" t="s">
        <v>112</v>
      </c>
      <c r="I17" s="2270" t="s">
        <v>112</v>
      </c>
      <c r="J17" s="2269" t="s">
        <v>113</v>
      </c>
      <c r="K17" s="2270" t="s">
        <v>112</v>
      </c>
      <c r="L17" s="2269" t="s">
        <v>113</v>
      </c>
      <c r="M17" s="2269" t="s">
        <v>113</v>
      </c>
      <c r="N17" s="2270" t="s">
        <v>112</v>
      </c>
      <c r="O17" s="2270" t="s">
        <v>112</v>
      </c>
      <c r="P17" s="2269" t="s">
        <v>112</v>
      </c>
      <c r="Q17" s="2269" t="s">
        <v>112</v>
      </c>
      <c r="R17" s="2270" t="s">
        <v>112</v>
      </c>
      <c r="S17" s="2270" t="s">
        <v>113</v>
      </c>
      <c r="T17" s="2269" t="s">
        <v>113</v>
      </c>
      <c r="U17" s="2270" t="s">
        <v>113</v>
      </c>
      <c r="V17" s="2269" t="s">
        <v>109</v>
      </c>
      <c r="W17" s="2269" t="s">
        <v>110</v>
      </c>
      <c r="X17" s="2269" t="s">
        <v>110</v>
      </c>
      <c r="Y17" s="2269" t="s">
        <v>109</v>
      </c>
      <c r="Z17" s="2270" t="s">
        <v>110</v>
      </c>
      <c r="AA17" s="2269" t="s">
        <v>108</v>
      </c>
      <c r="AB17" s="2269" t="s">
        <v>108</v>
      </c>
      <c r="AC17" s="2269" t="s">
        <v>108</v>
      </c>
      <c r="AD17" s="2269" t="s">
        <v>108</v>
      </c>
      <c r="AE17" s="2440" t="s">
        <v>110</v>
      </c>
      <c r="AF17" s="2270" t="s">
        <v>110</v>
      </c>
      <c r="AG17" s="2269" t="s">
        <v>110</v>
      </c>
    </row>
    <row r="18" ht="18.75" customHeight="1">
      <c r="A18" s="147"/>
      <c r="B18" s="115"/>
      <c r="C18" s="2617" t="s">
        <v>503</v>
      </c>
      <c r="D18" s="2269" t="s">
        <v>113</v>
      </c>
      <c r="E18" s="2269" t="s">
        <v>113</v>
      </c>
      <c r="F18" s="2269" t="s">
        <v>113</v>
      </c>
      <c r="G18" s="2270" t="s">
        <v>112</v>
      </c>
      <c r="H18" s="2269" t="s">
        <v>112</v>
      </c>
      <c r="I18" s="2270" t="s">
        <v>112</v>
      </c>
      <c r="J18" s="2269" t="s">
        <v>117</v>
      </c>
      <c r="K18" s="2270" t="s">
        <v>112</v>
      </c>
      <c r="L18" s="2269" t="s">
        <v>112</v>
      </c>
      <c r="M18" s="2269" t="s">
        <v>112</v>
      </c>
      <c r="N18" s="2270" t="s">
        <v>112</v>
      </c>
      <c r="O18" s="2270" t="s">
        <v>112</v>
      </c>
      <c r="P18" s="2269" t="s">
        <v>112</v>
      </c>
      <c r="Q18" s="2269" t="s">
        <v>112</v>
      </c>
      <c r="R18" s="2270" t="s">
        <v>117</v>
      </c>
      <c r="S18" s="2270" t="s">
        <v>113</v>
      </c>
      <c r="T18" s="2269" t="s">
        <v>113</v>
      </c>
      <c r="U18" s="2270" t="s">
        <v>113</v>
      </c>
      <c r="V18" s="2269" t="s">
        <v>109</v>
      </c>
      <c r="W18" s="2269" t="s">
        <v>110</v>
      </c>
      <c r="X18" s="2269" t="s">
        <v>110</v>
      </c>
      <c r="Y18" s="2269" t="s">
        <v>109</v>
      </c>
      <c r="Z18" s="2270" t="s">
        <v>110</v>
      </c>
      <c r="AA18" s="2269" t="s">
        <v>110</v>
      </c>
      <c r="AB18" s="2269" t="s">
        <v>109</v>
      </c>
      <c r="AC18" s="2269" t="s">
        <v>117</v>
      </c>
      <c r="AD18" s="2269" t="s">
        <v>110</v>
      </c>
      <c r="AE18" s="2440" t="s">
        <v>110</v>
      </c>
      <c r="AF18" s="2270" t="s">
        <v>110</v>
      </c>
      <c r="AG18" s="2269" t="s">
        <v>110</v>
      </c>
    </row>
    <row r="19" ht="18.75" customHeight="1">
      <c r="A19" s="147"/>
      <c r="B19" s="2618" t="s">
        <v>31</v>
      </c>
      <c r="C19" s="2619" t="s">
        <v>32</v>
      </c>
      <c r="D19" s="2269" t="s">
        <v>113</v>
      </c>
      <c r="E19" s="2269" t="s">
        <v>113</v>
      </c>
      <c r="F19" s="2269" t="s">
        <v>112</v>
      </c>
      <c r="G19" s="2270" t="s">
        <v>112</v>
      </c>
      <c r="H19" s="2269" t="s">
        <v>117</v>
      </c>
      <c r="I19" s="2270" t="s">
        <v>112</v>
      </c>
      <c r="J19" s="2269" t="s">
        <v>113</v>
      </c>
      <c r="K19" s="2270" t="s">
        <v>112</v>
      </c>
      <c r="L19" s="2269" t="s">
        <v>112</v>
      </c>
      <c r="M19" s="2269" t="s">
        <v>112</v>
      </c>
      <c r="N19" s="2270" t="s">
        <v>112</v>
      </c>
      <c r="O19" s="2270" t="s">
        <v>112</v>
      </c>
      <c r="P19" s="2269" t="s">
        <v>112</v>
      </c>
      <c r="Q19" s="2269" t="s">
        <v>112</v>
      </c>
      <c r="R19" s="2270" t="s">
        <v>112</v>
      </c>
      <c r="S19" s="2270" t="s">
        <v>113</v>
      </c>
      <c r="T19" s="2269" t="s">
        <v>113</v>
      </c>
      <c r="U19" s="2270" t="s">
        <v>113</v>
      </c>
      <c r="V19" s="2269" t="s">
        <v>109</v>
      </c>
      <c r="W19" s="2269" t="s">
        <v>110</v>
      </c>
      <c r="X19" s="2269" t="s">
        <v>110</v>
      </c>
      <c r="Y19" s="2269" t="s">
        <v>109</v>
      </c>
      <c r="Z19" s="2270" t="s">
        <v>110</v>
      </c>
      <c r="AA19" s="2269" t="s">
        <v>119</v>
      </c>
      <c r="AB19" s="2269" t="s">
        <v>119</v>
      </c>
      <c r="AC19" s="2269" t="s">
        <v>119</v>
      </c>
      <c r="AD19" s="2269" t="s">
        <v>119</v>
      </c>
      <c r="AE19" s="2440" t="s">
        <v>119</v>
      </c>
      <c r="AF19" s="2270" t="s">
        <v>119</v>
      </c>
      <c r="AG19" s="2451" t="s">
        <v>119</v>
      </c>
    </row>
    <row r="20" ht="18.75" customHeight="1">
      <c r="A20" s="147"/>
      <c r="B20" s="115"/>
      <c r="C20" s="2565" t="s">
        <v>1285</v>
      </c>
      <c r="D20" s="2269" t="s">
        <v>113</v>
      </c>
      <c r="E20" s="2269" t="s">
        <v>113</v>
      </c>
      <c r="F20" s="2269" t="s">
        <v>112</v>
      </c>
      <c r="G20" s="2270" t="s">
        <v>112</v>
      </c>
      <c r="H20" s="2269" t="s">
        <v>117</v>
      </c>
      <c r="I20" s="2270" t="s">
        <v>112</v>
      </c>
      <c r="J20" s="2269" t="s">
        <v>113</v>
      </c>
      <c r="K20" s="2270" t="s">
        <v>112</v>
      </c>
      <c r="L20" s="2269" t="s">
        <v>112</v>
      </c>
      <c r="M20" s="2269" t="s">
        <v>112</v>
      </c>
      <c r="N20" s="2270" t="s">
        <v>112</v>
      </c>
      <c r="O20" s="2270" t="s">
        <v>112</v>
      </c>
      <c r="P20" s="2269" t="s">
        <v>112</v>
      </c>
      <c r="Q20" s="2269" t="s">
        <v>112</v>
      </c>
      <c r="R20" s="2270" t="s">
        <v>112</v>
      </c>
      <c r="S20" s="2270" t="s">
        <v>113</v>
      </c>
      <c r="T20" s="2269" t="s">
        <v>113</v>
      </c>
      <c r="U20" s="2270" t="s">
        <v>113</v>
      </c>
      <c r="V20" s="2269" t="s">
        <v>109</v>
      </c>
      <c r="W20" s="2269" t="s">
        <v>110</v>
      </c>
      <c r="X20" s="2269" t="s">
        <v>110</v>
      </c>
      <c r="Y20" s="2269" t="s">
        <v>109</v>
      </c>
      <c r="Z20" s="2270" t="s">
        <v>110</v>
      </c>
      <c r="AA20" s="2269" t="s">
        <v>110</v>
      </c>
      <c r="AB20" s="2269" t="s">
        <v>109</v>
      </c>
      <c r="AC20" s="2269" t="s">
        <v>110</v>
      </c>
      <c r="AD20" s="2269" t="s">
        <v>110</v>
      </c>
      <c r="AE20" s="2440" t="s">
        <v>110</v>
      </c>
      <c r="AF20" s="2270" t="s">
        <v>110</v>
      </c>
      <c r="AG20" s="2269" t="s">
        <v>110</v>
      </c>
    </row>
    <row r="21" ht="18.75" customHeight="1">
      <c r="A21" s="147"/>
      <c r="B21" s="115"/>
      <c r="C21" s="2564" t="s">
        <v>148</v>
      </c>
      <c r="D21" s="2269" t="s">
        <v>113</v>
      </c>
      <c r="E21" s="2269" t="s">
        <v>113</v>
      </c>
      <c r="F21" s="2269" t="s">
        <v>112</v>
      </c>
      <c r="G21" s="2270" t="s">
        <v>112</v>
      </c>
      <c r="H21" s="2269" t="s">
        <v>117</v>
      </c>
      <c r="I21" s="2270" t="s">
        <v>112</v>
      </c>
      <c r="J21" s="2269" t="s">
        <v>113</v>
      </c>
      <c r="K21" s="2270" t="s">
        <v>112</v>
      </c>
      <c r="L21" s="2269" t="s">
        <v>112</v>
      </c>
      <c r="M21" s="2269" t="s">
        <v>112</v>
      </c>
      <c r="N21" s="2270" t="s">
        <v>112</v>
      </c>
      <c r="O21" s="2270" t="s">
        <v>112</v>
      </c>
      <c r="P21" s="2269" t="s">
        <v>112</v>
      </c>
      <c r="Q21" s="2269" t="s">
        <v>112</v>
      </c>
      <c r="R21" s="2270" t="s">
        <v>112</v>
      </c>
      <c r="S21" s="2270" t="s">
        <v>113</v>
      </c>
      <c r="T21" s="2269" t="s">
        <v>113</v>
      </c>
      <c r="U21" s="2270" t="s">
        <v>113</v>
      </c>
      <c r="V21" s="2269" t="s">
        <v>109</v>
      </c>
      <c r="W21" s="2269" t="s">
        <v>110</v>
      </c>
      <c r="X21" s="2269" t="s">
        <v>110</v>
      </c>
      <c r="Y21" s="2269" t="s">
        <v>109</v>
      </c>
      <c r="Z21" s="2270" t="s">
        <v>110</v>
      </c>
      <c r="AA21" s="2269" t="s">
        <v>110</v>
      </c>
      <c r="AB21" s="2269" t="s">
        <v>109</v>
      </c>
      <c r="AC21" s="2269" t="s">
        <v>117</v>
      </c>
      <c r="AD21" s="2269" t="s">
        <v>110</v>
      </c>
      <c r="AE21" s="2440" t="s">
        <v>110</v>
      </c>
      <c r="AF21" s="2270" t="s">
        <v>110</v>
      </c>
      <c r="AG21" s="2269" t="s">
        <v>110</v>
      </c>
    </row>
    <row r="22" ht="18.75" customHeight="1">
      <c r="A22" s="147"/>
      <c r="B22" s="115"/>
      <c r="C22" s="2620" t="s">
        <v>1288</v>
      </c>
      <c r="D22" s="2269" t="s">
        <v>113</v>
      </c>
      <c r="E22" s="2269" t="s">
        <v>113</v>
      </c>
      <c r="F22" s="2269" t="s">
        <v>112</v>
      </c>
      <c r="G22" s="2270" t="s">
        <v>112</v>
      </c>
      <c r="H22" s="2269" t="s">
        <v>117</v>
      </c>
      <c r="I22" s="2270" t="s">
        <v>112</v>
      </c>
      <c r="J22" s="2451" t="s">
        <v>119</v>
      </c>
      <c r="K22" s="2452" t="s">
        <v>119</v>
      </c>
      <c r="L22" s="2451" t="s">
        <v>119</v>
      </c>
      <c r="M22" s="2451" t="s">
        <v>119</v>
      </c>
      <c r="N22" s="2452" t="s">
        <v>119</v>
      </c>
      <c r="O22" s="2452" t="s">
        <v>119</v>
      </c>
      <c r="P22" s="2451" t="s">
        <v>119</v>
      </c>
      <c r="Q22" s="2451" t="s">
        <v>119</v>
      </c>
      <c r="R22" s="2452" t="s">
        <v>119</v>
      </c>
      <c r="S22" s="2452" t="s">
        <v>119</v>
      </c>
      <c r="T22" s="2277" t="s">
        <v>119</v>
      </c>
      <c r="U22" s="2452" t="s">
        <v>119</v>
      </c>
      <c r="V22" s="2451" t="s">
        <v>119</v>
      </c>
      <c r="W22" s="2451" t="s">
        <v>119</v>
      </c>
      <c r="X22" s="2451" t="s">
        <v>119</v>
      </c>
      <c r="Y22" s="2451" t="s">
        <v>119</v>
      </c>
      <c r="Z22" s="2452" t="s">
        <v>119</v>
      </c>
      <c r="AA22" s="2451" t="s">
        <v>119</v>
      </c>
      <c r="AB22" s="2451" t="s">
        <v>119</v>
      </c>
      <c r="AC22" s="2451" t="s">
        <v>119</v>
      </c>
      <c r="AD22" s="2451" t="s">
        <v>119</v>
      </c>
      <c r="AE22" s="2541" t="s">
        <v>119</v>
      </c>
      <c r="AF22" s="2452" t="s">
        <v>119</v>
      </c>
      <c r="AG22" s="2451" t="s">
        <v>119</v>
      </c>
    </row>
    <row r="23" ht="18.75" customHeight="1">
      <c r="A23" s="147"/>
      <c r="B23" s="115"/>
      <c r="C23" s="2565" t="s">
        <v>1802</v>
      </c>
      <c r="D23" s="2451" t="s">
        <v>119</v>
      </c>
      <c r="E23" s="2451" t="s">
        <v>119</v>
      </c>
      <c r="F23" s="2451" t="s">
        <v>119</v>
      </c>
      <c r="G23" s="2452" t="s">
        <v>119</v>
      </c>
      <c r="H23" s="2451" t="s">
        <v>119</v>
      </c>
      <c r="I23" s="2452" t="s">
        <v>119</v>
      </c>
      <c r="J23" s="2269" t="s">
        <v>113</v>
      </c>
      <c r="K23" s="2270" t="s">
        <v>112</v>
      </c>
      <c r="L23" s="2269" t="s">
        <v>112</v>
      </c>
      <c r="M23" s="2269" t="s">
        <v>112</v>
      </c>
      <c r="N23" s="2270" t="s">
        <v>112</v>
      </c>
      <c r="O23" s="2270" t="s">
        <v>112</v>
      </c>
      <c r="P23" s="2269" t="s">
        <v>112</v>
      </c>
      <c r="Q23" s="2269" t="s">
        <v>112</v>
      </c>
      <c r="R23" s="2270" t="s">
        <v>112</v>
      </c>
      <c r="S23" s="2270" t="s">
        <v>113</v>
      </c>
      <c r="T23" s="2269" t="s">
        <v>113</v>
      </c>
      <c r="U23" s="2270" t="s">
        <v>113</v>
      </c>
      <c r="V23" s="2269" t="s">
        <v>109</v>
      </c>
      <c r="W23" s="2269" t="s">
        <v>110</v>
      </c>
      <c r="X23" s="2269" t="s">
        <v>110</v>
      </c>
      <c r="Y23" s="2269" t="s">
        <v>109</v>
      </c>
      <c r="Z23" s="2270" t="s">
        <v>110</v>
      </c>
      <c r="AA23" s="2269" t="s">
        <v>110</v>
      </c>
      <c r="AB23" s="2269" t="s">
        <v>109</v>
      </c>
      <c r="AC23" s="2269" t="s">
        <v>110</v>
      </c>
      <c r="AD23" s="2269" t="s">
        <v>110</v>
      </c>
      <c r="AE23" s="2440" t="s">
        <v>110</v>
      </c>
      <c r="AF23" s="2270" t="s">
        <v>110</v>
      </c>
      <c r="AG23" s="2269" t="s">
        <v>110</v>
      </c>
    </row>
    <row r="24" ht="18.75" customHeight="1">
      <c r="A24" s="147"/>
      <c r="B24" s="115"/>
      <c r="C24" s="2565" t="s">
        <v>16</v>
      </c>
      <c r="D24" s="2451" t="s">
        <v>119</v>
      </c>
      <c r="E24" s="2451" t="s">
        <v>119</v>
      </c>
      <c r="F24" s="2451" t="s">
        <v>119</v>
      </c>
      <c r="G24" s="2452" t="s">
        <v>119</v>
      </c>
      <c r="H24" s="2451" t="s">
        <v>119</v>
      </c>
      <c r="I24" s="2452" t="s">
        <v>119</v>
      </c>
      <c r="J24" s="2451" t="s">
        <v>119</v>
      </c>
      <c r="K24" s="2452" t="s">
        <v>119</v>
      </c>
      <c r="L24" s="2451" t="s">
        <v>119</v>
      </c>
      <c r="M24" s="2451" t="s">
        <v>119</v>
      </c>
      <c r="N24" s="2452" t="s">
        <v>119</v>
      </c>
      <c r="O24" s="2452" t="s">
        <v>119</v>
      </c>
      <c r="P24" s="2451" t="s">
        <v>119</v>
      </c>
      <c r="Q24" s="2451" t="s">
        <v>119</v>
      </c>
      <c r="R24" s="2270" t="s">
        <v>119</v>
      </c>
      <c r="S24" s="2270" t="s">
        <v>119</v>
      </c>
      <c r="T24" s="2269" t="s">
        <v>119</v>
      </c>
      <c r="U24" s="2270" t="s">
        <v>119</v>
      </c>
      <c r="V24" s="2269" t="s">
        <v>119</v>
      </c>
      <c r="W24" s="2269" t="s">
        <v>119</v>
      </c>
      <c r="X24" s="2269" t="s">
        <v>119</v>
      </c>
      <c r="Y24" s="2269" t="s">
        <v>119</v>
      </c>
      <c r="Z24" s="2270" t="s">
        <v>119</v>
      </c>
      <c r="AA24" s="2269" t="s">
        <v>110</v>
      </c>
      <c r="AB24" s="2269" t="s">
        <v>109</v>
      </c>
      <c r="AC24" s="2269" t="s">
        <v>110</v>
      </c>
      <c r="AD24" s="2269" t="s">
        <v>110</v>
      </c>
      <c r="AE24" s="2440" t="s">
        <v>110</v>
      </c>
      <c r="AF24" s="2270" t="s">
        <v>110</v>
      </c>
      <c r="AG24" s="2269" t="s">
        <v>110</v>
      </c>
    </row>
    <row r="25" ht="18.75" customHeight="1">
      <c r="A25" s="147"/>
      <c r="B25" s="2621" t="s">
        <v>522</v>
      </c>
      <c r="C25" s="2622" t="s">
        <v>1295</v>
      </c>
      <c r="D25" s="2269" t="s">
        <v>113</v>
      </c>
      <c r="E25" s="2269" t="s">
        <v>113</v>
      </c>
      <c r="F25" s="2269" t="s">
        <v>113</v>
      </c>
      <c r="G25" s="2270" t="s">
        <v>112</v>
      </c>
      <c r="H25" s="2269" t="s">
        <v>112</v>
      </c>
      <c r="I25" s="2270" t="s">
        <v>112</v>
      </c>
      <c r="J25" s="2269" t="s">
        <v>108</v>
      </c>
      <c r="K25" s="2270" t="s">
        <v>108</v>
      </c>
      <c r="L25" s="2269" t="s">
        <v>108</v>
      </c>
      <c r="M25" s="2269" t="s">
        <v>108</v>
      </c>
      <c r="N25" s="2270" t="s">
        <v>108</v>
      </c>
      <c r="O25" s="2270" t="s">
        <v>108</v>
      </c>
      <c r="P25" s="2451" t="s">
        <v>119</v>
      </c>
      <c r="Q25" s="2451" t="s">
        <v>119</v>
      </c>
      <c r="R25" s="2452" t="s">
        <v>119</v>
      </c>
      <c r="S25" s="2452" t="s">
        <v>119</v>
      </c>
      <c r="T25" s="2277" t="s">
        <v>119</v>
      </c>
      <c r="U25" s="2452" t="s">
        <v>119</v>
      </c>
      <c r="V25" s="2451" t="s">
        <v>119</v>
      </c>
      <c r="W25" s="2451" t="s">
        <v>119</v>
      </c>
      <c r="X25" s="2451" t="s">
        <v>119</v>
      </c>
      <c r="Y25" s="2451" t="s">
        <v>119</v>
      </c>
      <c r="Z25" s="2452" t="s">
        <v>119</v>
      </c>
      <c r="AA25" s="2451" t="s">
        <v>119</v>
      </c>
      <c r="AB25" s="2451" t="s">
        <v>119</v>
      </c>
      <c r="AC25" s="2451" t="s">
        <v>119</v>
      </c>
      <c r="AD25" s="2451" t="s">
        <v>119</v>
      </c>
      <c r="AE25" s="2541" t="s">
        <v>119</v>
      </c>
      <c r="AF25" s="2452" t="s">
        <v>119</v>
      </c>
      <c r="AG25" s="2451" t="s">
        <v>119</v>
      </c>
    </row>
    <row r="26" ht="18.75" customHeight="1">
      <c r="A26" s="147"/>
      <c r="B26" s="115"/>
      <c r="C26" s="2623" t="s">
        <v>397</v>
      </c>
      <c r="D26" s="2451" t="s">
        <v>119</v>
      </c>
      <c r="E26" s="2451" t="s">
        <v>119</v>
      </c>
      <c r="F26" s="2451" t="s">
        <v>119</v>
      </c>
      <c r="G26" s="2452" t="s">
        <v>119</v>
      </c>
      <c r="H26" s="2451" t="s">
        <v>119</v>
      </c>
      <c r="I26" s="2452" t="s">
        <v>119</v>
      </c>
      <c r="J26" s="2451" t="s">
        <v>119</v>
      </c>
      <c r="K26" s="2452" t="s">
        <v>119</v>
      </c>
      <c r="L26" s="2451" t="s">
        <v>119</v>
      </c>
      <c r="M26" s="2451" t="s">
        <v>119</v>
      </c>
      <c r="N26" s="2452" t="s">
        <v>119</v>
      </c>
      <c r="O26" s="2452" t="s">
        <v>119</v>
      </c>
      <c r="P26" s="2269" t="s">
        <v>112</v>
      </c>
      <c r="Q26" s="2269" t="s">
        <v>112</v>
      </c>
      <c r="R26" s="2270" t="s">
        <v>113</v>
      </c>
      <c r="S26" s="2270" t="s">
        <v>113</v>
      </c>
      <c r="T26" s="2608" t="s">
        <v>112</v>
      </c>
      <c r="U26" s="2609" t="s">
        <v>112</v>
      </c>
      <c r="V26" s="2269" t="s">
        <v>109</v>
      </c>
      <c r="W26" s="2269" t="s">
        <v>110</v>
      </c>
      <c r="X26" s="2269" t="s">
        <v>110</v>
      </c>
      <c r="Y26" s="2269" t="s">
        <v>109</v>
      </c>
      <c r="Z26" s="2270" t="s">
        <v>110</v>
      </c>
      <c r="AA26" s="2269" t="s">
        <v>110</v>
      </c>
      <c r="AB26" s="2269" t="s">
        <v>109</v>
      </c>
      <c r="AC26" s="2269" t="s">
        <v>110</v>
      </c>
      <c r="AD26" s="2269" t="s">
        <v>110</v>
      </c>
      <c r="AE26" s="2440" t="s">
        <v>110</v>
      </c>
      <c r="AF26" s="2270" t="s">
        <v>109</v>
      </c>
      <c r="AG26" s="2269" t="s">
        <v>109</v>
      </c>
    </row>
    <row r="27" ht="18.75" customHeight="1">
      <c r="A27" s="147"/>
      <c r="B27" s="115"/>
      <c r="C27" s="2624" t="s">
        <v>107</v>
      </c>
      <c r="D27" s="2269" t="s">
        <v>113</v>
      </c>
      <c r="E27" s="2269" t="s">
        <v>113</v>
      </c>
      <c r="F27" s="2269" t="s">
        <v>113</v>
      </c>
      <c r="G27" s="2270" t="s">
        <v>112</v>
      </c>
      <c r="H27" s="2269" t="s">
        <v>112</v>
      </c>
      <c r="I27" s="2270" t="s">
        <v>112</v>
      </c>
      <c r="J27" s="2269" t="s">
        <v>113</v>
      </c>
      <c r="K27" s="2270" t="s">
        <v>112</v>
      </c>
      <c r="L27" s="2269" t="s">
        <v>112</v>
      </c>
      <c r="M27" s="2269" t="s">
        <v>112</v>
      </c>
      <c r="N27" s="2270" t="s">
        <v>112</v>
      </c>
      <c r="O27" s="2270" t="s">
        <v>112</v>
      </c>
      <c r="P27" s="2269" t="s">
        <v>112</v>
      </c>
      <c r="Q27" s="2269" t="s">
        <v>112</v>
      </c>
      <c r="R27" s="2270" t="s">
        <v>117</v>
      </c>
      <c r="S27" s="2270" t="s">
        <v>113</v>
      </c>
      <c r="T27" s="2269" t="s">
        <v>108</v>
      </c>
      <c r="U27" s="2270" t="s">
        <v>108</v>
      </c>
      <c r="V27" s="2269" t="s">
        <v>108</v>
      </c>
      <c r="W27" s="2269" t="s">
        <v>108</v>
      </c>
      <c r="X27" s="2269" t="s">
        <v>108</v>
      </c>
      <c r="Y27" s="2269" t="s">
        <v>108</v>
      </c>
      <c r="Z27" s="2270" t="s">
        <v>108</v>
      </c>
      <c r="AA27" s="2269" t="s">
        <v>108</v>
      </c>
      <c r="AB27" s="2269" t="s">
        <v>108</v>
      </c>
      <c r="AC27" s="2269" t="s">
        <v>108</v>
      </c>
      <c r="AD27" s="2269" t="s">
        <v>108</v>
      </c>
      <c r="AE27" s="2440" t="s">
        <v>110</v>
      </c>
      <c r="AF27" s="2270" t="s">
        <v>110</v>
      </c>
      <c r="AG27" s="2269" t="s">
        <v>109</v>
      </c>
    </row>
    <row r="28" ht="18.75" customHeight="1">
      <c r="A28" s="147"/>
      <c r="B28" s="115"/>
      <c r="C28" s="2625" t="s">
        <v>507</v>
      </c>
      <c r="D28" s="2269" t="s">
        <v>113</v>
      </c>
      <c r="E28" s="2269" t="s">
        <v>113</v>
      </c>
      <c r="F28" s="2269" t="s">
        <v>113</v>
      </c>
      <c r="G28" s="2270" t="s">
        <v>112</v>
      </c>
      <c r="H28" s="2269" t="s">
        <v>108</v>
      </c>
      <c r="I28" s="2270" t="s">
        <v>108</v>
      </c>
      <c r="J28" s="2451" t="s">
        <v>119</v>
      </c>
      <c r="K28" s="2452" t="s">
        <v>119</v>
      </c>
      <c r="L28" s="2451" t="s">
        <v>119</v>
      </c>
      <c r="M28" s="2451" t="s">
        <v>119</v>
      </c>
      <c r="N28" s="2452" t="s">
        <v>119</v>
      </c>
      <c r="O28" s="2452" t="s">
        <v>119</v>
      </c>
      <c r="P28" s="2451" t="s">
        <v>119</v>
      </c>
      <c r="Q28" s="2451" t="s">
        <v>119</v>
      </c>
      <c r="R28" s="2452" t="s">
        <v>119</v>
      </c>
      <c r="S28" s="2452" t="s">
        <v>119</v>
      </c>
      <c r="T28" s="2277" t="s">
        <v>119</v>
      </c>
      <c r="U28" s="2452" t="s">
        <v>119</v>
      </c>
      <c r="V28" s="2451" t="s">
        <v>119</v>
      </c>
      <c r="W28" s="2451" t="s">
        <v>119</v>
      </c>
      <c r="X28" s="2451" t="s">
        <v>119</v>
      </c>
      <c r="Y28" s="2451" t="s">
        <v>119</v>
      </c>
      <c r="Z28" s="2452" t="s">
        <v>119</v>
      </c>
      <c r="AA28" s="2451" t="s">
        <v>119</v>
      </c>
      <c r="AB28" s="2451" t="s">
        <v>119</v>
      </c>
      <c r="AC28" s="2451" t="s">
        <v>119</v>
      </c>
      <c r="AD28" s="2451" t="s">
        <v>119</v>
      </c>
      <c r="AE28" s="2541" t="s">
        <v>119</v>
      </c>
      <c r="AF28" s="2452" t="s">
        <v>119</v>
      </c>
      <c r="AG28" s="2451" t="s">
        <v>119</v>
      </c>
    </row>
    <row r="29" ht="18.75" customHeight="1">
      <c r="A29" s="147"/>
      <c r="B29" s="115"/>
      <c r="C29" s="2626" t="s">
        <v>118</v>
      </c>
      <c r="D29" s="2269" t="s">
        <v>113</v>
      </c>
      <c r="E29" s="2269" t="s">
        <v>113</v>
      </c>
      <c r="F29" s="2269" t="s">
        <v>113</v>
      </c>
      <c r="G29" s="2270" t="s">
        <v>112</v>
      </c>
      <c r="H29" s="2269" t="s">
        <v>108</v>
      </c>
      <c r="I29" s="2270" t="s">
        <v>108</v>
      </c>
      <c r="J29" s="2269" t="s">
        <v>113</v>
      </c>
      <c r="K29" s="2270" t="s">
        <v>112</v>
      </c>
      <c r="L29" s="2269" t="s">
        <v>112</v>
      </c>
      <c r="M29" s="2269" t="s">
        <v>112</v>
      </c>
      <c r="N29" s="2270" t="s">
        <v>112</v>
      </c>
      <c r="O29" s="2270" t="s">
        <v>112</v>
      </c>
      <c r="P29" s="2269" t="s">
        <v>112</v>
      </c>
      <c r="Q29" s="2269" t="s">
        <v>112</v>
      </c>
      <c r="R29" s="2270" t="s">
        <v>117</v>
      </c>
      <c r="S29" s="2270" t="s">
        <v>108</v>
      </c>
      <c r="T29" s="2269" t="s">
        <v>112</v>
      </c>
      <c r="U29" s="2270" t="s">
        <v>117</v>
      </c>
      <c r="V29" s="2269" t="s">
        <v>109</v>
      </c>
      <c r="W29" s="2269" t="s">
        <v>110</v>
      </c>
      <c r="X29" s="2269" t="s">
        <v>110</v>
      </c>
      <c r="Y29" s="2269" t="s">
        <v>109</v>
      </c>
      <c r="Z29" s="2270" t="s">
        <v>110</v>
      </c>
      <c r="AA29" s="2269" t="s">
        <v>110</v>
      </c>
      <c r="AB29" s="2269" t="s">
        <v>117</v>
      </c>
      <c r="AC29" s="2269" t="s">
        <v>110</v>
      </c>
      <c r="AD29" s="2269" t="s">
        <v>110</v>
      </c>
      <c r="AE29" s="2440" t="s">
        <v>108</v>
      </c>
      <c r="AF29" s="2270" t="s">
        <v>108</v>
      </c>
      <c r="AG29" s="2269" t="s">
        <v>108</v>
      </c>
    </row>
    <row r="30" ht="18.75" customHeight="1">
      <c r="A30" s="159"/>
      <c r="B30" s="115"/>
      <c r="C30" s="2627" t="s">
        <v>1803</v>
      </c>
      <c r="D30" s="2451" t="s">
        <v>119</v>
      </c>
      <c r="E30" s="2451" t="s">
        <v>119</v>
      </c>
      <c r="F30" s="2451" t="s">
        <v>119</v>
      </c>
      <c r="G30" s="2452" t="s">
        <v>119</v>
      </c>
      <c r="H30" s="2451" t="s">
        <v>119</v>
      </c>
      <c r="I30" s="2452" t="s">
        <v>119</v>
      </c>
      <c r="J30" s="2269" t="s">
        <v>112</v>
      </c>
      <c r="K30" s="2270" t="s">
        <v>112</v>
      </c>
      <c r="L30" s="2269" t="s">
        <v>112</v>
      </c>
      <c r="M30" s="2269" t="s">
        <v>112</v>
      </c>
      <c r="N30" s="2270" t="s">
        <v>112</v>
      </c>
      <c r="O30" s="2270" t="s">
        <v>112</v>
      </c>
      <c r="P30" s="2269" t="s">
        <v>112</v>
      </c>
      <c r="Q30" s="2269" t="s">
        <v>112</v>
      </c>
      <c r="R30" s="2270" t="s">
        <v>113</v>
      </c>
      <c r="S30" s="2270" t="s">
        <v>112</v>
      </c>
      <c r="T30" s="2608" t="s">
        <v>112</v>
      </c>
      <c r="U30" s="2609" t="s">
        <v>112</v>
      </c>
      <c r="V30" s="2269" t="s">
        <v>108</v>
      </c>
      <c r="W30" s="2269" t="s">
        <v>108</v>
      </c>
      <c r="X30" s="2269" t="s">
        <v>108</v>
      </c>
      <c r="Y30" s="2269" t="s">
        <v>108</v>
      </c>
      <c r="Z30" s="2270" t="s">
        <v>108</v>
      </c>
      <c r="AA30" s="2269" t="s">
        <v>108</v>
      </c>
      <c r="AB30" s="2269" t="s">
        <v>108</v>
      </c>
      <c r="AC30" s="2269" t="s">
        <v>108</v>
      </c>
      <c r="AD30" s="2269" t="s">
        <v>108</v>
      </c>
      <c r="AE30" s="2440" t="s">
        <v>108</v>
      </c>
      <c r="AF30" s="2270" t="s">
        <v>108</v>
      </c>
      <c r="AG30" s="2269" t="s">
        <v>108</v>
      </c>
    </row>
    <row r="31" ht="6.0" customHeight="1">
      <c r="A31" s="2300"/>
      <c r="B31" s="2301"/>
      <c r="C31" s="2560"/>
      <c r="D31" s="2591" t="str">
        <f t="shared" ref="D31:AG31" si="1">LINKURL(D5)</f>
        <v>https://www.reddit.com/r/RMTK/comments/9uhc7u/</v>
      </c>
      <c r="E31" s="2591" t="str">
        <f t="shared" si="1"/>
        <v>https://www.reddit.com/r/RMTK/comments/9v3mni</v>
      </c>
      <c r="F31" s="2591" t="str">
        <f t="shared" si="1"/>
        <v>https://www.reddit.com/r/RMTK/comments/9vbs93</v>
      </c>
      <c r="G31" s="2628" t="str">
        <f t="shared" si="1"/>
        <v>https://www.reddit.com/r/RMTK/comments/9uriq3</v>
      </c>
      <c r="H31" s="2591" t="str">
        <f t="shared" si="1"/>
        <v>https://www.reddit.com/r/RMTK/comments/9xaw30</v>
      </c>
      <c r="I31" s="2628" t="str">
        <f t="shared" si="1"/>
        <v>https://www.reddit.com/r/RMTK/comments/9uriq3</v>
      </c>
      <c r="J31" s="2591" t="str">
        <f t="shared" si="1"/>
        <v>https://reddit.com/r/RMTK/comments/9yb2l5</v>
      </c>
      <c r="K31" s="2628" t="str">
        <f t="shared" si="1"/>
        <v>https://reddit.com/r/RMTK/comments/9yw1yh/</v>
      </c>
      <c r="L31" s="2591" t="str">
        <f t="shared" si="1"/>
        <v>https://www.reddit.com/r/RMTK/comments/a0hbsz/</v>
      </c>
      <c r="M31" s="2591" t="str">
        <f t="shared" si="1"/>
        <v>https://reddit.com/r/RMTK/comments/a157uw/</v>
      </c>
      <c r="N31" s="2628" t="str">
        <f t="shared" si="1"/>
        <v>https://www.reddit.com/r/RMTK/comments/a1lug6/</v>
      </c>
      <c r="O31" s="2628" t="str">
        <f t="shared" si="1"/>
        <v>https://www.reddit.com/r/RMTK/comments/a3evk8/</v>
      </c>
      <c r="P31" s="2591" t="str">
        <f t="shared" si="1"/>
        <v>https://www.reddit.com/r/RMTK/comments/a0wpec/</v>
      </c>
      <c r="Q31" s="2591" t="str">
        <f t="shared" si="1"/>
        <v>https://reddit.com/r/RMTK/comments/a4kfpa</v>
      </c>
      <c r="R31" s="2628" t="str">
        <f t="shared" si="1"/>
        <v>https://reddit.com/r/RMTK/comments/a4x47a</v>
      </c>
      <c r="S31" s="2628" t="str">
        <f t="shared" si="1"/>
        <v>https://reddit.com/r/RMTK/comments/a6yip8</v>
      </c>
      <c r="T31" s="2591" t="str">
        <f t="shared" si="1"/>
        <v>https://reddit.com/r/RMTK/comments/a7lfim</v>
      </c>
      <c r="U31" s="2628" t="str">
        <f t="shared" si="1"/>
        <v>https://reddit.com/r/RMTK/comments/a9e3yl</v>
      </c>
      <c r="V31" s="2591" t="str">
        <f t="shared" si="1"/>
        <v>https://reddit.com/r/RMTK/comments/abmvb8</v>
      </c>
      <c r="W31" s="2591" t="str">
        <f t="shared" si="1"/>
        <v>https://reddit.com/r/RMTK/comments/abwerm</v>
      </c>
      <c r="X31" s="2591" t="str">
        <f t="shared" si="1"/>
        <v>https://reddit.com/r/RMTK/comments/acgtkp</v>
      </c>
      <c r="Y31" s="2591" t="str">
        <f t="shared" si="1"/>
        <v>https://reddit.com/r/RMTK/comments/acl9yo</v>
      </c>
      <c r="Z31" s="2628" t="str">
        <f t="shared" si="1"/>
        <v>https://reddit.com/r/RMTK/comments/acy21s</v>
      </c>
      <c r="AA31" s="2591" t="str">
        <f t="shared" si="1"/>
        <v>https://reddit.com/r/RMTK/comments/adl4nh</v>
      </c>
      <c r="AB31" s="2591" t="str">
        <f t="shared" si="1"/>
        <v>https://reddit.com/r/RMTK/comments/ae7cyz</v>
      </c>
      <c r="AC31" s="2591" t="str">
        <f t="shared" si="1"/>
        <v>https://reddit.com/r/RMTK/comments/aeu8iv</v>
      </c>
      <c r="AD31" s="2591" t="str">
        <f t="shared" si="1"/>
        <v>https://reddit.com/r/RMTK/comments/aehqrq</v>
      </c>
      <c r="AE31" s="2591" t="str">
        <f t="shared" si="1"/>
        <v>https://reddit.com/r/RMTK/comments/agckzr</v>
      </c>
      <c r="AF31" s="2628" t="str">
        <f t="shared" si="1"/>
        <v>https://reddit.com/r/RMTK/comments/agz1n5</v>
      </c>
      <c r="AG31" s="2591" t="str">
        <f t="shared" si="1"/>
        <v>https://reddit.com/r/RMTK/comments/aiejgc</v>
      </c>
    </row>
    <row r="32" ht="18.75" customHeight="1">
      <c r="A32" s="2307" t="s">
        <v>1804</v>
      </c>
      <c r="B32" s="2629" t="s">
        <v>520</v>
      </c>
      <c r="C32" s="2630" t="s">
        <v>378</v>
      </c>
      <c r="D32" s="2269" t="s">
        <v>112</v>
      </c>
      <c r="E32" s="2269" t="s">
        <v>112</v>
      </c>
      <c r="F32" s="2269" t="s">
        <v>112</v>
      </c>
      <c r="G32" s="2270" t="s">
        <v>112</v>
      </c>
      <c r="H32" s="2269" t="s">
        <v>112</v>
      </c>
      <c r="I32" s="2270" t="s">
        <v>113</v>
      </c>
      <c r="J32" s="2269" t="s">
        <v>112</v>
      </c>
      <c r="K32" s="2270" t="s">
        <v>112</v>
      </c>
      <c r="L32" s="2269" t="s">
        <v>112</v>
      </c>
      <c r="M32" s="2269" t="s">
        <v>112</v>
      </c>
      <c r="N32" s="2270" t="s">
        <v>112</v>
      </c>
      <c r="O32" s="2270" t="s">
        <v>112</v>
      </c>
      <c r="P32" s="2269" t="s">
        <v>112</v>
      </c>
      <c r="Q32" s="2269" t="s">
        <v>112</v>
      </c>
      <c r="R32" s="2270" t="s">
        <v>112</v>
      </c>
      <c r="S32" s="2270" t="s">
        <v>112</v>
      </c>
      <c r="T32" s="2608" t="s">
        <v>112</v>
      </c>
      <c r="U32" s="2609" t="s">
        <v>112</v>
      </c>
      <c r="V32" s="2269" t="s">
        <v>119</v>
      </c>
      <c r="W32" s="2269" t="s">
        <v>119</v>
      </c>
      <c r="X32" s="2269" t="s">
        <v>119</v>
      </c>
      <c r="Y32" s="2269" t="s">
        <v>119</v>
      </c>
      <c r="Z32" s="2270" t="s">
        <v>119</v>
      </c>
      <c r="AA32" s="2451" t="s">
        <v>119</v>
      </c>
      <c r="AB32" s="2451" t="s">
        <v>119</v>
      </c>
      <c r="AC32" s="2451" t="s">
        <v>119</v>
      </c>
      <c r="AD32" s="2451" t="s">
        <v>119</v>
      </c>
      <c r="AE32" s="2440" t="s">
        <v>119</v>
      </c>
      <c r="AF32" s="2452" t="s">
        <v>119</v>
      </c>
      <c r="AG32" s="2451" t="s">
        <v>119</v>
      </c>
    </row>
    <row r="33" ht="18.75" customHeight="1">
      <c r="A33" s="147"/>
      <c r="B33" s="115"/>
      <c r="C33" s="2631" t="s">
        <v>122</v>
      </c>
      <c r="D33" s="2269" t="s">
        <v>119</v>
      </c>
      <c r="E33" s="2269" t="s">
        <v>119</v>
      </c>
      <c r="F33" s="2269" t="s">
        <v>119</v>
      </c>
      <c r="G33" s="2270" t="s">
        <v>119</v>
      </c>
      <c r="H33" s="2269" t="s">
        <v>119</v>
      </c>
      <c r="I33" s="2270" t="s">
        <v>119</v>
      </c>
      <c r="J33" s="2269" t="s">
        <v>119</v>
      </c>
      <c r="K33" s="2270" t="s">
        <v>119</v>
      </c>
      <c r="L33" s="2269" t="s">
        <v>119</v>
      </c>
      <c r="M33" s="2269" t="s">
        <v>119</v>
      </c>
      <c r="N33" s="2270" t="s">
        <v>119</v>
      </c>
      <c r="O33" s="2270" t="s">
        <v>119</v>
      </c>
      <c r="P33" s="2269" t="s">
        <v>119</v>
      </c>
      <c r="Q33" s="2269" t="s">
        <v>119</v>
      </c>
      <c r="R33" s="2270" t="s">
        <v>119</v>
      </c>
      <c r="S33" s="2270" t="s">
        <v>119</v>
      </c>
      <c r="T33" s="2269" t="s">
        <v>119</v>
      </c>
      <c r="U33" s="2270" t="s">
        <v>119</v>
      </c>
      <c r="V33" s="2269" t="s">
        <v>109</v>
      </c>
      <c r="W33" s="2269" t="s">
        <v>110</v>
      </c>
      <c r="X33" s="2269" t="s">
        <v>110</v>
      </c>
      <c r="Y33" s="2269" t="s">
        <v>110</v>
      </c>
      <c r="Z33" s="2270" t="s">
        <v>110</v>
      </c>
      <c r="AA33" s="2269" t="s">
        <v>110</v>
      </c>
      <c r="AB33" s="2269" t="s">
        <v>110</v>
      </c>
      <c r="AC33" s="2269" t="s">
        <v>110</v>
      </c>
      <c r="AD33" s="2269" t="s">
        <v>110</v>
      </c>
      <c r="AE33" s="2440" t="s">
        <v>110</v>
      </c>
      <c r="AF33" s="2270" t="s">
        <v>109</v>
      </c>
      <c r="AG33" s="2269" t="s">
        <v>109</v>
      </c>
    </row>
    <row r="34" ht="18.75" customHeight="1">
      <c r="A34" s="147"/>
      <c r="B34" s="115"/>
      <c r="C34" s="2632" t="s">
        <v>1290</v>
      </c>
      <c r="D34" s="2269" t="s">
        <v>112</v>
      </c>
      <c r="E34" s="2269" t="s">
        <v>113</v>
      </c>
      <c r="F34" s="2269" t="s">
        <v>112</v>
      </c>
      <c r="G34" s="2270" t="s">
        <v>112</v>
      </c>
      <c r="H34" s="2269" t="s">
        <v>112</v>
      </c>
      <c r="I34" s="2270" t="s">
        <v>113</v>
      </c>
      <c r="J34" s="2269" t="s">
        <v>112</v>
      </c>
      <c r="K34" s="2270" t="s">
        <v>113</v>
      </c>
      <c r="L34" s="2269" t="s">
        <v>112</v>
      </c>
      <c r="M34" s="2269" t="s">
        <v>112</v>
      </c>
      <c r="N34" s="2270" t="s">
        <v>112</v>
      </c>
      <c r="O34" s="2270" t="s">
        <v>112</v>
      </c>
      <c r="P34" s="2269" t="s">
        <v>112</v>
      </c>
      <c r="Q34" s="2269" t="s">
        <v>112</v>
      </c>
      <c r="R34" s="2270" t="s">
        <v>113</v>
      </c>
      <c r="S34" s="2270" t="s">
        <v>119</v>
      </c>
      <c r="T34" s="2269" t="s">
        <v>119</v>
      </c>
      <c r="U34" s="2270" t="s">
        <v>119</v>
      </c>
      <c r="V34" s="2269" t="s">
        <v>119</v>
      </c>
      <c r="W34" s="2269" t="s">
        <v>119</v>
      </c>
      <c r="X34" s="2269" t="s">
        <v>119</v>
      </c>
      <c r="Y34" s="2269" t="s">
        <v>119</v>
      </c>
      <c r="Z34" s="2270" t="s">
        <v>119</v>
      </c>
      <c r="AA34" s="2451" t="s">
        <v>119</v>
      </c>
      <c r="AB34" s="2451" t="s">
        <v>119</v>
      </c>
      <c r="AC34" s="2451" t="s">
        <v>119</v>
      </c>
      <c r="AD34" s="2451" t="s">
        <v>119</v>
      </c>
      <c r="AE34" s="2440" t="s">
        <v>119</v>
      </c>
      <c r="AF34" s="2452" t="s">
        <v>119</v>
      </c>
      <c r="AG34" s="2451" t="s">
        <v>119</v>
      </c>
    </row>
    <row r="35" ht="18.75" customHeight="1">
      <c r="A35" s="147"/>
      <c r="B35" s="115"/>
      <c r="C35" s="2633" t="s">
        <v>578</v>
      </c>
      <c r="D35" s="2269" t="s">
        <v>119</v>
      </c>
      <c r="E35" s="2269" t="s">
        <v>119</v>
      </c>
      <c r="F35" s="2269" t="s">
        <v>119</v>
      </c>
      <c r="G35" s="2270" t="s">
        <v>119</v>
      </c>
      <c r="H35" s="2269" t="s">
        <v>119</v>
      </c>
      <c r="I35" s="2270" t="s">
        <v>119</v>
      </c>
      <c r="J35" s="2269" t="s">
        <v>119</v>
      </c>
      <c r="K35" s="2270" t="s">
        <v>119</v>
      </c>
      <c r="L35" s="2269" t="s">
        <v>119</v>
      </c>
      <c r="M35" s="2269" t="s">
        <v>119</v>
      </c>
      <c r="N35" s="2270" t="s">
        <v>119</v>
      </c>
      <c r="O35" s="2270" t="s">
        <v>119</v>
      </c>
      <c r="P35" s="2269" t="s">
        <v>119</v>
      </c>
      <c r="Q35" s="2269" t="s">
        <v>119</v>
      </c>
      <c r="R35" s="2270" t="s">
        <v>119</v>
      </c>
      <c r="S35" s="2270" t="s">
        <v>112</v>
      </c>
      <c r="T35" s="2269" t="s">
        <v>112</v>
      </c>
      <c r="U35" s="2270" t="s">
        <v>112</v>
      </c>
      <c r="V35" s="2269" t="s">
        <v>109</v>
      </c>
      <c r="W35" s="2269" t="s">
        <v>110</v>
      </c>
      <c r="X35" s="2269" t="s">
        <v>110</v>
      </c>
      <c r="Y35" s="2269" t="s">
        <v>110</v>
      </c>
      <c r="Z35" s="2270" t="s">
        <v>110</v>
      </c>
      <c r="AA35" s="2269" t="s">
        <v>110</v>
      </c>
      <c r="AB35" s="2269" t="s">
        <v>110</v>
      </c>
      <c r="AC35" s="2269" t="s">
        <v>110</v>
      </c>
      <c r="AD35" s="2269" t="s">
        <v>110</v>
      </c>
      <c r="AE35" s="2440" t="s">
        <v>110</v>
      </c>
      <c r="AF35" s="2270" t="s">
        <v>109</v>
      </c>
      <c r="AG35" s="2269" t="s">
        <v>110</v>
      </c>
    </row>
    <row r="36" ht="18.75" customHeight="1">
      <c r="A36" s="147"/>
      <c r="B36" s="115"/>
      <c r="C36" s="2633" t="s">
        <v>120</v>
      </c>
      <c r="D36" s="2269" t="s">
        <v>112</v>
      </c>
      <c r="E36" s="2269" t="s">
        <v>112</v>
      </c>
      <c r="F36" s="2269" t="s">
        <v>112</v>
      </c>
      <c r="G36" s="2270" t="s">
        <v>112</v>
      </c>
      <c r="H36" s="2269" t="s">
        <v>112</v>
      </c>
      <c r="I36" s="2270" t="s">
        <v>113</v>
      </c>
      <c r="J36" s="2269" t="s">
        <v>112</v>
      </c>
      <c r="K36" s="2270" t="s">
        <v>112</v>
      </c>
      <c r="L36" s="2269" t="s">
        <v>112</v>
      </c>
      <c r="M36" s="2269" t="s">
        <v>112</v>
      </c>
      <c r="N36" s="2270" t="s">
        <v>112</v>
      </c>
      <c r="O36" s="2270" t="s">
        <v>112</v>
      </c>
      <c r="P36" s="2269" t="s">
        <v>112</v>
      </c>
      <c r="Q36" s="2269" t="s">
        <v>112</v>
      </c>
      <c r="R36" s="2270" t="s">
        <v>113</v>
      </c>
      <c r="S36" s="2270" t="s">
        <v>112</v>
      </c>
      <c r="T36" s="2269" t="s">
        <v>112</v>
      </c>
      <c r="U36" s="2270" t="s">
        <v>112</v>
      </c>
      <c r="V36" s="2269" t="s">
        <v>109</v>
      </c>
      <c r="W36" s="2269" t="s">
        <v>109</v>
      </c>
      <c r="X36" s="2269" t="s">
        <v>110</v>
      </c>
      <c r="Y36" s="2269" t="s">
        <v>110</v>
      </c>
      <c r="Z36" s="2270" t="s">
        <v>110</v>
      </c>
      <c r="AA36" s="2269" t="s">
        <v>110</v>
      </c>
      <c r="AB36" s="2269" t="s">
        <v>110</v>
      </c>
      <c r="AC36" s="2269" t="s">
        <v>110</v>
      </c>
      <c r="AD36" s="2269" t="s">
        <v>110</v>
      </c>
      <c r="AE36" s="2440" t="s">
        <v>110</v>
      </c>
      <c r="AF36" s="2270" t="s">
        <v>109</v>
      </c>
      <c r="AG36" s="2269" t="s">
        <v>110</v>
      </c>
    </row>
    <row r="37" ht="18.75" customHeight="1">
      <c r="A37" s="147"/>
      <c r="B37" s="115"/>
      <c r="C37" s="2633" t="s">
        <v>116</v>
      </c>
      <c r="D37" s="2269" t="s">
        <v>112</v>
      </c>
      <c r="E37" s="2269" t="s">
        <v>112</v>
      </c>
      <c r="F37" s="2269" t="s">
        <v>112</v>
      </c>
      <c r="G37" s="2270" t="s">
        <v>112</v>
      </c>
      <c r="H37" s="2269" t="s">
        <v>112</v>
      </c>
      <c r="I37" s="2270" t="s">
        <v>113</v>
      </c>
      <c r="J37" s="2269" t="s">
        <v>112</v>
      </c>
      <c r="K37" s="2270" t="s">
        <v>112</v>
      </c>
      <c r="L37" s="2269" t="s">
        <v>112</v>
      </c>
      <c r="M37" s="2269" t="s">
        <v>112</v>
      </c>
      <c r="N37" s="2270" t="s">
        <v>112</v>
      </c>
      <c r="O37" s="2270" t="s">
        <v>112</v>
      </c>
      <c r="P37" s="2269" t="s">
        <v>112</v>
      </c>
      <c r="Q37" s="2269" t="s">
        <v>112</v>
      </c>
      <c r="R37" s="2270" t="s">
        <v>112</v>
      </c>
      <c r="S37" s="2270" t="s">
        <v>112</v>
      </c>
      <c r="T37" s="2269" t="s">
        <v>112</v>
      </c>
      <c r="U37" s="2270" t="s">
        <v>112</v>
      </c>
      <c r="V37" s="2269" t="s">
        <v>109</v>
      </c>
      <c r="W37" s="2269" t="s">
        <v>109</v>
      </c>
      <c r="X37" s="2269" t="s">
        <v>110</v>
      </c>
      <c r="Y37" s="2269" t="s">
        <v>110</v>
      </c>
      <c r="Z37" s="2270" t="s">
        <v>110</v>
      </c>
      <c r="AA37" s="2269" t="s">
        <v>110</v>
      </c>
      <c r="AB37" s="2269" t="s">
        <v>110</v>
      </c>
      <c r="AC37" s="2269" t="s">
        <v>110</v>
      </c>
      <c r="AD37" s="2269" t="s">
        <v>110</v>
      </c>
      <c r="AE37" s="2440" t="s">
        <v>110</v>
      </c>
      <c r="AF37" s="2270" t="s">
        <v>109</v>
      </c>
      <c r="AG37" s="2269" t="s">
        <v>110</v>
      </c>
    </row>
    <row r="38" ht="18.75" customHeight="1">
      <c r="A38" s="147"/>
      <c r="B38" s="2634" t="s">
        <v>524</v>
      </c>
      <c r="C38" s="2635" t="s">
        <v>155</v>
      </c>
      <c r="D38" s="2451" t="s">
        <v>119</v>
      </c>
      <c r="E38" s="2451" t="s">
        <v>119</v>
      </c>
      <c r="F38" s="2451" t="s">
        <v>119</v>
      </c>
      <c r="G38" s="2452" t="s">
        <v>119</v>
      </c>
      <c r="H38" s="2451" t="s">
        <v>119</v>
      </c>
      <c r="I38" s="2452" t="s">
        <v>119</v>
      </c>
      <c r="J38" s="2451" t="s">
        <v>119</v>
      </c>
      <c r="K38" s="2452" t="s">
        <v>119</v>
      </c>
      <c r="L38" s="2451" t="s">
        <v>119</v>
      </c>
      <c r="M38" s="2451" t="s">
        <v>119</v>
      </c>
      <c r="N38" s="2452" t="s">
        <v>119</v>
      </c>
      <c r="O38" s="2452" t="s">
        <v>119</v>
      </c>
      <c r="P38" s="2451" t="s">
        <v>119</v>
      </c>
      <c r="Q38" s="2451" t="s">
        <v>119</v>
      </c>
      <c r="R38" s="2452" t="s">
        <v>119</v>
      </c>
      <c r="S38" s="2452" t="s">
        <v>119</v>
      </c>
      <c r="T38" s="2451" t="s">
        <v>119</v>
      </c>
      <c r="U38" s="2452" t="s">
        <v>119</v>
      </c>
      <c r="V38" s="2451" t="s">
        <v>119</v>
      </c>
      <c r="W38" s="2451" t="s">
        <v>119</v>
      </c>
      <c r="X38" s="2451" t="s">
        <v>119</v>
      </c>
      <c r="Y38" s="2451" t="s">
        <v>119</v>
      </c>
      <c r="Z38" s="2452" t="s">
        <v>119</v>
      </c>
      <c r="AA38" s="2451" t="s">
        <v>119</v>
      </c>
      <c r="AB38" s="2451" t="s">
        <v>119</v>
      </c>
      <c r="AC38" s="2451" t="s">
        <v>119</v>
      </c>
      <c r="AD38" s="2451" t="s">
        <v>119</v>
      </c>
      <c r="AE38" s="2440" t="s">
        <v>110</v>
      </c>
      <c r="AF38" s="2270" t="s">
        <v>109</v>
      </c>
      <c r="AG38" s="2269" t="s">
        <v>110</v>
      </c>
    </row>
    <row r="39" ht="18.75" customHeight="1">
      <c r="A39" s="147"/>
      <c r="B39" s="115"/>
      <c r="C39" s="2636" t="s">
        <v>525</v>
      </c>
      <c r="D39" s="2269" t="s">
        <v>112</v>
      </c>
      <c r="E39" s="2269" t="s">
        <v>112</v>
      </c>
      <c r="F39" s="2269" t="s">
        <v>113</v>
      </c>
      <c r="G39" s="2270" t="s">
        <v>112</v>
      </c>
      <c r="H39" s="2269" t="s">
        <v>112</v>
      </c>
      <c r="I39" s="2270" t="s">
        <v>113</v>
      </c>
      <c r="J39" s="2269" t="s">
        <v>108</v>
      </c>
      <c r="K39" s="2270" t="s">
        <v>108</v>
      </c>
      <c r="L39" s="2269" t="s">
        <v>112</v>
      </c>
      <c r="M39" s="2269" t="s">
        <v>112</v>
      </c>
      <c r="N39" s="2270" t="s">
        <v>112</v>
      </c>
      <c r="O39" s="2270" t="s">
        <v>112</v>
      </c>
      <c r="P39" s="2269" t="s">
        <v>113</v>
      </c>
      <c r="Q39" s="2269" t="s">
        <v>112</v>
      </c>
      <c r="R39" s="2270" t="s">
        <v>113</v>
      </c>
      <c r="S39" s="2270" t="s">
        <v>112</v>
      </c>
      <c r="T39" s="2269" t="s">
        <v>113</v>
      </c>
      <c r="U39" s="2270" t="s">
        <v>112</v>
      </c>
      <c r="V39" s="2269" t="s">
        <v>110</v>
      </c>
      <c r="W39" s="2269" t="s">
        <v>109</v>
      </c>
      <c r="X39" s="2269" t="s">
        <v>110</v>
      </c>
      <c r="Y39" s="2269" t="s">
        <v>117</v>
      </c>
      <c r="Z39" s="2270" t="s">
        <v>110</v>
      </c>
      <c r="AA39" s="2269" t="s">
        <v>110</v>
      </c>
      <c r="AB39" s="2269" t="s">
        <v>110</v>
      </c>
      <c r="AC39" s="2269" t="s">
        <v>110</v>
      </c>
      <c r="AD39" s="2269" t="s">
        <v>109</v>
      </c>
      <c r="AE39" s="2541" t="s">
        <v>119</v>
      </c>
      <c r="AF39" s="2452" t="s">
        <v>119</v>
      </c>
      <c r="AG39" s="2451" t="s">
        <v>119</v>
      </c>
    </row>
    <row r="40" ht="18.75" customHeight="1">
      <c r="A40" s="147"/>
      <c r="B40" s="115"/>
      <c r="C40" s="2568" t="s">
        <v>1297</v>
      </c>
      <c r="D40" s="2269" t="s">
        <v>112</v>
      </c>
      <c r="E40" s="2269" t="s">
        <v>112</v>
      </c>
      <c r="F40" s="2269" t="s">
        <v>113</v>
      </c>
      <c r="G40" s="2270" t="s">
        <v>112</v>
      </c>
      <c r="H40" s="2637" t="s">
        <v>112</v>
      </c>
      <c r="I40" s="2638" t="s">
        <v>113</v>
      </c>
      <c r="J40" s="2269" t="s">
        <v>108</v>
      </c>
      <c r="K40" s="2270" t="s">
        <v>108</v>
      </c>
      <c r="L40" s="2269" t="s">
        <v>112</v>
      </c>
      <c r="M40" s="2269" t="s">
        <v>112</v>
      </c>
      <c r="N40" s="2270" t="s">
        <v>112</v>
      </c>
      <c r="O40" s="2270" t="s">
        <v>112</v>
      </c>
      <c r="P40" s="2269" t="s">
        <v>113</v>
      </c>
      <c r="Q40" s="2269" t="s">
        <v>112</v>
      </c>
      <c r="R40" s="2270" t="s">
        <v>113</v>
      </c>
      <c r="S40" s="2270" t="s">
        <v>112</v>
      </c>
      <c r="T40" s="2269" t="s">
        <v>113</v>
      </c>
      <c r="U40" s="2270" t="s">
        <v>112</v>
      </c>
      <c r="V40" s="2269" t="s">
        <v>110</v>
      </c>
      <c r="W40" s="2269" t="s">
        <v>117</v>
      </c>
      <c r="X40" s="2269" t="s">
        <v>110</v>
      </c>
      <c r="Y40" s="2269" t="s">
        <v>117</v>
      </c>
      <c r="Z40" s="2270" t="s">
        <v>110</v>
      </c>
      <c r="AA40" s="2269" t="s">
        <v>110</v>
      </c>
      <c r="AB40" s="2269" t="s">
        <v>110</v>
      </c>
      <c r="AC40" s="2269" t="s">
        <v>110</v>
      </c>
      <c r="AD40" s="2269" t="s">
        <v>109</v>
      </c>
      <c r="AE40" s="2440" t="s">
        <v>108</v>
      </c>
      <c r="AF40" s="2270" t="s">
        <v>108</v>
      </c>
      <c r="AG40" s="2269" t="s">
        <v>110</v>
      </c>
    </row>
    <row r="41" ht="18.75" customHeight="1">
      <c r="A41" s="147"/>
      <c r="B41" s="115"/>
      <c r="C41" s="2568" t="s">
        <v>299</v>
      </c>
      <c r="D41" s="2269" t="s">
        <v>112</v>
      </c>
      <c r="E41" s="2269" t="s">
        <v>112</v>
      </c>
      <c r="F41" s="2269" t="s">
        <v>113</v>
      </c>
      <c r="G41" s="2270" t="s">
        <v>112</v>
      </c>
      <c r="H41" s="2269" t="s">
        <v>112</v>
      </c>
      <c r="I41" s="2270" t="s">
        <v>113</v>
      </c>
      <c r="J41" s="2269" t="s">
        <v>112</v>
      </c>
      <c r="K41" s="2270" t="s">
        <v>112</v>
      </c>
      <c r="L41" s="2269" t="s">
        <v>112</v>
      </c>
      <c r="M41" s="2269" t="s">
        <v>112</v>
      </c>
      <c r="N41" s="2270" t="s">
        <v>112</v>
      </c>
      <c r="O41" s="2270" t="s">
        <v>112</v>
      </c>
      <c r="P41" s="2269" t="s">
        <v>113</v>
      </c>
      <c r="Q41" s="2269" t="s">
        <v>112</v>
      </c>
      <c r="R41" s="2270" t="s">
        <v>112</v>
      </c>
      <c r="S41" s="2270" t="s">
        <v>112</v>
      </c>
      <c r="T41" s="2274" t="s">
        <v>108</v>
      </c>
      <c r="U41" s="2270" t="s">
        <v>108</v>
      </c>
      <c r="V41" s="2269" t="s">
        <v>110</v>
      </c>
      <c r="W41" s="2269" t="s">
        <v>109</v>
      </c>
      <c r="X41" s="2269" t="s">
        <v>110</v>
      </c>
      <c r="Y41" s="2269" t="s">
        <v>109</v>
      </c>
      <c r="Z41" s="2270" t="s">
        <v>110</v>
      </c>
      <c r="AA41" s="2269" t="s">
        <v>108</v>
      </c>
      <c r="AB41" s="2269" t="s">
        <v>108</v>
      </c>
      <c r="AC41" s="2269" t="s">
        <v>108</v>
      </c>
      <c r="AD41" s="2269" t="s">
        <v>108</v>
      </c>
      <c r="AE41" s="2440" t="s">
        <v>108</v>
      </c>
      <c r="AF41" s="2270" t="s">
        <v>108</v>
      </c>
      <c r="AG41" s="2269" t="s">
        <v>110</v>
      </c>
    </row>
    <row r="42" ht="18.75" customHeight="1">
      <c r="A42" s="147"/>
      <c r="B42" s="2639" t="s">
        <v>526</v>
      </c>
      <c r="C42" s="2570" t="s">
        <v>527</v>
      </c>
      <c r="D42" s="2269" t="s">
        <v>113</v>
      </c>
      <c r="E42" s="2269" t="s">
        <v>113</v>
      </c>
      <c r="F42" s="2269" t="s">
        <v>110</v>
      </c>
      <c r="G42" s="2270" t="s">
        <v>110</v>
      </c>
      <c r="H42" s="2269" t="s">
        <v>113</v>
      </c>
      <c r="I42" s="2270" t="s">
        <v>112</v>
      </c>
      <c r="J42" s="2269" t="s">
        <v>108</v>
      </c>
      <c r="K42" s="2270" t="s">
        <v>108</v>
      </c>
      <c r="L42" s="2269" t="s">
        <v>108</v>
      </c>
      <c r="M42" s="2269" t="s">
        <v>108</v>
      </c>
      <c r="N42" s="2270" t="s">
        <v>108</v>
      </c>
      <c r="O42" s="2270" t="s">
        <v>113</v>
      </c>
      <c r="P42" s="2269" t="s">
        <v>108</v>
      </c>
      <c r="Q42" s="2269" t="s">
        <v>108</v>
      </c>
      <c r="R42" s="2270" t="s">
        <v>108</v>
      </c>
      <c r="S42" s="2270" t="s">
        <v>113</v>
      </c>
      <c r="T42" s="2274" t="s">
        <v>108</v>
      </c>
      <c r="U42" s="2270" t="s">
        <v>108</v>
      </c>
      <c r="V42" s="2269" t="s">
        <v>108</v>
      </c>
      <c r="W42" s="2269" t="s">
        <v>108</v>
      </c>
      <c r="X42" s="2269" t="s">
        <v>108</v>
      </c>
      <c r="Y42" s="2269" t="s">
        <v>108</v>
      </c>
      <c r="Z42" s="2270" t="s">
        <v>108</v>
      </c>
      <c r="AA42" s="2269" t="s">
        <v>108</v>
      </c>
      <c r="AB42" s="2269" t="s">
        <v>108</v>
      </c>
      <c r="AC42" s="2269" t="s">
        <v>108</v>
      </c>
      <c r="AD42" s="2269" t="s">
        <v>108</v>
      </c>
      <c r="AE42" s="2440" t="s">
        <v>108</v>
      </c>
      <c r="AF42" s="2270" t="s">
        <v>108</v>
      </c>
      <c r="AG42" s="2269" t="s">
        <v>108</v>
      </c>
    </row>
    <row r="43" ht="18.75" customHeight="1">
      <c r="A43" s="147"/>
      <c r="B43" s="115"/>
      <c r="C43" s="2571" t="s">
        <v>605</v>
      </c>
      <c r="D43" s="2269" t="s">
        <v>112</v>
      </c>
      <c r="E43" s="2269" t="s">
        <v>113</v>
      </c>
      <c r="F43" s="2269" t="s">
        <v>113</v>
      </c>
      <c r="G43" s="2270" t="s">
        <v>113</v>
      </c>
      <c r="H43" s="2269" t="s">
        <v>113</v>
      </c>
      <c r="I43" s="2270" t="s">
        <v>113</v>
      </c>
      <c r="J43" s="2269" t="s">
        <v>108</v>
      </c>
      <c r="K43" s="2270" t="s">
        <v>108</v>
      </c>
      <c r="L43" s="2269" t="s">
        <v>113</v>
      </c>
      <c r="M43" s="2269" t="s">
        <v>113</v>
      </c>
      <c r="N43" s="2270" t="s">
        <v>113</v>
      </c>
      <c r="O43" s="2270" t="s">
        <v>113</v>
      </c>
      <c r="P43" s="2269" t="s">
        <v>113</v>
      </c>
      <c r="Q43" s="2269" t="s">
        <v>113</v>
      </c>
      <c r="R43" s="2270" t="s">
        <v>113</v>
      </c>
      <c r="S43" s="2270" t="s">
        <v>112</v>
      </c>
      <c r="T43" s="2269" t="s">
        <v>113</v>
      </c>
      <c r="U43" s="2270" t="s">
        <v>113</v>
      </c>
      <c r="V43" s="2269" t="s">
        <v>109</v>
      </c>
      <c r="W43" s="2269" t="s">
        <v>109</v>
      </c>
      <c r="X43" s="2269" t="s">
        <v>109</v>
      </c>
      <c r="Y43" s="2269" t="s">
        <v>109</v>
      </c>
      <c r="Z43" s="2270" t="s">
        <v>109</v>
      </c>
      <c r="AA43" s="2269" t="s">
        <v>108</v>
      </c>
      <c r="AB43" s="2269" t="s">
        <v>108</v>
      </c>
      <c r="AC43" s="2269" t="s">
        <v>108</v>
      </c>
      <c r="AD43" s="2269" t="s">
        <v>108</v>
      </c>
      <c r="AE43" s="2440" t="s">
        <v>109</v>
      </c>
      <c r="AF43" s="2270" t="s">
        <v>109</v>
      </c>
      <c r="AG43" s="2269" t="s">
        <v>108</v>
      </c>
    </row>
    <row r="44" ht="18.75" customHeight="1">
      <c r="A44" s="147"/>
      <c r="B44" s="115"/>
      <c r="C44" s="2571" t="s">
        <v>1299</v>
      </c>
      <c r="D44" s="2269" t="s">
        <v>112</v>
      </c>
      <c r="E44" s="2269" t="s">
        <v>112</v>
      </c>
      <c r="F44" s="2269" t="s">
        <v>112</v>
      </c>
      <c r="G44" s="2270" t="s">
        <v>113</v>
      </c>
      <c r="H44" s="2269" t="s">
        <v>112</v>
      </c>
      <c r="I44" s="2270" t="s">
        <v>113</v>
      </c>
      <c r="J44" s="2269" t="s">
        <v>112</v>
      </c>
      <c r="K44" s="2270" t="s">
        <v>113</v>
      </c>
      <c r="L44" s="2269" t="s">
        <v>112</v>
      </c>
      <c r="M44" s="2269" t="s">
        <v>112</v>
      </c>
      <c r="N44" s="2270" t="s">
        <v>113</v>
      </c>
      <c r="O44" s="2270" t="s">
        <v>113</v>
      </c>
      <c r="P44" s="2269" t="s">
        <v>113</v>
      </c>
      <c r="Q44" s="2269" t="s">
        <v>112</v>
      </c>
      <c r="R44" s="2270" t="s">
        <v>113</v>
      </c>
      <c r="S44" s="2270" t="s">
        <v>113</v>
      </c>
      <c r="T44" s="2269" t="s">
        <v>113</v>
      </c>
      <c r="U44" s="2270" t="s">
        <v>112</v>
      </c>
      <c r="V44" s="2269" t="s">
        <v>113</v>
      </c>
      <c r="W44" s="2269" t="s">
        <v>113</v>
      </c>
      <c r="X44" s="2269" t="s">
        <v>113</v>
      </c>
      <c r="Y44" s="2269" t="s">
        <v>112</v>
      </c>
      <c r="Z44" s="2270" t="s">
        <v>113</v>
      </c>
      <c r="AA44" s="2269" t="s">
        <v>109</v>
      </c>
      <c r="AB44" s="2269" t="s">
        <v>109</v>
      </c>
      <c r="AC44" s="2269" t="s">
        <v>109</v>
      </c>
      <c r="AD44" s="2269" t="s">
        <v>109</v>
      </c>
      <c r="AE44" s="2440" t="s">
        <v>108</v>
      </c>
      <c r="AF44" s="2270" t="s">
        <v>108</v>
      </c>
      <c r="AG44" s="2269" t="s">
        <v>108</v>
      </c>
    </row>
    <row r="45" ht="18.75" customHeight="1">
      <c r="A45" s="147"/>
      <c r="B45" s="2640" t="s">
        <v>528</v>
      </c>
      <c r="C45" s="2641" t="s">
        <v>529</v>
      </c>
      <c r="D45" s="2269" t="s">
        <v>112</v>
      </c>
      <c r="E45" s="2269" t="s">
        <v>112</v>
      </c>
      <c r="F45" s="2269" t="s">
        <v>113</v>
      </c>
      <c r="G45" s="2270" t="s">
        <v>112</v>
      </c>
      <c r="H45" s="2269" t="s">
        <v>112</v>
      </c>
      <c r="I45" s="2270" t="s">
        <v>113</v>
      </c>
      <c r="J45" s="2269" t="s">
        <v>117</v>
      </c>
      <c r="K45" s="2270" t="s">
        <v>112</v>
      </c>
      <c r="L45" s="2269" t="s">
        <v>112</v>
      </c>
      <c r="M45" s="2269" t="s">
        <v>113</v>
      </c>
      <c r="N45" s="2270" t="s">
        <v>113</v>
      </c>
      <c r="O45" s="2270" t="s">
        <v>119</v>
      </c>
      <c r="P45" s="2269" t="s">
        <v>119</v>
      </c>
      <c r="Q45" s="2269" t="s">
        <v>119</v>
      </c>
      <c r="R45" s="2270" t="s">
        <v>119</v>
      </c>
      <c r="S45" s="2270" t="s">
        <v>119</v>
      </c>
      <c r="T45" s="2277" t="s">
        <v>119</v>
      </c>
      <c r="U45" s="2270" t="s">
        <v>119</v>
      </c>
      <c r="V45" s="2269" t="s">
        <v>119</v>
      </c>
      <c r="W45" s="2269" t="s">
        <v>119</v>
      </c>
      <c r="X45" s="2269" t="s">
        <v>119</v>
      </c>
      <c r="Y45" s="2269" t="s">
        <v>119</v>
      </c>
      <c r="Z45" s="2270" t="s">
        <v>119</v>
      </c>
      <c r="AA45" s="2451" t="s">
        <v>119</v>
      </c>
      <c r="AB45" s="2451" t="s">
        <v>119</v>
      </c>
      <c r="AC45" s="2451" t="s">
        <v>119</v>
      </c>
      <c r="AD45" s="2451" t="s">
        <v>119</v>
      </c>
      <c r="AE45" s="2440" t="s">
        <v>119</v>
      </c>
      <c r="AF45" s="2452" t="s">
        <v>119</v>
      </c>
      <c r="AG45" s="2451" t="s">
        <v>119</v>
      </c>
    </row>
    <row r="46" ht="18.75" customHeight="1">
      <c r="A46" s="147"/>
      <c r="B46" s="115"/>
      <c r="C46" s="2642" t="s">
        <v>1201</v>
      </c>
      <c r="D46" s="2269" t="s">
        <v>119</v>
      </c>
      <c r="E46" s="2269" t="s">
        <v>119</v>
      </c>
      <c r="F46" s="2269" t="s">
        <v>119</v>
      </c>
      <c r="G46" s="2270" t="s">
        <v>119</v>
      </c>
      <c r="H46" s="2269" t="s">
        <v>119</v>
      </c>
      <c r="I46" s="2270" t="s">
        <v>119</v>
      </c>
      <c r="J46" s="2269" t="s">
        <v>119</v>
      </c>
      <c r="K46" s="2270" t="s">
        <v>119</v>
      </c>
      <c r="L46" s="2269" t="s">
        <v>119</v>
      </c>
      <c r="M46" s="2269" t="s">
        <v>119</v>
      </c>
      <c r="N46" s="2270" t="s">
        <v>119</v>
      </c>
      <c r="O46" s="2270" t="s">
        <v>112</v>
      </c>
      <c r="P46" s="2269" t="s">
        <v>113</v>
      </c>
      <c r="Q46" s="2269" t="s">
        <v>112</v>
      </c>
      <c r="R46" s="2270" t="s">
        <v>113</v>
      </c>
      <c r="S46" s="2270" t="s">
        <v>112</v>
      </c>
      <c r="T46" s="2608" t="s">
        <v>112</v>
      </c>
      <c r="U46" s="2609" t="s">
        <v>112</v>
      </c>
      <c r="V46" s="2269" t="s">
        <v>110</v>
      </c>
      <c r="W46" s="2269" t="s">
        <v>109</v>
      </c>
      <c r="X46" s="2269" t="s">
        <v>110</v>
      </c>
      <c r="Y46" s="2269" t="s">
        <v>109</v>
      </c>
      <c r="Z46" s="2270" t="s">
        <v>109</v>
      </c>
      <c r="AA46" s="2269" t="s">
        <v>108</v>
      </c>
      <c r="AB46" s="2269" t="s">
        <v>108</v>
      </c>
      <c r="AC46" s="2269" t="s">
        <v>108</v>
      </c>
      <c r="AD46" s="2269" t="s">
        <v>108</v>
      </c>
      <c r="AE46" s="2440" t="s">
        <v>108</v>
      </c>
      <c r="AF46" s="2270" t="s">
        <v>108</v>
      </c>
      <c r="AG46" s="2269" t="s">
        <v>108</v>
      </c>
    </row>
    <row r="47" ht="18.75" customHeight="1">
      <c r="A47" s="147"/>
      <c r="B47" s="115"/>
      <c r="C47" s="2574" t="s">
        <v>1304</v>
      </c>
      <c r="D47" s="2269" t="s">
        <v>112</v>
      </c>
      <c r="E47" s="2269" t="s">
        <v>112</v>
      </c>
      <c r="F47" s="2269" t="s">
        <v>113</v>
      </c>
      <c r="G47" s="2270" t="s">
        <v>112</v>
      </c>
      <c r="H47" s="2269" t="s">
        <v>112</v>
      </c>
      <c r="I47" s="2270" t="s">
        <v>113</v>
      </c>
      <c r="J47" s="2269" t="s">
        <v>112</v>
      </c>
      <c r="K47" s="2270" t="s">
        <v>117</v>
      </c>
      <c r="L47" s="2269" t="s">
        <v>108</v>
      </c>
      <c r="M47" s="2269" t="s">
        <v>108</v>
      </c>
      <c r="N47" s="2270" t="s">
        <v>108</v>
      </c>
      <c r="O47" s="2270" t="s">
        <v>112</v>
      </c>
      <c r="P47" s="2269" t="s">
        <v>113</v>
      </c>
      <c r="Q47" s="2269" t="s">
        <v>112</v>
      </c>
      <c r="R47" s="2270" t="s">
        <v>113</v>
      </c>
      <c r="S47" s="2270" t="s">
        <v>112</v>
      </c>
      <c r="T47" s="2269" t="s">
        <v>112</v>
      </c>
      <c r="U47" s="2270" t="s">
        <v>112</v>
      </c>
      <c r="V47" s="2269" t="s">
        <v>110</v>
      </c>
      <c r="W47" s="2269" t="s">
        <v>109</v>
      </c>
      <c r="X47" s="2269" t="s">
        <v>110</v>
      </c>
      <c r="Y47" s="2269" t="s">
        <v>109</v>
      </c>
      <c r="Z47" s="2270" t="s">
        <v>109</v>
      </c>
      <c r="AA47" s="2269" t="s">
        <v>108</v>
      </c>
      <c r="AB47" s="2269" t="s">
        <v>108</v>
      </c>
      <c r="AC47" s="2269" t="s">
        <v>108</v>
      </c>
      <c r="AD47" s="2269" t="s">
        <v>108</v>
      </c>
      <c r="AE47" s="2440" t="s">
        <v>117</v>
      </c>
      <c r="AF47" s="2270" t="s">
        <v>109</v>
      </c>
      <c r="AG47" s="2269" t="s">
        <v>110</v>
      </c>
    </row>
    <row r="48" ht="18.75" customHeight="1">
      <c r="A48" s="147"/>
      <c r="B48" s="115"/>
      <c r="C48" s="2641" t="s">
        <v>1306</v>
      </c>
      <c r="D48" s="2269" t="s">
        <v>112</v>
      </c>
      <c r="E48" s="2269" t="s">
        <v>112</v>
      </c>
      <c r="F48" s="2269" t="s">
        <v>113</v>
      </c>
      <c r="G48" s="2270" t="s">
        <v>112</v>
      </c>
      <c r="H48" s="2269" t="s">
        <v>112</v>
      </c>
      <c r="I48" s="2270" t="s">
        <v>113</v>
      </c>
      <c r="J48" s="2451" t="s">
        <v>119</v>
      </c>
      <c r="K48" s="2452" t="s">
        <v>119</v>
      </c>
      <c r="L48" s="2451" t="s">
        <v>119</v>
      </c>
      <c r="M48" s="2451" t="s">
        <v>119</v>
      </c>
      <c r="N48" s="2452" t="s">
        <v>119</v>
      </c>
      <c r="O48" s="2452" t="s">
        <v>119</v>
      </c>
      <c r="P48" s="2451" t="s">
        <v>119</v>
      </c>
      <c r="Q48" s="2451" t="s">
        <v>119</v>
      </c>
      <c r="R48" s="2452" t="s">
        <v>119</v>
      </c>
      <c r="S48" s="2452" t="s">
        <v>119</v>
      </c>
      <c r="T48" s="2277" t="s">
        <v>119</v>
      </c>
      <c r="U48" s="2452" t="s">
        <v>119</v>
      </c>
      <c r="V48" s="2451" t="s">
        <v>119</v>
      </c>
      <c r="W48" s="2269" t="s">
        <v>119</v>
      </c>
      <c r="X48" s="2269" t="s">
        <v>119</v>
      </c>
      <c r="Y48" s="2269" t="s">
        <v>119</v>
      </c>
      <c r="Z48" s="2270" t="s">
        <v>119</v>
      </c>
      <c r="AA48" s="2451" t="s">
        <v>119</v>
      </c>
      <c r="AB48" s="2451" t="s">
        <v>119</v>
      </c>
      <c r="AC48" s="2451" t="s">
        <v>119</v>
      </c>
      <c r="AD48" s="2451" t="s">
        <v>119</v>
      </c>
      <c r="AE48" s="2541" t="s">
        <v>119</v>
      </c>
      <c r="AF48" s="2452" t="s">
        <v>119</v>
      </c>
      <c r="AG48" s="2451" t="s">
        <v>119</v>
      </c>
    </row>
    <row r="49" ht="18.75" customHeight="1">
      <c r="A49" s="147"/>
      <c r="B49" s="115"/>
      <c r="C49" s="2574" t="s">
        <v>1307</v>
      </c>
      <c r="D49" s="2451" t="s">
        <v>119</v>
      </c>
      <c r="E49" s="2451" t="s">
        <v>119</v>
      </c>
      <c r="F49" s="2451" t="s">
        <v>119</v>
      </c>
      <c r="G49" s="2452" t="s">
        <v>119</v>
      </c>
      <c r="H49" s="2451" t="s">
        <v>119</v>
      </c>
      <c r="I49" s="2452" t="s">
        <v>119</v>
      </c>
      <c r="J49" s="2269" t="s">
        <v>112</v>
      </c>
      <c r="K49" s="2270" t="s">
        <v>117</v>
      </c>
      <c r="L49" s="2269" t="s">
        <v>117</v>
      </c>
      <c r="M49" s="2269" t="s">
        <v>117</v>
      </c>
      <c r="N49" s="2270" t="s">
        <v>112</v>
      </c>
      <c r="O49" s="2270" t="s">
        <v>112</v>
      </c>
      <c r="P49" s="2269" t="s">
        <v>113</v>
      </c>
      <c r="Q49" s="2269" t="s">
        <v>112</v>
      </c>
      <c r="R49" s="2270" t="s">
        <v>113</v>
      </c>
      <c r="S49" s="2270" t="s">
        <v>112</v>
      </c>
      <c r="T49" s="2269" t="s">
        <v>112</v>
      </c>
      <c r="U49" s="2270" t="s">
        <v>112</v>
      </c>
      <c r="V49" s="2269" t="s">
        <v>108</v>
      </c>
      <c r="W49" s="2269" t="s">
        <v>108</v>
      </c>
      <c r="X49" s="2269" t="s">
        <v>108</v>
      </c>
      <c r="Y49" s="2269" t="s">
        <v>108</v>
      </c>
      <c r="Z49" s="2270" t="s">
        <v>108</v>
      </c>
      <c r="AA49" s="2269" t="s">
        <v>108</v>
      </c>
      <c r="AB49" s="2269" t="s">
        <v>108</v>
      </c>
      <c r="AC49" s="2269" t="s">
        <v>108</v>
      </c>
      <c r="AD49" s="2269" t="s">
        <v>108</v>
      </c>
      <c r="AE49" s="2440" t="s">
        <v>108</v>
      </c>
      <c r="AF49" s="2270" t="s">
        <v>108</v>
      </c>
      <c r="AG49" s="2269" t="s">
        <v>108</v>
      </c>
    </row>
    <row r="50" ht="18.75" customHeight="1">
      <c r="A50" s="147"/>
      <c r="B50" s="2643" t="s">
        <v>452</v>
      </c>
      <c r="C50" s="2577" t="s">
        <v>530</v>
      </c>
      <c r="D50" s="2269" t="s">
        <v>112</v>
      </c>
      <c r="E50" s="2269" t="s">
        <v>112</v>
      </c>
      <c r="F50" s="2269" t="s">
        <v>112</v>
      </c>
      <c r="G50" s="2270" t="s">
        <v>112</v>
      </c>
      <c r="H50" s="2269" t="s">
        <v>112</v>
      </c>
      <c r="I50" s="2270" t="s">
        <v>113</v>
      </c>
      <c r="J50" s="2269" t="s">
        <v>108</v>
      </c>
      <c r="K50" s="2270" t="s">
        <v>108</v>
      </c>
      <c r="L50" s="2269" t="s">
        <v>113</v>
      </c>
      <c r="M50" s="2269" t="s">
        <v>113</v>
      </c>
      <c r="N50" s="2270" t="s">
        <v>113</v>
      </c>
      <c r="O50" s="2270" t="s">
        <v>113</v>
      </c>
      <c r="P50" s="2269" t="s">
        <v>113</v>
      </c>
      <c r="Q50" s="2269" t="s">
        <v>112</v>
      </c>
      <c r="R50" s="2270" t="s">
        <v>112</v>
      </c>
      <c r="S50" s="2270" t="s">
        <v>112</v>
      </c>
      <c r="T50" s="2269" t="s">
        <v>112</v>
      </c>
      <c r="U50" s="2270" t="s">
        <v>113</v>
      </c>
      <c r="V50" s="2269" t="s">
        <v>112</v>
      </c>
      <c r="W50" s="2269" t="s">
        <v>112</v>
      </c>
      <c r="X50" s="2269" t="s">
        <v>109</v>
      </c>
      <c r="Y50" s="2269" t="s">
        <v>109</v>
      </c>
      <c r="Z50" s="2270" t="s">
        <v>109</v>
      </c>
      <c r="AA50" s="2269" t="s">
        <v>108</v>
      </c>
      <c r="AB50" s="2269" t="s">
        <v>108</v>
      </c>
      <c r="AC50" s="2269" t="s">
        <v>108</v>
      </c>
      <c r="AD50" s="2269" t="s">
        <v>108</v>
      </c>
      <c r="AE50" s="2440" t="s">
        <v>110</v>
      </c>
      <c r="AF50" s="2270" t="s">
        <v>109</v>
      </c>
      <c r="AG50" s="2269" t="s">
        <v>109</v>
      </c>
    </row>
    <row r="51" ht="18.75" customHeight="1">
      <c r="A51" s="147"/>
      <c r="B51" s="115"/>
      <c r="C51" s="2644" t="s">
        <v>1309</v>
      </c>
      <c r="D51" s="2269" t="s">
        <v>112</v>
      </c>
      <c r="E51" s="2269" t="s">
        <v>112</v>
      </c>
      <c r="F51" s="2269" t="s">
        <v>112</v>
      </c>
      <c r="G51" s="2270" t="s">
        <v>112</v>
      </c>
      <c r="H51" s="2269" t="s">
        <v>108</v>
      </c>
      <c r="I51" s="2270" t="s">
        <v>108</v>
      </c>
      <c r="J51" s="2269" t="s">
        <v>108</v>
      </c>
      <c r="K51" s="2270" t="s">
        <v>108</v>
      </c>
      <c r="L51" s="2269" t="s">
        <v>113</v>
      </c>
      <c r="M51" s="2269" t="s">
        <v>113</v>
      </c>
      <c r="N51" s="2270" t="s">
        <v>113</v>
      </c>
      <c r="O51" s="2270" t="s">
        <v>108</v>
      </c>
      <c r="P51" s="2269" t="s">
        <v>113</v>
      </c>
      <c r="Q51" s="2269" t="s">
        <v>112</v>
      </c>
      <c r="R51" s="2270" t="s">
        <v>112</v>
      </c>
      <c r="S51" s="2270" t="s">
        <v>112</v>
      </c>
      <c r="T51" s="2269" t="s">
        <v>112</v>
      </c>
      <c r="U51" s="2270" t="s">
        <v>113</v>
      </c>
      <c r="V51" s="2269" t="s">
        <v>108</v>
      </c>
      <c r="W51" s="2269" t="s">
        <v>108</v>
      </c>
      <c r="X51" s="2269" t="s">
        <v>108</v>
      </c>
      <c r="Y51" s="2269" t="s">
        <v>108</v>
      </c>
      <c r="Z51" s="2270" t="s">
        <v>108</v>
      </c>
      <c r="AA51" s="2269" t="s">
        <v>108</v>
      </c>
      <c r="AB51" s="2269" t="s">
        <v>108</v>
      </c>
      <c r="AC51" s="2269" t="s">
        <v>108</v>
      </c>
      <c r="AD51" s="2269" t="s">
        <v>108</v>
      </c>
      <c r="AE51" s="2440" t="s">
        <v>108</v>
      </c>
      <c r="AF51" s="2270" t="s">
        <v>108</v>
      </c>
      <c r="AG51" s="2269" t="s">
        <v>109</v>
      </c>
    </row>
    <row r="52" ht="18.75" customHeight="1">
      <c r="A52" s="147"/>
      <c r="B52" s="2645" t="s">
        <v>531</v>
      </c>
      <c r="C52" s="2580" t="s">
        <v>1796</v>
      </c>
      <c r="D52" s="2269" t="s">
        <v>112</v>
      </c>
      <c r="E52" s="2269" t="s">
        <v>112</v>
      </c>
      <c r="F52" s="2269" t="s">
        <v>112</v>
      </c>
      <c r="G52" s="2270" t="s">
        <v>112</v>
      </c>
      <c r="H52" s="2269" t="s">
        <v>112</v>
      </c>
      <c r="I52" s="2270" t="s">
        <v>113</v>
      </c>
      <c r="J52" s="2269" t="s">
        <v>112</v>
      </c>
      <c r="K52" s="2270" t="s">
        <v>112</v>
      </c>
      <c r="L52" s="2269" t="s">
        <v>112</v>
      </c>
      <c r="M52" s="2269" t="s">
        <v>112</v>
      </c>
      <c r="N52" s="2270" t="s">
        <v>112</v>
      </c>
      <c r="O52" s="2270" t="s">
        <v>112</v>
      </c>
      <c r="P52" s="2269" t="s">
        <v>112</v>
      </c>
      <c r="Q52" s="2269" t="s">
        <v>113</v>
      </c>
      <c r="R52" s="2270" t="s">
        <v>113</v>
      </c>
      <c r="S52" s="2270" t="s">
        <v>112</v>
      </c>
      <c r="T52" s="2274" t="s">
        <v>108</v>
      </c>
      <c r="U52" s="2270" t="s">
        <v>108</v>
      </c>
      <c r="V52" s="2269" t="s">
        <v>110</v>
      </c>
      <c r="W52" s="2269" t="s">
        <v>109</v>
      </c>
      <c r="X52" s="2269" t="s">
        <v>110</v>
      </c>
      <c r="Y52" s="2269" t="s">
        <v>110</v>
      </c>
      <c r="Z52" s="2270" t="s">
        <v>110</v>
      </c>
      <c r="AA52" s="2269" t="s">
        <v>110</v>
      </c>
      <c r="AB52" s="2269" t="s">
        <v>110</v>
      </c>
      <c r="AC52" s="2269" t="s">
        <v>110</v>
      </c>
      <c r="AD52" s="2269" t="s">
        <v>110</v>
      </c>
      <c r="AE52" s="2440" t="s">
        <v>110</v>
      </c>
      <c r="AF52" s="2270" t="s">
        <v>109</v>
      </c>
      <c r="AG52" s="2269" t="s">
        <v>117</v>
      </c>
    </row>
    <row r="53" ht="18.75" customHeight="1">
      <c r="A53" s="147"/>
      <c r="B53" s="2646" t="s">
        <v>533</v>
      </c>
      <c r="C53" s="2647" t="s">
        <v>534</v>
      </c>
      <c r="D53" s="2269" t="s">
        <v>112</v>
      </c>
      <c r="E53" s="2269" t="s">
        <v>113</v>
      </c>
      <c r="F53" s="2269" t="s">
        <v>113</v>
      </c>
      <c r="G53" s="2270" t="s">
        <v>112</v>
      </c>
      <c r="H53" s="2269" t="s">
        <v>112</v>
      </c>
      <c r="I53" s="2270" t="s">
        <v>113</v>
      </c>
      <c r="J53" s="2269" t="s">
        <v>108</v>
      </c>
      <c r="K53" s="2270" t="s">
        <v>108</v>
      </c>
      <c r="L53" s="2269" t="s">
        <v>108</v>
      </c>
      <c r="M53" s="2269" t="s">
        <v>108</v>
      </c>
      <c r="N53" s="2270" t="s">
        <v>108</v>
      </c>
      <c r="O53" s="2270" t="s">
        <v>108</v>
      </c>
      <c r="P53" s="2451" t="s">
        <v>119</v>
      </c>
      <c r="Q53" s="2451" t="s">
        <v>119</v>
      </c>
      <c r="R53" s="2452" t="s">
        <v>119</v>
      </c>
      <c r="S53" s="2452" t="s">
        <v>119</v>
      </c>
      <c r="T53" s="2277" t="s">
        <v>119</v>
      </c>
      <c r="U53" s="2452" t="s">
        <v>119</v>
      </c>
      <c r="V53" s="2451" t="s">
        <v>119</v>
      </c>
      <c r="W53" s="2269" t="s">
        <v>119</v>
      </c>
      <c r="X53" s="2269" t="s">
        <v>119</v>
      </c>
      <c r="Y53" s="2269" t="s">
        <v>119</v>
      </c>
      <c r="Z53" s="2270" t="s">
        <v>119</v>
      </c>
      <c r="AA53" s="2451" t="s">
        <v>119</v>
      </c>
      <c r="AB53" s="2451" t="s">
        <v>119</v>
      </c>
      <c r="AC53" s="2451" t="s">
        <v>119</v>
      </c>
      <c r="AD53" s="2451" t="s">
        <v>119</v>
      </c>
      <c r="AE53" s="2541" t="s">
        <v>119</v>
      </c>
      <c r="AF53" s="2452" t="s">
        <v>119</v>
      </c>
      <c r="AG53" s="2451" t="s">
        <v>119</v>
      </c>
    </row>
    <row r="54" ht="18.75" customHeight="1">
      <c r="A54" s="147"/>
      <c r="B54" s="115"/>
      <c r="C54" s="2648" t="s">
        <v>154</v>
      </c>
      <c r="D54" s="2451" t="s">
        <v>119</v>
      </c>
      <c r="E54" s="2451" t="s">
        <v>119</v>
      </c>
      <c r="F54" s="2451" t="s">
        <v>119</v>
      </c>
      <c r="G54" s="2452" t="s">
        <v>119</v>
      </c>
      <c r="H54" s="2451" t="s">
        <v>119</v>
      </c>
      <c r="I54" s="2452" t="s">
        <v>119</v>
      </c>
      <c r="J54" s="2451" t="s">
        <v>119</v>
      </c>
      <c r="K54" s="2452" t="s">
        <v>119</v>
      </c>
      <c r="L54" s="2451" t="s">
        <v>119</v>
      </c>
      <c r="M54" s="2451" t="s">
        <v>119</v>
      </c>
      <c r="N54" s="2452" t="s">
        <v>119</v>
      </c>
      <c r="O54" s="2452" t="s">
        <v>119</v>
      </c>
      <c r="P54" s="2269" t="s">
        <v>112</v>
      </c>
      <c r="Q54" s="2269" t="s">
        <v>112</v>
      </c>
      <c r="R54" s="2270" t="s">
        <v>113</v>
      </c>
      <c r="S54" s="2270" t="s">
        <v>117</v>
      </c>
      <c r="T54" s="2649" t="s">
        <v>112</v>
      </c>
      <c r="U54" s="2270" t="s">
        <v>113</v>
      </c>
      <c r="V54" s="2269" t="s">
        <v>110</v>
      </c>
      <c r="W54" s="2269" t="s">
        <v>109</v>
      </c>
      <c r="X54" s="2269" t="s">
        <v>110</v>
      </c>
      <c r="Y54" s="2269" t="s">
        <v>109</v>
      </c>
      <c r="Z54" s="2270" t="s">
        <v>110</v>
      </c>
      <c r="AA54" s="2269" t="s">
        <v>110</v>
      </c>
      <c r="AB54" s="2269" t="s">
        <v>110</v>
      </c>
      <c r="AC54" s="2269" t="s">
        <v>110</v>
      </c>
      <c r="AD54" s="2269" t="s">
        <v>110</v>
      </c>
      <c r="AE54" s="2440" t="s">
        <v>108</v>
      </c>
      <c r="AF54" s="2270" t="s">
        <v>108</v>
      </c>
      <c r="AG54" s="2269" t="s">
        <v>117</v>
      </c>
    </row>
    <row r="55" ht="11.25" customHeight="1">
      <c r="A55" s="2323"/>
      <c r="B55" s="2526"/>
      <c r="C55" s="2478"/>
      <c r="D55" s="2007" t="str">
        <f t="shared" ref="D55:AG55" si="2">CONCATENATE("{""status"": ", IF(GT(D56, D57), """aangenomen""", """verworpen"""), ", ""title"": """, D5, """, ""url"": """,D31  , """, ""voor"":", D56,", ""tegen"": ", D57, ", ""onthouden"":", D58, "}")</f>
        <v>{"status": "aangenomen", "title": "M0002", "url": "https://www.reddit.com/r/RMTK/comments/9uhc7u/", "voor":18, "tegen": 16, "onthouden":0}</v>
      </c>
      <c r="E55" s="2007" t="str">
        <f t="shared" si="2"/>
        <v>{"status": "verworpen", "title": "M0003", "url": "https://www.reddit.com/r/RMTK/comments/9v3mni", "voor":15, "tegen": 19, "onthouden":0}</v>
      </c>
      <c r="F55" s="2007" t="str">
        <f t="shared" si="2"/>
        <v>{"status": "verworpen", "title": "M0004", "url": "https://www.reddit.com/r/RMTK/comments/9vbs93", "voor":15, "tegen": 19, "onthouden":0}</v>
      </c>
      <c r="G55" s="2007" t="str">
        <f t="shared" si="2"/>
        <v>{"status": "aangenomen", "title": "W0001", "url": "https://www.reddit.com/r/RMTK/comments/9uriq3", "voor":32, "tegen": 2, "onthouden":0}</v>
      </c>
      <c r="H55" s="2007" t="str">
        <f t="shared" si="2"/>
        <v>{"status": "aangenomen", "title": "M0005", "url": "https://www.reddit.com/r/RMTK/comments/9xaw30", "voor":23, "tegen": 3, "onthouden":5}</v>
      </c>
      <c r="I55" s="2007" t="str">
        <f t="shared" si="2"/>
        <v>{"status": "aangenomen", "title": "W0002", "url": "https://www.reddit.com/r/RMTK/comments/9uriq3", "voor":16, "tegen": 15, "onthouden":0}</v>
      </c>
      <c r="J55" s="2007" t="str">
        <f t="shared" si="2"/>
        <v>{"status": "aangenomen", "title": "M0006", "url": "https://reddit.com/r/RMTK/comments/9yb2l5", "voor":11, "tegen": 10, "onthouden":3}</v>
      </c>
      <c r="K55" s="2007" t="str">
        <f t="shared" si="2"/>
        <v>{"status": "aangenomen", "title": "M0007", "url": "https://reddit.com/r/RMTK/comments/9yw1yh/", "voor":19, "tegen": 2, "onthouden":3}</v>
      </c>
      <c r="L55" s="2007" t="str">
        <f t="shared" si="2"/>
        <v>{"status": "aangenomen", "title": "M0008", "url": "https://www.reddit.com/r/RMTK/comments/a0hbsz/", "voor":25, "tegen": 4, "onthouden":1}</v>
      </c>
      <c r="M55" s="2007" t="str">
        <f t="shared" si="2"/>
        <v>{"status": "aangenomen", "title": "M0009", "url": "https://reddit.com/r/RMTK/comments/a157uw/", "voor":23, "tegen": 5, "onthouden":2}</v>
      </c>
      <c r="N55" s="2007" t="str">
        <f t="shared" si="2"/>
        <v>{"status": "aangenomen", "title": "W0003-I", "url": "https://www.reddit.com/r/RMTK/comments/a1lug6/", "voor":24, "tegen": 5, "onthouden":1}</v>
      </c>
      <c r="O55" s="2007" t="str">
        <f t="shared" si="2"/>
        <v>{"status": "aangenomen", "title": "M0010", "url": "https://www.reddit.com/r/RMTK/comments/a3evk8/", "voor":25, "tegen": 4, "onthouden":0}</v>
      </c>
      <c r="P55" s="2007" t="str">
        <f t="shared" si="2"/>
        <v>{"status": "aangenomen", "title": "W0003", "url": "https://www.reddit.com/r/RMTK/comments/a0wpec/", "voor":23, "tegen": 10, "onthouden":0}</v>
      </c>
      <c r="Q55" s="2007" t="str">
        <f t="shared" si="2"/>
        <v>{"status": "aangenomen", "title": "M0011", "url": "https://reddit.com/r/RMTK/comments/a4kfpa", "voor":31, "tegen": 2, "onthouden":0}</v>
      </c>
      <c r="R55" s="2007" t="str">
        <f t="shared" si="2"/>
        <v>{"status": "verworpen", "title": "M0012", "url": "https://reddit.com/r/RMTK/comments/a4x47a", "voor":11, "tegen": 17, "onthouden":5}</v>
      </c>
      <c r="S55" s="2007" t="str">
        <f t="shared" si="2"/>
        <v>{"status": "verworpen", "title": "M0013", "url": "https://reddit.com/r/RMTK/comments/a6yip8", "voor":15, "tegen": 18, "onthouden":1}</v>
      </c>
      <c r="T55" s="2008" t="str">
        <f t="shared" si="2"/>
        <v>{"status": "aangenomen", "title": "W0004", "url": "https://reddit.com/r/RMTK/comments/a7lfim", "voor":16, "tegen": 14, "onthouden":0}</v>
      </c>
      <c r="U55" s="2007" t="str">
        <f t="shared" si="2"/>
        <v>{"status": "aangenomen", "title": "M0014", "url": "https://reddit.com/r/RMTK/comments/a9e3yl", "voor":16, "tegen": 13, "onthouden":1}</v>
      </c>
      <c r="V55" s="2007" t="str">
        <f t="shared" si="2"/>
        <v>{"status": "verworpen", "title": "M0015", "url": "https://reddit.com/r/RMTK/comments/abmvb8", "voor":9, "tegen": 19, "onthouden":0}</v>
      </c>
      <c r="W55" s="2007" t="str">
        <f t="shared" si="2"/>
        <v>{"status": "aangenomen", "title": "W0006", "url": "https://reddit.com/r/RMTK/comments/abwerm", "voor":17, "tegen": 10, "onthouden":1}</v>
      </c>
      <c r="X55" s="2007" t="str">
        <f t="shared" si="2"/>
        <v>{"status": "aangenomen", "title": "M0016", "url": "https://reddit.com/r/RMTK/comments/acgtkp", "voor":24, "tegen": 4, "onthouden":0}</v>
      </c>
      <c r="Y55" s="2007" t="str">
        <f t="shared" si="2"/>
        <v>{"status": "verworpen", "title": "W0005-I", "url": "https://reddit.com/r/RMTK/comments/acl9yo", "voor":8, "tegen": 17, "onthouden":3}</v>
      </c>
      <c r="Z55" s="2007" t="str">
        <f t="shared" si="2"/>
        <v>{"status": "aangenomen", "title": "W0005-II", "url": "https://reddit.com/r/RMTK/comments/acy21s", "voor":22, "tegen": 5, "onthouden":1}</v>
      </c>
      <c r="AA55" s="2007" t="str">
        <f t="shared" si="2"/>
        <v>{"status": "aangenomen", "title": "M0017", "url": "https://reddit.com/r/RMTK/comments/adl4nh", "voor":19, "tegen": 1, "onthouden":0}</v>
      </c>
      <c r="AB55" s="2007" t="str">
        <f t="shared" si="2"/>
        <v>{"status": "verworpen", "title": "M0018", "url": "https://reddit.com/r/RMTK/comments/ae7cyz", "voor":9, "tegen": 10, "onthouden":1}</v>
      </c>
      <c r="AC55" s="2007" t="str">
        <f t="shared" si="2"/>
        <v>{"status": "aangenomen", "title": "M0019", "url": "https://reddit.com/r/RMTK/comments/aeu8iv", "voor":17, "tegen": 1, "onthouden":2}</v>
      </c>
      <c r="AD55" s="2007" t="str">
        <f t="shared" si="2"/>
        <v>{"status": "aangenomen", "title": "W0008", "url": "https://reddit.com/r/RMTK/comments/aehqrq", "voor":17, "tegen": 3, "onthouden":0}</v>
      </c>
      <c r="AE55" s="2007" t="str">
        <f t="shared" si="2"/>
        <v>{"status": "aangenomen", "title": "W0007-I", "url": "https://reddit.com/r/RMTK/comments/agckzr", "voor":21, "tegen": 1, "onthouden":1}</v>
      </c>
      <c r="AF55" s="2007" t="str">
        <f t="shared" si="2"/>
        <v>{"status": "aangenomen", "title": "W0009", "url": "https://reddit.com/r/RMTK/comments/agz1n5", "voor":13, "tegen": 10, "onthouden":0}</v>
      </c>
      <c r="AG55" s="2007" t="str">
        <f t="shared" si="2"/>
        <v>{"status": "aangenomen", "title": "TE0001", "url": "https://reddit.com/r/RMTK/comments/aiejgc", "voor":18, "tegen": 6, "onthouden":2}</v>
      </c>
    </row>
    <row r="56" ht="18.0" customHeight="1">
      <c r="A56" s="2332" t="s">
        <v>158</v>
      </c>
      <c r="B56" s="2333" t="s">
        <v>110</v>
      </c>
      <c r="C56" s="44"/>
      <c r="D56" s="2334">
        <f t="shared" ref="D56:I56" si="3">COUNTIF(D4:D53,"Voor")</f>
        <v>18</v>
      </c>
      <c r="E56" s="2334">
        <f t="shared" si="3"/>
        <v>15</v>
      </c>
      <c r="F56" s="2334">
        <f t="shared" si="3"/>
        <v>15</v>
      </c>
      <c r="G56" s="2334">
        <f t="shared" si="3"/>
        <v>32</v>
      </c>
      <c r="H56" s="2334">
        <f t="shared" si="3"/>
        <v>23</v>
      </c>
      <c r="I56" s="2334">
        <f t="shared" si="3"/>
        <v>16</v>
      </c>
      <c r="J56" s="2334">
        <f t="shared" ref="J56:AG56" si="4">COUNTIF(J4:J54,"Voor")</f>
        <v>11</v>
      </c>
      <c r="K56" s="2334">
        <f t="shared" si="4"/>
        <v>19</v>
      </c>
      <c r="L56" s="2334">
        <f t="shared" si="4"/>
        <v>25</v>
      </c>
      <c r="M56" s="2334">
        <f t="shared" si="4"/>
        <v>23</v>
      </c>
      <c r="N56" s="2334">
        <f t="shared" si="4"/>
        <v>24</v>
      </c>
      <c r="O56" s="2334">
        <f t="shared" si="4"/>
        <v>25</v>
      </c>
      <c r="P56" s="2334">
        <f t="shared" si="4"/>
        <v>23</v>
      </c>
      <c r="Q56" s="2334">
        <f t="shared" si="4"/>
        <v>31</v>
      </c>
      <c r="R56" s="2334">
        <f t="shared" si="4"/>
        <v>11</v>
      </c>
      <c r="S56" s="2334">
        <f t="shared" si="4"/>
        <v>15</v>
      </c>
      <c r="T56" s="2335">
        <f t="shared" si="4"/>
        <v>16</v>
      </c>
      <c r="U56" s="2334">
        <f t="shared" si="4"/>
        <v>16</v>
      </c>
      <c r="V56" s="2334">
        <f t="shared" si="4"/>
        <v>9</v>
      </c>
      <c r="W56" s="2334">
        <f t="shared" si="4"/>
        <v>17</v>
      </c>
      <c r="X56" s="2334">
        <f t="shared" si="4"/>
        <v>24</v>
      </c>
      <c r="Y56" s="2334">
        <f t="shared" si="4"/>
        <v>8</v>
      </c>
      <c r="Z56" s="2334">
        <f t="shared" si="4"/>
        <v>22</v>
      </c>
      <c r="AA56" s="2334">
        <f t="shared" si="4"/>
        <v>19</v>
      </c>
      <c r="AB56" s="2334">
        <f t="shared" si="4"/>
        <v>9</v>
      </c>
      <c r="AC56" s="2334">
        <f t="shared" si="4"/>
        <v>17</v>
      </c>
      <c r="AD56" s="2334">
        <f t="shared" si="4"/>
        <v>17</v>
      </c>
      <c r="AE56" s="2334">
        <f t="shared" si="4"/>
        <v>21</v>
      </c>
      <c r="AF56" s="2334">
        <f t="shared" si="4"/>
        <v>13</v>
      </c>
      <c r="AG56" s="2334">
        <f t="shared" si="4"/>
        <v>18</v>
      </c>
    </row>
    <row r="57" ht="18.75" customHeight="1">
      <c r="A57" s="44"/>
      <c r="B57" s="2338" t="s">
        <v>109</v>
      </c>
      <c r="C57" s="44"/>
      <c r="D57" s="2339">
        <f t="shared" ref="D57:I57" si="5">COUNTIF(D4:D53,"Tegen")</f>
        <v>16</v>
      </c>
      <c r="E57" s="2339">
        <f t="shared" si="5"/>
        <v>19</v>
      </c>
      <c r="F57" s="2339">
        <f t="shared" si="5"/>
        <v>19</v>
      </c>
      <c r="G57" s="2339">
        <f t="shared" si="5"/>
        <v>2</v>
      </c>
      <c r="H57" s="2339">
        <f t="shared" si="5"/>
        <v>3</v>
      </c>
      <c r="I57" s="2339">
        <f t="shared" si="5"/>
        <v>15</v>
      </c>
      <c r="J57" s="2339">
        <f t="shared" ref="J57:AG57" si="6">COUNTIF(J4:J54,"Tegen")</f>
        <v>10</v>
      </c>
      <c r="K57" s="2339">
        <f t="shared" si="6"/>
        <v>2</v>
      </c>
      <c r="L57" s="2339">
        <f t="shared" si="6"/>
        <v>4</v>
      </c>
      <c r="M57" s="2339">
        <f t="shared" si="6"/>
        <v>5</v>
      </c>
      <c r="N57" s="2339">
        <f t="shared" si="6"/>
        <v>5</v>
      </c>
      <c r="O57" s="2339">
        <f t="shared" si="6"/>
        <v>4</v>
      </c>
      <c r="P57" s="2339">
        <f t="shared" si="6"/>
        <v>10</v>
      </c>
      <c r="Q57" s="2339">
        <f t="shared" si="6"/>
        <v>2</v>
      </c>
      <c r="R57" s="2339">
        <f t="shared" si="6"/>
        <v>17</v>
      </c>
      <c r="S57" s="2339">
        <f t="shared" si="6"/>
        <v>18</v>
      </c>
      <c r="T57" s="2340">
        <f t="shared" si="6"/>
        <v>14</v>
      </c>
      <c r="U57" s="2339">
        <f t="shared" si="6"/>
        <v>13</v>
      </c>
      <c r="V57" s="2339">
        <f t="shared" si="6"/>
        <v>19</v>
      </c>
      <c r="W57" s="2339">
        <f t="shared" si="6"/>
        <v>10</v>
      </c>
      <c r="X57" s="2339">
        <f t="shared" si="6"/>
        <v>4</v>
      </c>
      <c r="Y57" s="2339">
        <f t="shared" si="6"/>
        <v>17</v>
      </c>
      <c r="Z57" s="2339">
        <f t="shared" si="6"/>
        <v>5</v>
      </c>
      <c r="AA57" s="2339">
        <f t="shared" si="6"/>
        <v>1</v>
      </c>
      <c r="AB57" s="2339">
        <f t="shared" si="6"/>
        <v>10</v>
      </c>
      <c r="AC57" s="2339">
        <f t="shared" si="6"/>
        <v>1</v>
      </c>
      <c r="AD57" s="2339">
        <f t="shared" si="6"/>
        <v>3</v>
      </c>
      <c r="AE57" s="2339">
        <f t="shared" si="6"/>
        <v>1</v>
      </c>
      <c r="AF57" s="2339">
        <f t="shared" si="6"/>
        <v>10</v>
      </c>
      <c r="AG57" s="2339">
        <f t="shared" si="6"/>
        <v>6</v>
      </c>
    </row>
    <row r="58" ht="18.75" customHeight="1">
      <c r="A58" s="44"/>
      <c r="B58" s="2343" t="s">
        <v>159</v>
      </c>
      <c r="C58" s="44"/>
      <c r="D58" s="2344">
        <f t="shared" ref="D58:I58" si="7">COUNTIF(D4:D53,"SO")</f>
        <v>0</v>
      </c>
      <c r="E58" s="2344">
        <f t="shared" si="7"/>
        <v>0</v>
      </c>
      <c r="F58" s="2344">
        <f t="shared" si="7"/>
        <v>0</v>
      </c>
      <c r="G58" s="2344">
        <f t="shared" si="7"/>
        <v>0</v>
      </c>
      <c r="H58" s="2344">
        <f t="shared" si="7"/>
        <v>5</v>
      </c>
      <c r="I58" s="2344">
        <f t="shared" si="7"/>
        <v>0</v>
      </c>
      <c r="J58" s="2344">
        <f t="shared" ref="J58:AG58" si="8">COUNTIF(J4:J54,"SO")</f>
        <v>3</v>
      </c>
      <c r="K58" s="2344">
        <f t="shared" si="8"/>
        <v>3</v>
      </c>
      <c r="L58" s="2344">
        <f t="shared" si="8"/>
        <v>1</v>
      </c>
      <c r="M58" s="2344">
        <f t="shared" si="8"/>
        <v>2</v>
      </c>
      <c r="N58" s="2344">
        <f t="shared" si="8"/>
        <v>1</v>
      </c>
      <c r="O58" s="2344">
        <f t="shared" si="8"/>
        <v>0</v>
      </c>
      <c r="P58" s="2344">
        <f t="shared" si="8"/>
        <v>0</v>
      </c>
      <c r="Q58" s="2344">
        <f t="shared" si="8"/>
        <v>0</v>
      </c>
      <c r="R58" s="2344">
        <f t="shared" si="8"/>
        <v>5</v>
      </c>
      <c r="S58" s="2344">
        <f t="shared" si="8"/>
        <v>1</v>
      </c>
      <c r="T58" s="2345">
        <f t="shared" si="8"/>
        <v>0</v>
      </c>
      <c r="U58" s="2344">
        <f t="shared" si="8"/>
        <v>1</v>
      </c>
      <c r="V58" s="2344">
        <f t="shared" si="8"/>
        <v>0</v>
      </c>
      <c r="W58" s="2344">
        <f t="shared" si="8"/>
        <v>1</v>
      </c>
      <c r="X58" s="2344">
        <f t="shared" si="8"/>
        <v>0</v>
      </c>
      <c r="Y58" s="2344">
        <f t="shared" si="8"/>
        <v>3</v>
      </c>
      <c r="Z58" s="2344">
        <f t="shared" si="8"/>
        <v>1</v>
      </c>
      <c r="AA58" s="2344">
        <f t="shared" si="8"/>
        <v>0</v>
      </c>
      <c r="AB58" s="2344">
        <f t="shared" si="8"/>
        <v>1</v>
      </c>
      <c r="AC58" s="2344">
        <f t="shared" si="8"/>
        <v>2</v>
      </c>
      <c r="AD58" s="2344">
        <f t="shared" si="8"/>
        <v>0</v>
      </c>
      <c r="AE58" s="2344">
        <f t="shared" si="8"/>
        <v>1</v>
      </c>
      <c r="AF58" s="2344">
        <f t="shared" si="8"/>
        <v>0</v>
      </c>
      <c r="AG58" s="2344">
        <f t="shared" si="8"/>
        <v>2</v>
      </c>
    </row>
    <row r="59" ht="18.75" customHeight="1">
      <c r="A59" s="44"/>
      <c r="B59" s="2348" t="s">
        <v>160</v>
      </c>
      <c r="C59" s="44"/>
      <c r="D59" s="2349">
        <f t="shared" ref="D59:I59" si="9">COUNTIF(D4:D53,"NG")</f>
        <v>1</v>
      </c>
      <c r="E59" s="2349">
        <f t="shared" si="9"/>
        <v>1</v>
      </c>
      <c r="F59" s="2349">
        <f t="shared" si="9"/>
        <v>1</v>
      </c>
      <c r="G59" s="2349">
        <f t="shared" si="9"/>
        <v>1</v>
      </c>
      <c r="H59" s="2349">
        <f t="shared" si="9"/>
        <v>4</v>
      </c>
      <c r="I59" s="2349">
        <f t="shared" si="9"/>
        <v>4</v>
      </c>
      <c r="J59" s="2349">
        <f t="shared" ref="J59:AG59" si="10">COUNTIF(J4:J54,"NG")</f>
        <v>11</v>
      </c>
      <c r="K59" s="2349">
        <f t="shared" si="10"/>
        <v>11</v>
      </c>
      <c r="L59" s="2349">
        <f t="shared" si="10"/>
        <v>5</v>
      </c>
      <c r="M59" s="2349">
        <f t="shared" si="10"/>
        <v>5</v>
      </c>
      <c r="N59" s="2349">
        <f t="shared" si="10"/>
        <v>5</v>
      </c>
      <c r="O59" s="2349">
        <f t="shared" si="10"/>
        <v>6</v>
      </c>
      <c r="P59" s="2349">
        <f t="shared" si="10"/>
        <v>2</v>
      </c>
      <c r="Q59" s="2349">
        <f t="shared" si="10"/>
        <v>2</v>
      </c>
      <c r="R59" s="2349">
        <f t="shared" si="10"/>
        <v>2</v>
      </c>
      <c r="S59" s="2349">
        <f t="shared" si="10"/>
        <v>1</v>
      </c>
      <c r="T59" s="2350">
        <f t="shared" si="10"/>
        <v>5</v>
      </c>
      <c r="U59" s="2349">
        <f t="shared" si="10"/>
        <v>5</v>
      </c>
      <c r="V59" s="2349">
        <f t="shared" si="10"/>
        <v>7</v>
      </c>
      <c r="W59" s="2349">
        <f t="shared" si="10"/>
        <v>7</v>
      </c>
      <c r="X59" s="2349">
        <f t="shared" si="10"/>
        <v>7</v>
      </c>
      <c r="Y59" s="2349">
        <f t="shared" si="10"/>
        <v>7</v>
      </c>
      <c r="Z59" s="2349">
        <f t="shared" si="10"/>
        <v>7</v>
      </c>
      <c r="AA59" s="2349">
        <f t="shared" si="10"/>
        <v>15</v>
      </c>
      <c r="AB59" s="2349">
        <f t="shared" si="10"/>
        <v>15</v>
      </c>
      <c r="AC59" s="2349">
        <f t="shared" si="10"/>
        <v>15</v>
      </c>
      <c r="AD59" s="2349">
        <f t="shared" si="10"/>
        <v>15</v>
      </c>
      <c r="AE59" s="2349">
        <f t="shared" si="10"/>
        <v>12</v>
      </c>
      <c r="AF59" s="2349">
        <f t="shared" si="10"/>
        <v>12</v>
      </c>
      <c r="AG59" s="2349">
        <f t="shared" si="10"/>
        <v>9</v>
      </c>
    </row>
    <row r="60" ht="18.75" customHeight="1">
      <c r="A60" s="44"/>
      <c r="B60" s="2353" t="s">
        <v>161</v>
      </c>
      <c r="C60" s="44"/>
      <c r="D60" s="2354">
        <f t="shared" ref="D60:AG60" si="11">SUM(D56:D59)</f>
        <v>35</v>
      </c>
      <c r="E60" s="2354">
        <f t="shared" si="11"/>
        <v>35</v>
      </c>
      <c r="F60" s="2354">
        <f t="shared" si="11"/>
        <v>35</v>
      </c>
      <c r="G60" s="2354">
        <f t="shared" si="11"/>
        <v>35</v>
      </c>
      <c r="H60" s="2354">
        <f t="shared" si="11"/>
        <v>35</v>
      </c>
      <c r="I60" s="2354">
        <f t="shared" si="11"/>
        <v>35</v>
      </c>
      <c r="J60" s="2354">
        <f t="shared" si="11"/>
        <v>35</v>
      </c>
      <c r="K60" s="2354">
        <f t="shared" si="11"/>
        <v>35</v>
      </c>
      <c r="L60" s="2354">
        <f t="shared" si="11"/>
        <v>35</v>
      </c>
      <c r="M60" s="2354">
        <f t="shared" si="11"/>
        <v>35</v>
      </c>
      <c r="N60" s="2354">
        <f t="shared" si="11"/>
        <v>35</v>
      </c>
      <c r="O60" s="2354">
        <f t="shared" si="11"/>
        <v>35</v>
      </c>
      <c r="P60" s="2354">
        <f t="shared" si="11"/>
        <v>35</v>
      </c>
      <c r="Q60" s="2354">
        <f t="shared" si="11"/>
        <v>35</v>
      </c>
      <c r="R60" s="2354">
        <f t="shared" si="11"/>
        <v>35</v>
      </c>
      <c r="S60" s="2354">
        <f t="shared" si="11"/>
        <v>35</v>
      </c>
      <c r="T60" s="2355">
        <f t="shared" si="11"/>
        <v>35</v>
      </c>
      <c r="U60" s="2354">
        <f t="shared" si="11"/>
        <v>35</v>
      </c>
      <c r="V60" s="2354">
        <f t="shared" si="11"/>
        <v>35</v>
      </c>
      <c r="W60" s="2354">
        <f t="shared" si="11"/>
        <v>35</v>
      </c>
      <c r="X60" s="2354">
        <f t="shared" si="11"/>
        <v>35</v>
      </c>
      <c r="Y60" s="2354">
        <f t="shared" si="11"/>
        <v>35</v>
      </c>
      <c r="Z60" s="2354">
        <f t="shared" si="11"/>
        <v>35</v>
      </c>
      <c r="AA60" s="2354">
        <f t="shared" si="11"/>
        <v>35</v>
      </c>
      <c r="AB60" s="2354">
        <f t="shared" si="11"/>
        <v>35</v>
      </c>
      <c r="AC60" s="2354">
        <f t="shared" si="11"/>
        <v>35</v>
      </c>
      <c r="AD60" s="2354">
        <f t="shared" si="11"/>
        <v>35</v>
      </c>
      <c r="AE60" s="2354">
        <f t="shared" si="11"/>
        <v>35</v>
      </c>
      <c r="AF60" s="2354">
        <f t="shared" si="11"/>
        <v>35</v>
      </c>
      <c r="AG60" s="2354">
        <f t="shared" si="11"/>
        <v>35</v>
      </c>
    </row>
    <row r="61" ht="18.75" customHeight="1">
      <c r="A61" s="44"/>
      <c r="B61" s="2358" t="s">
        <v>162</v>
      </c>
      <c r="C61" s="44"/>
      <c r="D61" s="2359">
        <f t="shared" ref="D61:AG61" si="12">D56+D57+D58</f>
        <v>34</v>
      </c>
      <c r="E61" s="2359">
        <f t="shared" si="12"/>
        <v>34</v>
      </c>
      <c r="F61" s="2359">
        <f t="shared" si="12"/>
        <v>34</v>
      </c>
      <c r="G61" s="2359">
        <f t="shared" si="12"/>
        <v>34</v>
      </c>
      <c r="H61" s="2359">
        <f t="shared" si="12"/>
        <v>31</v>
      </c>
      <c r="I61" s="2359">
        <f t="shared" si="12"/>
        <v>31</v>
      </c>
      <c r="J61" s="2359">
        <f t="shared" si="12"/>
        <v>24</v>
      </c>
      <c r="K61" s="2359">
        <f t="shared" si="12"/>
        <v>24</v>
      </c>
      <c r="L61" s="2359">
        <f t="shared" si="12"/>
        <v>30</v>
      </c>
      <c r="M61" s="2359">
        <f t="shared" si="12"/>
        <v>30</v>
      </c>
      <c r="N61" s="2359">
        <f t="shared" si="12"/>
        <v>30</v>
      </c>
      <c r="O61" s="2359">
        <f t="shared" si="12"/>
        <v>29</v>
      </c>
      <c r="P61" s="2359">
        <f t="shared" si="12"/>
        <v>33</v>
      </c>
      <c r="Q61" s="2359">
        <f t="shared" si="12"/>
        <v>33</v>
      </c>
      <c r="R61" s="2359">
        <f t="shared" si="12"/>
        <v>33</v>
      </c>
      <c r="S61" s="2359">
        <f t="shared" si="12"/>
        <v>34</v>
      </c>
      <c r="T61" s="2360">
        <f t="shared" si="12"/>
        <v>30</v>
      </c>
      <c r="U61" s="2359">
        <f t="shared" si="12"/>
        <v>30</v>
      </c>
      <c r="V61" s="2359">
        <f t="shared" si="12"/>
        <v>28</v>
      </c>
      <c r="W61" s="2359">
        <f t="shared" si="12"/>
        <v>28</v>
      </c>
      <c r="X61" s="2359">
        <f t="shared" si="12"/>
        <v>28</v>
      </c>
      <c r="Y61" s="2359">
        <f t="shared" si="12"/>
        <v>28</v>
      </c>
      <c r="Z61" s="2359">
        <f t="shared" si="12"/>
        <v>28</v>
      </c>
      <c r="AA61" s="2359">
        <f t="shared" si="12"/>
        <v>20</v>
      </c>
      <c r="AB61" s="2359">
        <f t="shared" si="12"/>
        <v>20</v>
      </c>
      <c r="AC61" s="2359">
        <f t="shared" si="12"/>
        <v>20</v>
      </c>
      <c r="AD61" s="2359">
        <f t="shared" si="12"/>
        <v>20</v>
      </c>
      <c r="AE61" s="2359">
        <f t="shared" si="12"/>
        <v>23</v>
      </c>
      <c r="AF61" s="2359">
        <f t="shared" si="12"/>
        <v>23</v>
      </c>
      <c r="AG61" s="2359">
        <f t="shared" si="12"/>
        <v>26</v>
      </c>
    </row>
    <row r="62" ht="18.75" customHeight="1">
      <c r="A62" s="230"/>
      <c r="B62" s="2363" t="s">
        <v>163</v>
      </c>
      <c r="C62" s="230"/>
      <c r="D62" s="2364">
        <f t="shared" ref="D62:S62" si="13">IFERROR(D61/D60,"")</f>
        <v>0.9714285714</v>
      </c>
      <c r="E62" s="2364">
        <f t="shared" si="13"/>
        <v>0.9714285714</v>
      </c>
      <c r="F62" s="2364">
        <f t="shared" si="13"/>
        <v>0.9714285714</v>
      </c>
      <c r="G62" s="2364">
        <f t="shared" si="13"/>
        <v>0.9714285714</v>
      </c>
      <c r="H62" s="2364">
        <f t="shared" si="13"/>
        <v>0.8857142857</v>
      </c>
      <c r="I62" s="2364">
        <f t="shared" si="13"/>
        <v>0.8857142857</v>
      </c>
      <c r="J62" s="2364">
        <f t="shared" si="13"/>
        <v>0.6857142857</v>
      </c>
      <c r="K62" s="2364">
        <f t="shared" si="13"/>
        <v>0.6857142857</v>
      </c>
      <c r="L62" s="2364">
        <f t="shared" si="13"/>
        <v>0.8571428571</v>
      </c>
      <c r="M62" s="2364">
        <f t="shared" si="13"/>
        <v>0.8571428571</v>
      </c>
      <c r="N62" s="2364">
        <f t="shared" si="13"/>
        <v>0.8571428571</v>
      </c>
      <c r="O62" s="2364">
        <f t="shared" si="13"/>
        <v>0.8285714286</v>
      </c>
      <c r="P62" s="2364">
        <f t="shared" si="13"/>
        <v>0.9428571429</v>
      </c>
      <c r="Q62" s="2364">
        <f t="shared" si="13"/>
        <v>0.9428571429</v>
      </c>
      <c r="R62" s="2364">
        <f t="shared" si="13"/>
        <v>0.9428571429</v>
      </c>
      <c r="S62" s="2364">
        <f t="shared" si="13"/>
        <v>0.9714285714</v>
      </c>
      <c r="T62" s="2365">
        <f t="shared" ref="T62:AG62" si="14">IFERROR(IF(GT(T61/T60, 0), T61/T60, ""),"")</f>
        <v>0.8571428571</v>
      </c>
      <c r="U62" s="2365">
        <f t="shared" si="14"/>
        <v>0.8571428571</v>
      </c>
      <c r="V62" s="2365">
        <f t="shared" si="14"/>
        <v>0.8</v>
      </c>
      <c r="W62" s="2365">
        <f t="shared" si="14"/>
        <v>0.8</v>
      </c>
      <c r="X62" s="2365">
        <f t="shared" si="14"/>
        <v>0.8</v>
      </c>
      <c r="Y62" s="2365">
        <f t="shared" si="14"/>
        <v>0.8</v>
      </c>
      <c r="Z62" s="2365">
        <f t="shared" si="14"/>
        <v>0.8</v>
      </c>
      <c r="AA62" s="2365">
        <f t="shared" si="14"/>
        <v>0.5714285714</v>
      </c>
      <c r="AB62" s="2365">
        <f t="shared" si="14"/>
        <v>0.5714285714</v>
      </c>
      <c r="AC62" s="2365">
        <f t="shared" si="14"/>
        <v>0.5714285714</v>
      </c>
      <c r="AD62" s="2365">
        <f t="shared" si="14"/>
        <v>0.5714285714</v>
      </c>
      <c r="AE62" s="2365">
        <f t="shared" si="14"/>
        <v>0.6571428571</v>
      </c>
      <c r="AF62" s="2365">
        <f t="shared" si="14"/>
        <v>0.6571428571</v>
      </c>
      <c r="AG62" s="2365">
        <f t="shared" si="14"/>
        <v>0.7428571429</v>
      </c>
    </row>
  </sheetData>
  <mergeCells count="23">
    <mergeCell ref="A2:C2"/>
    <mergeCell ref="D2:AG4"/>
    <mergeCell ref="A3:C4"/>
    <mergeCell ref="B7:B13"/>
    <mergeCell ref="B14:B18"/>
    <mergeCell ref="B19:B24"/>
    <mergeCell ref="B25:B30"/>
    <mergeCell ref="A32:A54"/>
    <mergeCell ref="A56:A62"/>
    <mergeCell ref="B56:C56"/>
    <mergeCell ref="B57:C57"/>
    <mergeCell ref="B58:C58"/>
    <mergeCell ref="B59:C59"/>
    <mergeCell ref="B60:C60"/>
    <mergeCell ref="B61:C61"/>
    <mergeCell ref="B62:C62"/>
    <mergeCell ref="A7:A30"/>
    <mergeCell ref="B32:B37"/>
    <mergeCell ref="B38:B41"/>
    <mergeCell ref="B42:B44"/>
    <mergeCell ref="B45:B49"/>
    <mergeCell ref="B50:B51"/>
    <mergeCell ref="B53:B54"/>
  </mergeCells>
  <conditionalFormatting sqref="D7:AG54">
    <cfRule type="containsText" dxfId="2" priority="1" operator="containsText" text="SO">
      <formula>NOT(ISERROR(SEARCH(("SO"),(D7))))</formula>
    </cfRule>
  </conditionalFormatting>
  <conditionalFormatting sqref="D7:AG54">
    <cfRule type="containsText" dxfId="1" priority="2" operator="containsText" text="tegen">
      <formula>NOT(ISERROR(SEARCH(("tegen"),(D7))))</formula>
    </cfRule>
  </conditionalFormatting>
  <conditionalFormatting sqref="D7:AG54">
    <cfRule type="containsText" dxfId="4" priority="3" operator="containsText" text="voor">
      <formula>NOT(ISERROR(SEARCH(("voor"),(D7))))</formula>
    </cfRule>
  </conditionalFormatting>
  <conditionalFormatting sqref="D7:AG54">
    <cfRule type="containsText" dxfId="5" priority="4" operator="containsText" text="NG">
      <formula>NOT(ISERROR(SEARCH(("NG"),(D7))))</formula>
    </cfRule>
  </conditionalFormatting>
  <conditionalFormatting sqref="D7:AG54">
    <cfRule type="containsText" dxfId="6" priority="5" operator="containsText" text="NVT">
      <formula>NOT(ISERROR(SEARCH(("NVT"),(D7))))</formula>
    </cfRule>
  </conditionalFormatting>
  <drawing r:id="rId2"/>
  <legacyDrawing r:id="rId3"/>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4125"/>
    <outlinePr summaryBelow="0" summaryRight="0"/>
  </sheetPr>
  <sheetViews>
    <sheetView workbookViewId="0">
      <pane xSplit="3.0" topLeftCell="D1" activePane="topRight" state="frozen"/>
      <selection activeCell="E2" sqref="E2" pane="topRight"/>
    </sheetView>
  </sheetViews>
  <sheetFormatPr customHeight="1" defaultColWidth="14.43" defaultRowHeight="15.75"/>
  <cols>
    <col customWidth="1" min="1" max="1" width="10.86"/>
    <col customWidth="1" min="2" max="2" width="11.0"/>
    <col customWidth="1" min="3" max="3" width="21.86"/>
  </cols>
  <sheetData>
    <row r="1" ht="18.75" customHeight="1">
      <c r="A1" s="1601"/>
      <c r="B1" s="1601"/>
      <c r="C1" s="1601"/>
      <c r="D1" s="1601"/>
      <c r="E1" s="1601"/>
      <c r="F1" s="1601"/>
      <c r="G1" s="1601"/>
      <c r="H1" s="1601"/>
      <c r="I1" s="1601"/>
      <c r="J1" s="1601"/>
      <c r="K1" s="1601"/>
      <c r="L1" s="1601"/>
      <c r="M1" s="1601"/>
      <c r="N1" s="1601"/>
      <c r="O1" s="1601"/>
      <c r="P1" s="1601"/>
      <c r="Q1" s="1601"/>
      <c r="R1" s="1601"/>
      <c r="S1" s="1601"/>
      <c r="T1" s="1601"/>
      <c r="U1" s="1601"/>
      <c r="V1" s="1601"/>
      <c r="W1" s="1601"/>
      <c r="X1" s="1601"/>
      <c r="Y1" s="1601"/>
      <c r="Z1" s="1601"/>
      <c r="AA1" s="1601"/>
      <c r="AB1" s="1601"/>
    </row>
    <row r="2" ht="18.75" customHeight="1">
      <c r="A2" s="2369"/>
      <c r="B2" s="2109"/>
      <c r="C2" s="2110"/>
      <c r="D2" s="2502" t="s">
        <v>1659</v>
      </c>
      <c r="E2" s="16"/>
      <c r="F2" s="16"/>
      <c r="G2" s="16"/>
      <c r="H2" s="16"/>
      <c r="I2" s="16"/>
      <c r="J2" s="16"/>
      <c r="K2" s="16"/>
      <c r="L2" s="16"/>
      <c r="M2" s="16"/>
      <c r="N2" s="17"/>
      <c r="O2" s="1601"/>
      <c r="P2" s="1601"/>
      <c r="Q2" s="1601"/>
      <c r="R2" s="1601"/>
      <c r="S2" s="1601"/>
      <c r="T2" s="1601"/>
      <c r="U2" s="1601"/>
      <c r="V2" s="1601"/>
      <c r="W2" s="1601"/>
      <c r="X2" s="1601"/>
      <c r="Y2" s="1601"/>
      <c r="Z2" s="1601"/>
      <c r="AA2" s="1601"/>
      <c r="AB2" s="1601"/>
    </row>
    <row r="3" ht="18.75" customHeight="1">
      <c r="A3" s="1601"/>
      <c r="B3" s="1601"/>
      <c r="C3" s="1601"/>
      <c r="D3" s="1599"/>
      <c r="E3" s="1599"/>
      <c r="F3" s="1599"/>
      <c r="G3" s="1599"/>
      <c r="H3" s="1599"/>
      <c r="I3" s="1599"/>
      <c r="J3" s="1599"/>
      <c r="K3" s="1601"/>
      <c r="L3" s="1601"/>
      <c r="M3" s="1601"/>
      <c r="N3" s="1601"/>
      <c r="O3" s="1601"/>
      <c r="P3" s="1601"/>
      <c r="Q3" s="1601"/>
      <c r="R3" s="1601"/>
      <c r="S3" s="1601"/>
      <c r="T3" s="1601"/>
      <c r="U3" s="1601"/>
      <c r="V3" s="1601"/>
      <c r="W3" s="1601"/>
      <c r="X3" s="1601"/>
      <c r="Y3" s="1601"/>
      <c r="Z3" s="1601"/>
      <c r="AA3" s="1601"/>
      <c r="AB3" s="1601"/>
    </row>
    <row r="4" ht="18.75" customHeight="1">
      <c r="A4" s="2369" t="s">
        <v>1012</v>
      </c>
      <c r="B4" s="2109"/>
      <c r="C4" s="2110"/>
      <c r="D4" s="2503" t="s">
        <v>1659</v>
      </c>
      <c r="E4" s="112"/>
      <c r="F4" s="112"/>
      <c r="G4" s="112"/>
      <c r="H4" s="112"/>
      <c r="I4" s="112"/>
      <c r="J4" s="112"/>
      <c r="K4" s="2114"/>
      <c r="L4" s="1601"/>
      <c r="M4" s="1601"/>
      <c r="N4" s="1601"/>
      <c r="O4" s="1601"/>
      <c r="P4" s="1601"/>
      <c r="Q4" s="1601"/>
      <c r="R4" s="1601"/>
      <c r="S4" s="1601"/>
      <c r="T4" s="1601"/>
      <c r="U4" s="1601"/>
      <c r="V4" s="1601"/>
      <c r="W4" s="1601"/>
      <c r="X4" s="1601"/>
      <c r="Y4" s="1601"/>
      <c r="Z4" s="1601"/>
      <c r="AA4" s="1601"/>
      <c r="AB4" s="1601"/>
    </row>
    <row r="5" ht="18.75" customHeight="1">
      <c r="A5" s="2604" t="s">
        <v>1800</v>
      </c>
      <c r="C5" s="115"/>
      <c r="D5" s="43"/>
      <c r="K5" s="1129"/>
      <c r="L5" s="1601"/>
      <c r="M5" s="1601"/>
      <c r="N5" s="1601"/>
      <c r="O5" s="1601"/>
      <c r="P5" s="1601"/>
      <c r="Q5" s="1601"/>
      <c r="R5" s="1601"/>
      <c r="S5" s="1601"/>
      <c r="T5" s="1601"/>
      <c r="U5" s="1601"/>
      <c r="V5" s="1601"/>
      <c r="W5" s="1601"/>
      <c r="X5" s="1601"/>
      <c r="Y5" s="1601"/>
      <c r="Z5" s="1601"/>
      <c r="AA5" s="1601"/>
      <c r="AB5" s="1601"/>
    </row>
    <row r="6" ht="18.75" customHeight="1">
      <c r="C6" s="115"/>
      <c r="D6" s="2115"/>
      <c r="E6" s="1621"/>
      <c r="F6" s="1621"/>
      <c r="G6" s="1621"/>
      <c r="H6" s="1621"/>
      <c r="I6" s="1621"/>
      <c r="J6" s="1621"/>
      <c r="K6" s="1639"/>
      <c r="L6" s="1601"/>
      <c r="M6" s="1601"/>
      <c r="N6" s="1601"/>
      <c r="O6" s="1601"/>
      <c r="P6" s="1601"/>
      <c r="Q6" s="1601"/>
      <c r="R6" s="1601"/>
      <c r="S6" s="1601"/>
      <c r="T6" s="1601"/>
      <c r="U6" s="1601"/>
      <c r="V6" s="1601"/>
      <c r="W6" s="1601"/>
      <c r="X6" s="1601"/>
      <c r="Y6" s="1601"/>
      <c r="Z6" s="1601"/>
      <c r="AA6" s="1601"/>
      <c r="AB6" s="1601"/>
    </row>
    <row r="7" ht="18.75" customHeight="1">
      <c r="A7" s="2372" t="s">
        <v>82</v>
      </c>
      <c r="B7" s="2373" t="s">
        <v>83</v>
      </c>
      <c r="C7" s="2374" t="s">
        <v>84</v>
      </c>
      <c r="D7" s="2504" t="str">
        <f>HYPERLINK("https://www.reddit.com/r/RMTK/comments/9uriq3", "W0001")</f>
        <v>W0001</v>
      </c>
      <c r="E7" s="2504" t="str">
        <f>HYPERLINK("https://www.reddit.com/r/RMTK/comments/9uriq3", "W0002")</f>
        <v>W0002</v>
      </c>
      <c r="F7" s="2504" t="str">
        <f>HYPERLINK("https://www.reddit.com/r/RMTK/comments/a0wpec/", "W0003")</f>
        <v>W0003</v>
      </c>
      <c r="G7" s="2504" t="str">
        <f>HYPERLINK("https://reddit.com/r/RMTK/comments/a7lfim", "W0004")</f>
        <v>W0004</v>
      </c>
      <c r="H7" s="2504" t="str">
        <f t="shared" ref="H7:I7" si="1">HYPERLINK("https://reddit.com/r/RMTK/comments/abwerm", "W0006")</f>
        <v>W0006</v>
      </c>
      <c r="I7" s="2650" t="str">
        <f t="shared" si="1"/>
        <v>W0006</v>
      </c>
      <c r="J7" s="2504" t="str">
        <f>HYPERLINK("https://reddit.com/r/RMTK/comments/aehqrq", "W0008")</f>
        <v>W0008</v>
      </c>
      <c r="K7" s="2650" t="str">
        <f>HYPERLINK("https://reddit.com/r/RMTK/comments/aiejgc", "TE0001")</f>
        <v>TE0001</v>
      </c>
      <c r="L7" s="1601"/>
      <c r="M7" s="1601"/>
      <c r="N7" s="1601"/>
      <c r="O7" s="1601"/>
      <c r="P7" s="1601"/>
      <c r="Q7" s="1601"/>
      <c r="R7" s="1601"/>
      <c r="S7" s="1601"/>
      <c r="T7" s="1601"/>
      <c r="U7" s="1601"/>
      <c r="V7" s="1601"/>
      <c r="W7" s="1601"/>
      <c r="X7" s="1601"/>
      <c r="Y7" s="1601"/>
      <c r="Z7" s="1601"/>
      <c r="AA7" s="1601"/>
      <c r="AB7" s="1601"/>
    </row>
    <row r="8" ht="6.0" customHeight="1">
      <c r="A8" s="2260"/>
      <c r="B8" s="2261"/>
      <c r="C8" s="2261"/>
      <c r="D8" s="2376"/>
      <c r="E8" s="2377"/>
      <c r="F8" s="2377"/>
      <c r="G8" s="2377"/>
      <c r="H8" s="2377"/>
      <c r="I8" s="2651"/>
      <c r="J8" s="2377"/>
      <c r="K8" s="2651"/>
      <c r="L8" s="1601"/>
      <c r="M8" s="1601"/>
      <c r="N8" s="1601"/>
      <c r="O8" s="1601"/>
      <c r="P8" s="1601"/>
      <c r="Q8" s="1601"/>
      <c r="R8" s="1601"/>
      <c r="S8" s="1601"/>
      <c r="T8" s="1601"/>
      <c r="U8" s="1601"/>
      <c r="V8" s="1601"/>
      <c r="W8" s="1601"/>
      <c r="X8" s="1601"/>
      <c r="Y8" s="1601"/>
      <c r="Z8" s="1601"/>
      <c r="AA8" s="1601"/>
      <c r="AB8" s="1601"/>
    </row>
    <row r="9" ht="18.75" customHeight="1">
      <c r="A9" s="2266" t="s">
        <v>1797</v>
      </c>
      <c r="B9" s="2583" t="s">
        <v>518</v>
      </c>
      <c r="C9" s="2584" t="s">
        <v>1315</v>
      </c>
      <c r="D9" s="2652" t="s">
        <v>112</v>
      </c>
      <c r="E9" s="2653" t="s">
        <v>112</v>
      </c>
      <c r="F9" s="2652" t="s">
        <v>112</v>
      </c>
      <c r="G9" s="2654" t="s">
        <v>109</v>
      </c>
      <c r="H9" s="2653" t="s">
        <v>108</v>
      </c>
      <c r="I9" s="2655" t="s">
        <v>110</v>
      </c>
      <c r="J9" s="2656" t="s">
        <v>110</v>
      </c>
      <c r="K9" s="2510" t="s">
        <v>108</v>
      </c>
      <c r="L9" s="1601"/>
      <c r="M9" s="1601"/>
      <c r="N9" s="1601"/>
      <c r="O9" s="1601"/>
      <c r="P9" s="1601"/>
      <c r="Q9" s="1601"/>
      <c r="R9" s="1601"/>
      <c r="S9" s="1601"/>
      <c r="T9" s="1601"/>
      <c r="U9" s="1601"/>
      <c r="V9" s="1601"/>
      <c r="W9" s="1601"/>
      <c r="X9" s="1601"/>
      <c r="Y9" s="1601"/>
      <c r="Z9" s="1601"/>
      <c r="AA9" s="1601"/>
      <c r="AB9" s="1601"/>
    </row>
    <row r="10" ht="18.75" customHeight="1">
      <c r="A10" s="147"/>
      <c r="B10" s="2585" t="s">
        <v>519</v>
      </c>
      <c r="C10" s="2586" t="s">
        <v>1798</v>
      </c>
      <c r="D10" s="2657" t="s">
        <v>112</v>
      </c>
      <c r="E10" s="2658" t="s">
        <v>112</v>
      </c>
      <c r="F10" s="2657" t="s">
        <v>112</v>
      </c>
      <c r="G10" s="2659" t="s">
        <v>109</v>
      </c>
      <c r="H10" s="2658" t="s">
        <v>110</v>
      </c>
      <c r="I10" s="2655" t="s">
        <v>110</v>
      </c>
      <c r="J10" s="2381" t="s">
        <v>110</v>
      </c>
      <c r="K10" s="2510" t="s">
        <v>109</v>
      </c>
      <c r="L10" s="1601"/>
      <c r="M10" s="1601"/>
      <c r="N10" s="1601"/>
      <c r="O10" s="1601"/>
      <c r="P10" s="1601"/>
      <c r="Q10" s="1601"/>
      <c r="R10" s="1601"/>
      <c r="S10" s="1601"/>
      <c r="T10" s="1601"/>
      <c r="U10" s="1601"/>
      <c r="V10" s="1601"/>
      <c r="W10" s="1601"/>
      <c r="X10" s="1601"/>
      <c r="Y10" s="1601"/>
      <c r="Z10" s="1601"/>
      <c r="AA10" s="1601"/>
      <c r="AB10" s="1601"/>
    </row>
    <row r="11" ht="18.75" customHeight="1">
      <c r="A11" s="147"/>
      <c r="B11" s="2660" t="s">
        <v>31</v>
      </c>
      <c r="C11" s="2593" t="s">
        <v>1278</v>
      </c>
      <c r="D11" s="2657" t="s">
        <v>112</v>
      </c>
      <c r="E11" s="2658" t="s">
        <v>112</v>
      </c>
      <c r="F11" s="2657" t="s">
        <v>112</v>
      </c>
      <c r="G11" s="2659" t="s">
        <v>113</v>
      </c>
      <c r="H11" s="2658" t="s">
        <v>108</v>
      </c>
      <c r="I11" s="2655" t="s">
        <v>110</v>
      </c>
      <c r="J11" s="2381" t="s">
        <v>110</v>
      </c>
      <c r="K11" s="2510" t="s">
        <v>110</v>
      </c>
      <c r="L11" s="1601"/>
      <c r="M11" s="1601"/>
      <c r="N11" s="1601"/>
      <c r="O11" s="1601"/>
      <c r="P11" s="1601"/>
      <c r="Q11" s="1601"/>
      <c r="R11" s="1601"/>
      <c r="S11" s="1601"/>
      <c r="T11" s="1601"/>
      <c r="U11" s="1601"/>
      <c r="V11" s="1601"/>
      <c r="W11" s="1601"/>
      <c r="X11" s="1601"/>
      <c r="Y11" s="1601"/>
      <c r="Z11" s="1601"/>
      <c r="AA11" s="1601"/>
      <c r="AB11" s="1601"/>
    </row>
    <row r="12" ht="18.75" customHeight="1">
      <c r="A12" s="159"/>
      <c r="B12" s="2661" t="s">
        <v>522</v>
      </c>
      <c r="C12" s="2662" t="s">
        <v>1316</v>
      </c>
      <c r="D12" s="2657" t="s">
        <v>112</v>
      </c>
      <c r="E12" s="2658" t="s">
        <v>108</v>
      </c>
      <c r="F12" s="2657" t="s">
        <v>108</v>
      </c>
      <c r="G12" s="2659" t="s">
        <v>108</v>
      </c>
      <c r="H12" s="2658" t="s">
        <v>108</v>
      </c>
      <c r="I12" s="2655" t="s">
        <v>108</v>
      </c>
      <c r="J12" s="2381" t="s">
        <v>108</v>
      </c>
      <c r="K12" s="2510" t="s">
        <v>108</v>
      </c>
      <c r="L12" s="1601"/>
      <c r="M12" s="1601"/>
      <c r="N12" s="1601"/>
      <c r="O12" s="1601"/>
      <c r="P12" s="1601"/>
      <c r="Q12" s="1601"/>
      <c r="R12" s="1601"/>
      <c r="S12" s="1601"/>
      <c r="T12" s="1601"/>
      <c r="U12" s="1601"/>
      <c r="V12" s="1601"/>
      <c r="W12" s="1601"/>
      <c r="X12" s="1601"/>
      <c r="Y12" s="1601"/>
      <c r="Z12" s="1601"/>
      <c r="AA12" s="1601"/>
      <c r="AB12" s="1601"/>
    </row>
    <row r="13" ht="6.0" customHeight="1">
      <c r="A13" s="2514"/>
      <c r="B13" s="2526"/>
      <c r="C13" s="2526"/>
      <c r="D13" s="2663" t="str">
        <f t="shared" ref="D13:K13" si="2">LINKURL(D7)</f>
        <v>https://www.reddit.com/r/RMTK/comments/9uriq3</v>
      </c>
      <c r="E13" s="2664" t="str">
        <f t="shared" si="2"/>
        <v>https://www.reddit.com/r/RMTK/comments/9uriq3</v>
      </c>
      <c r="F13" s="2663" t="str">
        <f t="shared" si="2"/>
        <v>https://www.reddit.com/r/RMTK/comments/a0wpec/</v>
      </c>
      <c r="G13" s="2665" t="str">
        <f t="shared" si="2"/>
        <v>https://reddit.com/r/RMTK/comments/a7lfim</v>
      </c>
      <c r="H13" s="2664" t="str">
        <f t="shared" si="2"/>
        <v>https://reddit.com/r/RMTK/comments/abwerm</v>
      </c>
      <c r="I13" s="2666" t="str">
        <f t="shared" si="2"/>
        <v>https://reddit.com/r/RMTK/comments/abwerm</v>
      </c>
      <c r="J13" s="2667" t="str">
        <f t="shared" si="2"/>
        <v>https://reddit.com/r/RMTK/comments/aehqrq</v>
      </c>
      <c r="K13" s="2664" t="str">
        <f t="shared" si="2"/>
        <v>https://reddit.com/r/RMTK/comments/aiejgc</v>
      </c>
      <c r="L13" s="1601"/>
      <c r="M13" s="1601"/>
      <c r="N13" s="1601"/>
      <c r="O13" s="1601"/>
      <c r="P13" s="1601"/>
      <c r="Q13" s="1601"/>
      <c r="R13" s="1601"/>
      <c r="S13" s="1601"/>
      <c r="T13" s="1601"/>
      <c r="U13" s="1601"/>
      <c r="V13" s="1601"/>
      <c r="W13" s="1601"/>
      <c r="X13" s="1601"/>
      <c r="Y13" s="1601"/>
      <c r="Z13" s="1601"/>
      <c r="AA13" s="1601"/>
      <c r="AB13" s="1601"/>
    </row>
    <row r="14" ht="18.75" customHeight="1">
      <c r="A14" s="2266" t="s">
        <v>1805</v>
      </c>
      <c r="B14" s="2668" t="s">
        <v>520</v>
      </c>
      <c r="C14" s="2669" t="s">
        <v>521</v>
      </c>
      <c r="D14" s="2657" t="s">
        <v>113</v>
      </c>
      <c r="E14" s="2658" t="s">
        <v>112</v>
      </c>
      <c r="F14" s="2670" t="s">
        <v>112</v>
      </c>
      <c r="G14" s="2659" t="s">
        <v>110</v>
      </c>
      <c r="H14" s="2658" t="s">
        <v>110</v>
      </c>
      <c r="I14" s="2655" t="s">
        <v>110</v>
      </c>
      <c r="J14" s="2671" t="s">
        <v>110</v>
      </c>
      <c r="K14" s="2510" t="s">
        <v>109</v>
      </c>
      <c r="L14" s="1601"/>
      <c r="M14" s="1601"/>
      <c r="N14" s="1601"/>
      <c r="O14" s="1601"/>
      <c r="P14" s="1601"/>
      <c r="Q14" s="1601"/>
      <c r="R14" s="1601"/>
      <c r="S14" s="1601"/>
      <c r="T14" s="1601"/>
      <c r="U14" s="1601"/>
      <c r="V14" s="1601"/>
      <c r="W14" s="1601"/>
      <c r="X14" s="1601"/>
      <c r="Y14" s="1601"/>
      <c r="Z14" s="1601"/>
      <c r="AA14" s="1601"/>
      <c r="AB14" s="1601"/>
    </row>
    <row r="15" ht="18.75" customHeight="1">
      <c r="A15" s="147"/>
      <c r="B15" s="2594" t="s">
        <v>524</v>
      </c>
      <c r="C15" s="2672" t="s">
        <v>155</v>
      </c>
      <c r="D15" s="2657" t="s">
        <v>112</v>
      </c>
      <c r="E15" s="2658" t="s">
        <v>113</v>
      </c>
      <c r="F15" s="2673" t="s">
        <v>117</v>
      </c>
      <c r="G15" s="2659" t="s">
        <v>109</v>
      </c>
      <c r="H15" s="2658" t="s">
        <v>109</v>
      </c>
      <c r="I15" s="2655" t="s">
        <v>109</v>
      </c>
      <c r="J15" s="2673" t="s">
        <v>117</v>
      </c>
      <c r="K15" s="2510" t="s">
        <v>110</v>
      </c>
      <c r="L15" s="1601"/>
      <c r="M15" s="1601"/>
      <c r="N15" s="1601"/>
      <c r="O15" s="1601"/>
      <c r="P15" s="1601"/>
      <c r="Q15" s="1601"/>
      <c r="R15" s="1601"/>
      <c r="S15" s="1601"/>
      <c r="T15" s="1601"/>
      <c r="U15" s="1601"/>
      <c r="V15" s="1601"/>
      <c r="W15" s="1601"/>
      <c r="X15" s="1601"/>
      <c r="Y15" s="1601"/>
      <c r="Z15" s="1601"/>
      <c r="AA15" s="1601"/>
      <c r="AB15" s="1601"/>
    </row>
    <row r="16" ht="18.75" customHeight="1">
      <c r="A16" s="147"/>
      <c r="B16" s="2597" t="s">
        <v>526</v>
      </c>
      <c r="C16" s="2598" t="s">
        <v>871</v>
      </c>
      <c r="D16" s="2670" t="s">
        <v>113</v>
      </c>
      <c r="E16" s="2658" t="s">
        <v>113</v>
      </c>
      <c r="F16" s="2670" t="s">
        <v>108</v>
      </c>
      <c r="G16" s="2659" t="s">
        <v>109</v>
      </c>
      <c r="H16" s="2658" t="s">
        <v>109</v>
      </c>
      <c r="I16" s="2655" t="s">
        <v>109</v>
      </c>
      <c r="J16" s="2381" t="s">
        <v>109</v>
      </c>
      <c r="K16" s="2510" t="s">
        <v>110</v>
      </c>
      <c r="L16" s="1601"/>
      <c r="M16" s="1601"/>
      <c r="N16" s="1601"/>
      <c r="O16" s="1601"/>
      <c r="P16" s="1601"/>
      <c r="Q16" s="1601"/>
      <c r="R16" s="1601"/>
      <c r="S16" s="1601"/>
      <c r="T16" s="1601"/>
      <c r="U16" s="1601"/>
      <c r="V16" s="1601"/>
      <c r="W16" s="1601"/>
      <c r="X16" s="1601"/>
      <c r="Y16" s="1601"/>
      <c r="Z16" s="1601"/>
      <c r="AA16" s="1601"/>
      <c r="AB16" s="1601"/>
    </row>
    <row r="17" ht="18.75" customHeight="1">
      <c r="A17" s="147"/>
      <c r="B17" s="2599" t="s">
        <v>528</v>
      </c>
      <c r="C17" s="2600" t="s">
        <v>513</v>
      </c>
      <c r="D17" s="2657" t="s">
        <v>112</v>
      </c>
      <c r="E17" s="2658" t="s">
        <v>113</v>
      </c>
      <c r="F17" s="2670" t="s">
        <v>112</v>
      </c>
      <c r="G17" s="2659" t="s">
        <v>108</v>
      </c>
      <c r="H17" s="2658" t="s">
        <v>108</v>
      </c>
      <c r="I17" s="2655" t="s">
        <v>108</v>
      </c>
      <c r="J17" s="2381" t="s">
        <v>108</v>
      </c>
      <c r="K17" s="2510" t="s">
        <v>108</v>
      </c>
      <c r="L17" s="1601"/>
      <c r="M17" s="1601"/>
      <c r="N17" s="1601"/>
      <c r="O17" s="1601"/>
      <c r="P17" s="1601"/>
      <c r="Q17" s="1601"/>
      <c r="R17" s="1601"/>
      <c r="S17" s="1601"/>
      <c r="T17" s="1601"/>
      <c r="U17" s="1601"/>
      <c r="V17" s="1601"/>
      <c r="W17" s="1601"/>
      <c r="X17" s="1601"/>
      <c r="Y17" s="1601"/>
      <c r="Z17" s="1601"/>
      <c r="AA17" s="1601"/>
      <c r="AB17" s="1601"/>
    </row>
    <row r="18" ht="18.75" customHeight="1">
      <c r="A18" s="147"/>
      <c r="B18" s="2601" t="s">
        <v>452</v>
      </c>
      <c r="C18" s="2602" t="s">
        <v>1311</v>
      </c>
      <c r="D18" s="2657" t="s">
        <v>108</v>
      </c>
      <c r="E18" s="2658" t="s">
        <v>108</v>
      </c>
      <c r="F18" s="2670" t="s">
        <v>108</v>
      </c>
      <c r="G18" s="2659" t="s">
        <v>108</v>
      </c>
      <c r="H18" s="2658" t="s">
        <v>108</v>
      </c>
      <c r="I18" s="2655" t="s">
        <v>110</v>
      </c>
      <c r="J18" s="2381" t="s">
        <v>109</v>
      </c>
      <c r="K18" s="2510" t="s">
        <v>109</v>
      </c>
      <c r="L18" s="1601"/>
      <c r="M18" s="1601"/>
      <c r="N18" s="1601"/>
      <c r="O18" s="1601"/>
      <c r="P18" s="1601"/>
      <c r="Q18" s="1601"/>
      <c r="R18" s="1601"/>
      <c r="S18" s="1601"/>
      <c r="T18" s="1601"/>
      <c r="U18" s="1601"/>
      <c r="V18" s="1601"/>
      <c r="W18" s="1601"/>
      <c r="X18" s="1601"/>
      <c r="Y18" s="1601"/>
      <c r="Z18" s="1601"/>
      <c r="AA18" s="1601"/>
      <c r="AB18" s="1601"/>
    </row>
    <row r="19" ht="18.75" customHeight="1">
      <c r="A19" s="147"/>
      <c r="B19" s="2674" t="s">
        <v>533</v>
      </c>
      <c r="C19" s="2675" t="s">
        <v>1806</v>
      </c>
      <c r="D19" s="2657" t="s">
        <v>113</v>
      </c>
      <c r="E19" s="2658" t="s">
        <v>108</v>
      </c>
      <c r="F19" s="2673" t="s">
        <v>117</v>
      </c>
      <c r="G19" s="2659" t="s">
        <v>108</v>
      </c>
      <c r="H19" s="2658" t="s">
        <v>108</v>
      </c>
      <c r="I19" s="2440" t="s">
        <v>119</v>
      </c>
      <c r="J19" s="2270" t="s">
        <v>119</v>
      </c>
      <c r="K19" s="2269" t="s">
        <v>119</v>
      </c>
      <c r="L19" s="1601"/>
      <c r="M19" s="1601"/>
      <c r="N19" s="1601"/>
      <c r="O19" s="1601"/>
      <c r="P19" s="1601"/>
      <c r="Q19" s="1601"/>
      <c r="R19" s="1601"/>
      <c r="S19" s="1601"/>
      <c r="T19" s="1601"/>
      <c r="U19" s="1601"/>
      <c r="V19" s="1601"/>
      <c r="W19" s="1601"/>
      <c r="X19" s="1601"/>
      <c r="Y19" s="1601"/>
      <c r="Z19" s="1601"/>
      <c r="AA19" s="1601"/>
      <c r="AB19" s="1601"/>
    </row>
    <row r="20" ht="18.75" customHeight="1">
      <c r="A20" s="147"/>
      <c r="B20" s="2587" t="s">
        <v>597</v>
      </c>
      <c r="C20" s="2676" t="s">
        <v>378</v>
      </c>
      <c r="D20" s="2270" t="s">
        <v>119</v>
      </c>
      <c r="E20" s="2269" t="s">
        <v>119</v>
      </c>
      <c r="F20" s="2269" t="s">
        <v>119</v>
      </c>
      <c r="G20" s="2677" t="s">
        <v>119</v>
      </c>
      <c r="H20" s="2269" t="s">
        <v>119</v>
      </c>
      <c r="I20" s="2678" t="s">
        <v>109</v>
      </c>
      <c r="J20" s="2671" t="s">
        <v>110</v>
      </c>
      <c r="K20" s="613" t="s">
        <v>109</v>
      </c>
      <c r="L20" s="1601"/>
      <c r="M20" s="1601"/>
      <c r="N20" s="1601"/>
      <c r="O20" s="1601"/>
      <c r="P20" s="1601"/>
      <c r="Q20" s="1601"/>
      <c r="R20" s="1601"/>
      <c r="S20" s="1601"/>
      <c r="T20" s="1601"/>
      <c r="U20" s="1601"/>
      <c r="V20" s="1601"/>
      <c r="W20" s="1601"/>
      <c r="X20" s="1601"/>
      <c r="Y20" s="1601"/>
      <c r="Z20" s="1601"/>
      <c r="AA20" s="1601"/>
      <c r="AB20" s="1601"/>
    </row>
    <row r="21" ht="6.0" customHeight="1">
      <c r="A21" s="2514"/>
      <c r="B21" s="2526"/>
      <c r="C21" s="2527"/>
      <c r="D21" s="2007" t="str">
        <f t="shared" ref="D21:K21" si="3">CONCATENATE("{""status"": ", IF(GT(D22, D23), """aangenomen""", """verworpen"""), ", ""title"": """, D7, """, ""url"": """,D13  , """, ""voor"":", D22,", ""tegen"": ", D23, ", ""onthouden"":", D24, "}")</f>
        <v>{"status": "aangenomen", "title": "W0001", "url": "https://www.reddit.com/r/RMTK/comments/9uriq3", "voor":6, "tegen": 3, "onthouden":0}</v>
      </c>
      <c r="E21" s="2007" t="str">
        <f t="shared" si="3"/>
        <v>{"status": "aangenomen", "title": "W0002", "url": "https://www.reddit.com/r/RMTK/comments/9uriq3", "voor":4, "tegen": 3, "onthouden":0}</v>
      </c>
      <c r="F21" s="2007" t="str">
        <f t="shared" si="3"/>
        <v>{"status": "aangenomen", "title": "W0003", "url": "https://www.reddit.com/r/RMTK/comments/a0wpec/", "voor":5, "tegen": 0, "onthouden":2}</v>
      </c>
      <c r="G21" s="2007" t="str">
        <f t="shared" si="3"/>
        <v>{"status": "verworpen", "title": "W0004", "url": "https://reddit.com/r/RMTK/comments/a7lfim", "voor":1, "tegen": 5, "onthouden":0}</v>
      </c>
      <c r="H21" s="2007" t="str">
        <f t="shared" si="3"/>
        <v>{"status": "verworpen", "title": "W0006", "url": "https://reddit.com/r/RMTK/comments/abwerm", "voor":2, "tegen": 2, "onthouden":0}</v>
      </c>
      <c r="I21" s="2679" t="str">
        <f t="shared" si="3"/>
        <v>{"status": "aangenomen", "title": "W0006", "url": "https://reddit.com/r/RMTK/comments/abwerm", "voor":5, "tegen": 3, "onthouden":0}</v>
      </c>
      <c r="J21" s="2680" t="str">
        <f t="shared" si="3"/>
        <v>{"status": "aangenomen", "title": "W0008", "url": "https://reddit.com/r/RMTK/comments/aehqrq", "voor":5, "tegen": 2, "onthouden":1}</v>
      </c>
      <c r="K21" s="2681" t="str">
        <f t="shared" si="3"/>
        <v>{"status": "verworpen", "title": "TE0001", "url": "https://reddit.com/r/RMTK/comments/aiejgc", "voor":3, "tegen": 4, "onthouden":0}</v>
      </c>
      <c r="L21" s="1601"/>
      <c r="M21" s="1601"/>
      <c r="N21" s="1601"/>
      <c r="O21" s="1601"/>
      <c r="P21" s="1601"/>
      <c r="Q21" s="1601"/>
      <c r="R21" s="1601"/>
      <c r="S21" s="1601"/>
      <c r="T21" s="1601"/>
      <c r="U21" s="1601"/>
      <c r="V21" s="1601"/>
      <c r="W21" s="1601"/>
      <c r="X21" s="1601"/>
      <c r="Y21" s="1601"/>
      <c r="Z21" s="1601"/>
      <c r="AA21" s="1601"/>
      <c r="AB21" s="1601"/>
    </row>
    <row r="22" ht="18.75" customHeight="1">
      <c r="A22" s="2406" t="s">
        <v>158</v>
      </c>
      <c r="B22" s="2407" t="s">
        <v>110</v>
      </c>
      <c r="D22" s="2408">
        <f t="shared" ref="D22:K22" si="4">COUNTIF(D6:D20,"Voor")</f>
        <v>6</v>
      </c>
      <c r="E22" s="2529">
        <f t="shared" si="4"/>
        <v>4</v>
      </c>
      <c r="F22" s="2529">
        <f t="shared" si="4"/>
        <v>5</v>
      </c>
      <c r="G22" s="2529">
        <f t="shared" si="4"/>
        <v>1</v>
      </c>
      <c r="H22" s="2529">
        <f t="shared" si="4"/>
        <v>2</v>
      </c>
      <c r="I22" s="2529">
        <f t="shared" si="4"/>
        <v>5</v>
      </c>
      <c r="J22" s="2529">
        <f t="shared" si="4"/>
        <v>5</v>
      </c>
      <c r="K22" s="2529">
        <f t="shared" si="4"/>
        <v>3</v>
      </c>
      <c r="L22" s="1601"/>
      <c r="M22" s="1601"/>
      <c r="N22" s="1601"/>
      <c r="O22" s="1601"/>
      <c r="P22" s="1601"/>
      <c r="Q22" s="1601"/>
      <c r="R22" s="1601"/>
      <c r="S22" s="1601"/>
      <c r="T22" s="1601"/>
      <c r="U22" s="1601"/>
      <c r="V22" s="1601"/>
      <c r="W22" s="1601"/>
      <c r="X22" s="1601"/>
      <c r="Y22" s="1601"/>
      <c r="Z22" s="1601"/>
      <c r="AA22" s="1601"/>
      <c r="AB22" s="1601"/>
    </row>
    <row r="23" ht="18.75" customHeight="1">
      <c r="B23" s="2409" t="s">
        <v>109</v>
      </c>
      <c r="D23" s="2410">
        <f t="shared" ref="D23:K23" si="5">COUNTIF(D6:D20,"Tegen")</f>
        <v>3</v>
      </c>
      <c r="E23" s="2530">
        <f t="shared" si="5"/>
        <v>3</v>
      </c>
      <c r="F23" s="2530">
        <f t="shared" si="5"/>
        <v>0</v>
      </c>
      <c r="G23" s="2530">
        <f t="shared" si="5"/>
        <v>5</v>
      </c>
      <c r="H23" s="2530">
        <f t="shared" si="5"/>
        <v>2</v>
      </c>
      <c r="I23" s="2530">
        <f t="shared" si="5"/>
        <v>3</v>
      </c>
      <c r="J23" s="2530">
        <f t="shared" si="5"/>
        <v>2</v>
      </c>
      <c r="K23" s="2530">
        <f t="shared" si="5"/>
        <v>4</v>
      </c>
      <c r="L23" s="1601"/>
      <c r="M23" s="1601"/>
      <c r="N23" s="1601"/>
      <c r="O23" s="1601"/>
      <c r="P23" s="1601"/>
      <c r="Q23" s="1601"/>
      <c r="R23" s="1601"/>
      <c r="S23" s="1601"/>
      <c r="T23" s="1601"/>
      <c r="U23" s="1601"/>
      <c r="V23" s="1601"/>
      <c r="W23" s="1601"/>
      <c r="X23" s="1601"/>
      <c r="Y23" s="1601"/>
      <c r="Z23" s="1601"/>
      <c r="AA23" s="1601"/>
      <c r="AB23" s="1601"/>
    </row>
    <row r="24" ht="18.75" customHeight="1">
      <c r="B24" s="2531" t="s">
        <v>159</v>
      </c>
      <c r="D24" s="2412">
        <f t="shared" ref="D24:K24" si="6">COUNTIF(D6:D20,"SO")</f>
        <v>0</v>
      </c>
      <c r="E24" s="2532">
        <f t="shared" si="6"/>
        <v>0</v>
      </c>
      <c r="F24" s="2532">
        <f t="shared" si="6"/>
        <v>2</v>
      </c>
      <c r="G24" s="2532">
        <f t="shared" si="6"/>
        <v>0</v>
      </c>
      <c r="H24" s="2532">
        <f t="shared" si="6"/>
        <v>0</v>
      </c>
      <c r="I24" s="2532">
        <f t="shared" si="6"/>
        <v>0</v>
      </c>
      <c r="J24" s="2532">
        <f t="shared" si="6"/>
        <v>1</v>
      </c>
      <c r="K24" s="2532">
        <f t="shared" si="6"/>
        <v>0</v>
      </c>
      <c r="L24" s="1601"/>
      <c r="M24" s="1601"/>
      <c r="N24" s="1601"/>
      <c r="O24" s="1601"/>
      <c r="P24" s="1601"/>
      <c r="Q24" s="1601"/>
      <c r="R24" s="1601"/>
      <c r="S24" s="1601"/>
      <c r="T24" s="1601"/>
      <c r="U24" s="1601"/>
      <c r="V24" s="1601"/>
      <c r="W24" s="1601"/>
      <c r="X24" s="1601"/>
      <c r="Y24" s="1601"/>
      <c r="Z24" s="1601"/>
      <c r="AA24" s="1601"/>
      <c r="AB24" s="1601"/>
    </row>
    <row r="25" ht="18.75" customHeight="1">
      <c r="B25" s="2533" t="s">
        <v>160</v>
      </c>
      <c r="D25" s="2414">
        <f t="shared" ref="D25:K25" si="7">COUNTIF(D6:D20,"NG")</f>
        <v>1</v>
      </c>
      <c r="E25" s="2534">
        <f t="shared" si="7"/>
        <v>3</v>
      </c>
      <c r="F25" s="2534">
        <f t="shared" si="7"/>
        <v>3</v>
      </c>
      <c r="G25" s="2534">
        <f t="shared" si="7"/>
        <v>4</v>
      </c>
      <c r="H25" s="2534">
        <f t="shared" si="7"/>
        <v>6</v>
      </c>
      <c r="I25" s="2534">
        <f t="shared" si="7"/>
        <v>2</v>
      </c>
      <c r="J25" s="2534">
        <f t="shared" si="7"/>
        <v>2</v>
      </c>
      <c r="K25" s="2534">
        <f t="shared" si="7"/>
        <v>3</v>
      </c>
      <c r="L25" s="1601"/>
      <c r="M25" s="1601"/>
      <c r="N25" s="1601"/>
      <c r="O25" s="1601"/>
      <c r="P25" s="1601"/>
      <c r="Q25" s="1601"/>
      <c r="R25" s="1601"/>
      <c r="S25" s="1601"/>
      <c r="T25" s="1601"/>
      <c r="U25" s="1601"/>
      <c r="V25" s="1601"/>
      <c r="W25" s="1601"/>
      <c r="X25" s="1601"/>
      <c r="Y25" s="1601"/>
      <c r="Z25" s="1601"/>
      <c r="AA25" s="1601"/>
      <c r="AB25" s="1601"/>
    </row>
    <row r="26" ht="18.75" customHeight="1">
      <c r="B26" s="2415" t="s">
        <v>161</v>
      </c>
      <c r="D26" s="2492">
        <f t="shared" ref="D26:K26" si="8">SUM(D22:D25)</f>
        <v>10</v>
      </c>
      <c r="E26" s="2416">
        <f t="shared" si="8"/>
        <v>10</v>
      </c>
      <c r="F26" s="2416">
        <f t="shared" si="8"/>
        <v>10</v>
      </c>
      <c r="G26" s="2416">
        <f t="shared" si="8"/>
        <v>10</v>
      </c>
      <c r="H26" s="2416">
        <f t="shared" si="8"/>
        <v>10</v>
      </c>
      <c r="I26" s="2416">
        <f t="shared" si="8"/>
        <v>10</v>
      </c>
      <c r="J26" s="2416">
        <f t="shared" si="8"/>
        <v>10</v>
      </c>
      <c r="K26" s="2416">
        <f t="shared" si="8"/>
        <v>10</v>
      </c>
      <c r="L26" s="1601"/>
      <c r="M26" s="1601"/>
      <c r="N26" s="1601"/>
      <c r="O26" s="1601"/>
      <c r="P26" s="1601"/>
      <c r="Q26" s="1601"/>
      <c r="R26" s="1601"/>
      <c r="S26" s="1601"/>
      <c r="T26" s="1601"/>
      <c r="U26" s="1601"/>
      <c r="V26" s="1601"/>
      <c r="W26" s="1601"/>
      <c r="X26" s="1601"/>
      <c r="Y26" s="1601"/>
      <c r="Z26" s="1601"/>
      <c r="AA26" s="1601"/>
      <c r="AB26" s="1601"/>
    </row>
    <row r="27" ht="18.75" customHeight="1">
      <c r="B27" s="2417" t="s">
        <v>162</v>
      </c>
      <c r="D27" s="2493">
        <f t="shared" ref="D27:K27" si="9">D22+D23+D24</f>
        <v>9</v>
      </c>
      <c r="E27" s="2418">
        <f t="shared" si="9"/>
        <v>7</v>
      </c>
      <c r="F27" s="2418">
        <f t="shared" si="9"/>
        <v>7</v>
      </c>
      <c r="G27" s="2418">
        <f t="shared" si="9"/>
        <v>6</v>
      </c>
      <c r="H27" s="2418">
        <f t="shared" si="9"/>
        <v>4</v>
      </c>
      <c r="I27" s="2418">
        <f t="shared" si="9"/>
        <v>8</v>
      </c>
      <c r="J27" s="2418">
        <f t="shared" si="9"/>
        <v>8</v>
      </c>
      <c r="K27" s="2418">
        <f t="shared" si="9"/>
        <v>7</v>
      </c>
      <c r="L27" s="1601"/>
      <c r="M27" s="1601"/>
      <c r="N27" s="1601"/>
      <c r="O27" s="1601"/>
      <c r="P27" s="1601"/>
      <c r="Q27" s="1601"/>
      <c r="R27" s="1601"/>
      <c r="S27" s="1601"/>
      <c r="T27" s="1601"/>
      <c r="U27" s="1601"/>
      <c r="V27" s="1601"/>
      <c r="W27" s="1601"/>
      <c r="X27" s="1601"/>
      <c r="Y27" s="1601"/>
      <c r="Z27" s="1601"/>
      <c r="AA27" s="1601"/>
      <c r="AB27" s="1601"/>
    </row>
    <row r="28" ht="18.75" customHeight="1">
      <c r="B28" s="2419" t="s">
        <v>163</v>
      </c>
      <c r="C28" s="109"/>
      <c r="D28" s="2494">
        <f t="shared" ref="D28:K28" si="10">IFERROR(D27/D26,"")</f>
        <v>0.9</v>
      </c>
      <c r="E28" s="2420">
        <f t="shared" si="10"/>
        <v>0.7</v>
      </c>
      <c r="F28" s="2420">
        <f t="shared" si="10"/>
        <v>0.7</v>
      </c>
      <c r="G28" s="2420">
        <f t="shared" si="10"/>
        <v>0.6</v>
      </c>
      <c r="H28" s="2420">
        <f t="shared" si="10"/>
        <v>0.4</v>
      </c>
      <c r="I28" s="2420">
        <f t="shared" si="10"/>
        <v>0.8</v>
      </c>
      <c r="J28" s="2420">
        <f t="shared" si="10"/>
        <v>0.8</v>
      </c>
      <c r="K28" s="2420">
        <f t="shared" si="10"/>
        <v>0.7</v>
      </c>
      <c r="L28" s="1601"/>
      <c r="M28" s="1601"/>
      <c r="N28" s="1601"/>
      <c r="O28" s="1601"/>
      <c r="P28" s="1601"/>
      <c r="Q28" s="1601"/>
      <c r="R28" s="1601"/>
      <c r="S28" s="1601"/>
      <c r="T28" s="1601"/>
      <c r="U28" s="1601"/>
      <c r="V28" s="1601"/>
      <c r="W28" s="1601"/>
      <c r="X28" s="1601"/>
      <c r="Y28" s="1601"/>
      <c r="Z28" s="1601"/>
      <c r="AA28" s="1601"/>
      <c r="AB28" s="1601"/>
    </row>
    <row r="29" ht="18.75" customHeight="1">
      <c r="A29" s="1599"/>
      <c r="B29" s="1599"/>
      <c r="C29" s="1599"/>
      <c r="D29" s="1601"/>
      <c r="E29" s="1601"/>
      <c r="F29" s="1601"/>
      <c r="G29" s="1601"/>
      <c r="H29" s="1601"/>
      <c r="I29" s="1601"/>
      <c r="J29" s="1601"/>
      <c r="K29" s="1601"/>
      <c r="L29" s="1601"/>
      <c r="M29" s="1601"/>
      <c r="N29" s="1601"/>
      <c r="O29" s="1601"/>
      <c r="P29" s="1601"/>
      <c r="Q29" s="1601"/>
      <c r="R29" s="1601"/>
      <c r="S29" s="1601"/>
      <c r="T29" s="1601"/>
      <c r="U29" s="1601"/>
      <c r="V29" s="1601"/>
      <c r="W29" s="1601"/>
      <c r="X29" s="1601"/>
      <c r="Y29" s="1601"/>
      <c r="Z29" s="1601"/>
      <c r="AA29" s="1601"/>
      <c r="AB29" s="1601"/>
    </row>
    <row r="30" ht="18.75" customHeight="1">
      <c r="A30" s="1601"/>
      <c r="B30" s="1601"/>
      <c r="C30" s="1601"/>
      <c r="D30" s="1601"/>
      <c r="E30" s="1601"/>
      <c r="F30" s="1601"/>
      <c r="G30" s="1601"/>
      <c r="H30" s="1601"/>
      <c r="I30" s="1601"/>
      <c r="J30" s="1601"/>
      <c r="K30" s="1601"/>
      <c r="L30" s="1601"/>
      <c r="M30" s="1601"/>
      <c r="N30" s="1601"/>
      <c r="O30" s="1601"/>
      <c r="P30" s="1601"/>
      <c r="Q30" s="1601"/>
      <c r="R30" s="1601"/>
      <c r="S30" s="1601"/>
      <c r="T30" s="1601"/>
      <c r="U30" s="1601"/>
      <c r="V30" s="1601"/>
      <c r="W30" s="1601"/>
      <c r="X30" s="1601"/>
      <c r="Y30" s="1601"/>
      <c r="Z30" s="1601"/>
      <c r="AA30" s="1601"/>
      <c r="AB30" s="1601"/>
    </row>
  </sheetData>
  <mergeCells count="15">
    <mergeCell ref="A22:A28"/>
    <mergeCell ref="B22:C22"/>
    <mergeCell ref="B23:C23"/>
    <mergeCell ref="B24:C24"/>
    <mergeCell ref="B25:C25"/>
    <mergeCell ref="B26:C26"/>
    <mergeCell ref="B27:C27"/>
    <mergeCell ref="B28:C28"/>
    <mergeCell ref="A2:C2"/>
    <mergeCell ref="D2:N2"/>
    <mergeCell ref="A4:C4"/>
    <mergeCell ref="D4:K6"/>
    <mergeCell ref="A5:C6"/>
    <mergeCell ref="A9:A12"/>
    <mergeCell ref="A14:A20"/>
  </mergeCells>
  <conditionalFormatting sqref="D13 I19:K20 D20:H20">
    <cfRule type="containsText" dxfId="2" priority="1" operator="containsText" text="SO">
      <formula>NOT(ISERROR(SEARCH(("SO"),(D13))))</formula>
    </cfRule>
  </conditionalFormatting>
  <conditionalFormatting sqref="D13">
    <cfRule type="containsText" dxfId="49" priority="2" operator="containsText" text="voor">
      <formula>NOT(ISERROR(SEARCH(("voor"),(D13))))</formula>
    </cfRule>
  </conditionalFormatting>
  <conditionalFormatting sqref="D13 I19:K20 D20:H20">
    <cfRule type="containsText" dxfId="5" priority="3" operator="containsText" text="NG">
      <formula>NOT(ISERROR(SEARCH(("NG"),(D13))))</formula>
    </cfRule>
  </conditionalFormatting>
  <conditionalFormatting sqref="D13 I19:K20 D20:H20">
    <cfRule type="containsText" dxfId="6" priority="4" operator="containsText" text="NVT">
      <formula>NOT(ISERROR(SEARCH(("NVT"),(D13))))</formula>
    </cfRule>
  </conditionalFormatting>
  <conditionalFormatting sqref="A1:K3 L1:AB29 J7:K20 I8:I20 I22:K30 A29:C29 D29:H30">
    <cfRule type="containsText" dxfId="39" priority="5" operator="containsText" text="SO">
      <formula>NOT(ISERROR(SEARCH(("SO"),(A1))))</formula>
    </cfRule>
  </conditionalFormatting>
  <conditionalFormatting sqref="A1:K3 L1:AB29 J7:K20 I8:I20 I22:K30 A29:C29 D29:H30">
    <cfRule type="containsText" dxfId="40" priority="6" operator="containsText" text="N.v.t.">
      <formula>NOT(ISERROR(SEARCH(("N.v.t."),(A1))))</formula>
    </cfRule>
  </conditionalFormatting>
  <conditionalFormatting sqref="A1:K3 L1:AB29 J7:K20 I8:I20 I22:K30 A29:C29 D29:H30">
    <cfRule type="containsText" dxfId="23" priority="7" operator="containsText" text="Voor">
      <formula>NOT(ISERROR(SEARCH(("Voor"),(A1))))</formula>
    </cfRule>
  </conditionalFormatting>
  <conditionalFormatting sqref="A1:K3 L1:AB29 J7:K20 I8:I20 I22:K30 A29:C29 D29:H30">
    <cfRule type="containsText" dxfId="41" priority="8" operator="containsText" text="Tegen">
      <formula>NOT(ISERROR(SEARCH(("Tegen"),(A1))))</formula>
    </cfRule>
  </conditionalFormatting>
  <conditionalFormatting sqref="A1:K3 L1:AB29 J7:K20 I8:I20 I22:K30 A29:C29 D29:H30">
    <cfRule type="containsText" dxfId="42" priority="9" operator="containsText" text="N.v.t.">
      <formula>NOT(ISERROR(SEARCH(("N.v.t."),(A1))))</formula>
    </cfRule>
  </conditionalFormatting>
  <conditionalFormatting sqref="A1:K3 L1:AB29 J7:K20 I8:I20 I22:K30 A29:C29 D29:H30">
    <cfRule type="cellIs" dxfId="39" priority="10" operator="equal">
      <formula>"SO"</formula>
    </cfRule>
  </conditionalFormatting>
  <conditionalFormatting sqref="A1:K3 L1:AB29 J7:K20 I8:I20 I22:K30 A29:C29 D29:H30">
    <cfRule type="cellIs" dxfId="43" priority="11" operator="equal">
      <formula>"NG"</formula>
    </cfRule>
  </conditionalFormatting>
  <conditionalFormatting sqref="A1:A5 B1:C4 D1:I6 J1:K20 L1:AB29 A7:B29 C7:C13 D8:I20 C16:C29 D22:K30">
    <cfRule type="containsText" dxfId="0" priority="12" operator="containsText" text="voor">
      <formula>NOT(ISERROR(SEARCH(("voor"),(A1))))</formula>
    </cfRule>
  </conditionalFormatting>
  <conditionalFormatting sqref="A1:A5 B1:C4 D1:I6 J1:K20 L1:AB29 A7:B29 C7:C13 D8:I20 C16:C29 D22:K30">
    <cfRule type="containsText" dxfId="1" priority="13" operator="containsText" text="tegen">
      <formula>NOT(ISERROR(SEARCH(("tegen"),(A1))))</formula>
    </cfRule>
  </conditionalFormatting>
  <conditionalFormatting sqref="A1:C3 D1:I6 J1:K20 L1:AB29 D8:I20 D22:K30 A29:C29">
    <cfRule type="containsText" dxfId="44" priority="14" operator="containsText" text="SO">
      <formula>NOT(ISERROR(SEARCH(("SO"),(A1))))</formula>
    </cfRule>
  </conditionalFormatting>
  <conditionalFormatting sqref="A1:C3 D1:I6 J1:K20 L1:AB29 D8:I20 D22:K30 A29:C29">
    <cfRule type="containsText" dxfId="45" priority="15" operator="containsText" text="NG">
      <formula>NOT(ISERROR(SEARCH(("NG"),(A1))))</formula>
    </cfRule>
  </conditionalFormatting>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3000"/>
    <outlinePr summaryBelow="0" summaryRight="0"/>
  </sheetPr>
  <sheetViews>
    <sheetView workbookViewId="0">
      <pane ySplit="4.0" topLeftCell="A5" activePane="bottomLeft" state="frozen"/>
      <selection activeCell="B6" sqref="B6" pane="bottomLeft"/>
    </sheetView>
  </sheetViews>
  <sheetFormatPr customHeight="1" defaultColWidth="14.43" defaultRowHeight="15.75"/>
  <cols>
    <col customWidth="1" min="1" max="1" width="13.71"/>
    <col customWidth="1" min="2" max="11" width="7.29"/>
    <col customWidth="1" min="12" max="17" width="3.71"/>
    <col customWidth="1" min="18" max="21" width="7.29"/>
    <col customWidth="1" min="22" max="23" width="3.71"/>
    <col customWidth="1" min="24" max="26" width="7.29"/>
    <col customWidth="1" min="27" max="30" width="3.71"/>
    <col customWidth="1" min="31" max="50" width="7.29"/>
    <col customWidth="1" min="51" max="52" width="3.71"/>
    <col customWidth="1" min="53" max="63" width="7.29"/>
  </cols>
  <sheetData>
    <row r="1">
      <c r="A1" s="2682" t="s">
        <v>1807</v>
      </c>
      <c r="B1" s="2683">
        <v>2015.0</v>
      </c>
      <c r="C1" s="109"/>
      <c r="D1" s="109"/>
      <c r="E1" s="109"/>
      <c r="F1" s="109"/>
      <c r="G1" s="109"/>
      <c r="H1" s="109"/>
      <c r="I1" s="2684">
        <v>2016.0</v>
      </c>
      <c r="J1" s="109"/>
      <c r="K1" s="109"/>
      <c r="L1" s="109"/>
      <c r="M1" s="109"/>
      <c r="N1" s="109"/>
      <c r="O1" s="109"/>
      <c r="P1" s="109"/>
      <c r="Q1" s="109"/>
      <c r="R1" s="109"/>
      <c r="S1" s="109"/>
      <c r="T1" s="109"/>
      <c r="U1" s="109"/>
      <c r="V1" s="109"/>
      <c r="W1" s="109"/>
      <c r="X1" s="230"/>
      <c r="Y1" s="2684">
        <v>2017.0</v>
      </c>
      <c r="Z1" s="109"/>
      <c r="AA1" s="109"/>
      <c r="AB1" s="109"/>
      <c r="AC1" s="109"/>
      <c r="AD1" s="109"/>
      <c r="AE1" s="109"/>
      <c r="AF1" s="109"/>
      <c r="AG1" s="109"/>
      <c r="AH1" s="109"/>
      <c r="AI1" s="109"/>
      <c r="AJ1" s="109"/>
      <c r="AK1" s="109"/>
      <c r="AL1" s="230"/>
      <c r="AM1" s="2683">
        <v>2018.0</v>
      </c>
      <c r="AN1" s="109"/>
      <c r="AO1" s="109"/>
      <c r="AP1" s="109"/>
      <c r="AQ1" s="109"/>
      <c r="AR1" s="109"/>
      <c r="AS1" s="109"/>
      <c r="AT1" s="109"/>
      <c r="AU1" s="109"/>
      <c r="AV1" s="109"/>
      <c r="AW1" s="109"/>
      <c r="AX1" s="230"/>
      <c r="AY1" s="2683">
        <v>2019.0</v>
      </c>
      <c r="AZ1" s="109"/>
      <c r="BA1" s="109"/>
      <c r="BB1" s="109"/>
      <c r="BC1" s="109"/>
      <c r="BD1" s="109"/>
      <c r="BE1" s="109"/>
      <c r="BF1" s="109"/>
      <c r="BG1" s="109"/>
      <c r="BH1" s="109"/>
      <c r="BI1" s="109"/>
      <c r="BJ1" s="109"/>
      <c r="BK1" s="109"/>
    </row>
    <row r="2">
      <c r="A2" s="2682" t="s">
        <v>1808</v>
      </c>
      <c r="B2" s="2685" t="s">
        <v>1015</v>
      </c>
      <c r="C2" s="2685" t="s">
        <v>1016</v>
      </c>
      <c r="D2" s="2685" t="s">
        <v>1809</v>
      </c>
      <c r="E2" s="2685" t="s">
        <v>1810</v>
      </c>
      <c r="F2" s="2685" t="s">
        <v>1811</v>
      </c>
      <c r="G2" s="2686" t="s">
        <v>1812</v>
      </c>
      <c r="H2" s="2687" t="s">
        <v>1813</v>
      </c>
      <c r="I2" s="2688" t="s">
        <v>1814</v>
      </c>
      <c r="J2" s="2685" t="s">
        <v>1815</v>
      </c>
      <c r="K2" s="2685" t="s">
        <v>1816</v>
      </c>
      <c r="L2" s="2685" t="s">
        <v>1817</v>
      </c>
      <c r="M2" s="504"/>
      <c r="N2" s="2685" t="s">
        <v>487</v>
      </c>
      <c r="O2" s="504"/>
      <c r="P2" s="2685" t="s">
        <v>1015</v>
      </c>
      <c r="Q2" s="504"/>
      <c r="R2" s="2685" t="s">
        <v>1016</v>
      </c>
      <c r="S2" s="2685" t="s">
        <v>1809</v>
      </c>
      <c r="T2" s="2686" t="s">
        <v>1810</v>
      </c>
      <c r="U2" s="2689" t="s">
        <v>1811</v>
      </c>
      <c r="V2" s="2685" t="s">
        <v>1812</v>
      </c>
      <c r="W2" s="504"/>
      <c r="X2" s="2690" t="s">
        <v>1813</v>
      </c>
      <c r="Y2" s="2688" t="s">
        <v>1814</v>
      </c>
      <c r="Z2" s="2685" t="s">
        <v>1815</v>
      </c>
      <c r="AA2" s="2685" t="s">
        <v>1816</v>
      </c>
      <c r="AB2" s="504"/>
      <c r="AC2" s="2685" t="s">
        <v>1817</v>
      </c>
      <c r="AD2" s="504"/>
      <c r="AE2" s="2685" t="s">
        <v>487</v>
      </c>
      <c r="AF2" s="2685" t="s">
        <v>1015</v>
      </c>
      <c r="AG2" s="2685" t="s">
        <v>1016</v>
      </c>
      <c r="AH2" s="2685" t="s">
        <v>1809</v>
      </c>
      <c r="AI2" s="2686" t="s">
        <v>1810</v>
      </c>
      <c r="AJ2" s="2689" t="s">
        <v>1811</v>
      </c>
      <c r="AK2" s="2685" t="s">
        <v>1812</v>
      </c>
      <c r="AL2" s="2690" t="s">
        <v>1813</v>
      </c>
      <c r="AM2" s="2685" t="s">
        <v>1814</v>
      </c>
      <c r="AN2" s="2685" t="s">
        <v>1815</v>
      </c>
      <c r="AO2" s="2685" t="s">
        <v>1816</v>
      </c>
      <c r="AP2" s="2686" t="s">
        <v>1817</v>
      </c>
      <c r="AQ2" s="2689" t="s">
        <v>487</v>
      </c>
      <c r="AR2" s="2685" t="s">
        <v>1015</v>
      </c>
      <c r="AS2" s="2685" t="s">
        <v>1016</v>
      </c>
      <c r="AT2" s="2685" t="s">
        <v>1809</v>
      </c>
      <c r="AU2" s="2685" t="s">
        <v>1810</v>
      </c>
      <c r="AV2" s="2686" t="s">
        <v>1811</v>
      </c>
      <c r="AW2" s="2689" t="s">
        <v>1812</v>
      </c>
      <c r="AX2" s="2690" t="s">
        <v>1813</v>
      </c>
      <c r="AY2" s="2685" t="s">
        <v>1814</v>
      </c>
      <c r="AZ2" s="504"/>
      <c r="BA2" s="2685" t="s">
        <v>1815</v>
      </c>
      <c r="BB2" s="2685" t="s">
        <v>1816</v>
      </c>
      <c r="BC2" s="2685" t="s">
        <v>1817</v>
      </c>
      <c r="BD2" s="2685" t="s">
        <v>487</v>
      </c>
      <c r="BE2" s="2685" t="s">
        <v>1015</v>
      </c>
      <c r="BF2" s="2685" t="s">
        <v>1016</v>
      </c>
      <c r="BG2" s="2685" t="s">
        <v>1809</v>
      </c>
      <c r="BH2" s="2685" t="s">
        <v>1810</v>
      </c>
      <c r="BI2" s="2685" t="s">
        <v>1811</v>
      </c>
      <c r="BJ2" s="2685" t="s">
        <v>1812</v>
      </c>
      <c r="BK2" s="2685" t="s">
        <v>1813</v>
      </c>
    </row>
    <row r="3">
      <c r="A3" s="2682" t="s">
        <v>1818</v>
      </c>
      <c r="B3" s="2691" t="s">
        <v>480</v>
      </c>
      <c r="D3" s="2692"/>
      <c r="E3" s="2692"/>
      <c r="F3" s="2692" t="s">
        <v>1006</v>
      </c>
      <c r="J3" s="2692" t="s">
        <v>1007</v>
      </c>
      <c r="P3" s="2692"/>
      <c r="Q3" s="2692"/>
      <c r="R3" s="2692"/>
      <c r="S3" s="2692" t="s">
        <v>1008</v>
      </c>
      <c r="W3" s="2692"/>
      <c r="X3" s="2692"/>
      <c r="Y3" s="2692"/>
      <c r="Z3" s="2692" t="s">
        <v>1009</v>
      </c>
      <c r="AD3" s="2692"/>
      <c r="AE3" s="2692"/>
      <c r="AF3" s="2692"/>
      <c r="AG3" s="2692"/>
      <c r="AH3" s="2692" t="s">
        <v>1010</v>
      </c>
      <c r="AL3" s="2692"/>
      <c r="AM3" s="2692"/>
      <c r="AN3" s="2692"/>
      <c r="AO3" s="2692" t="s">
        <v>1011</v>
      </c>
      <c r="AS3" s="2692"/>
      <c r="AT3" s="2692"/>
      <c r="AU3" s="2692" t="s">
        <v>1012</v>
      </c>
      <c r="AY3" s="2692"/>
      <c r="AZ3" s="2692"/>
      <c r="BA3" s="2692"/>
      <c r="BB3" s="2692"/>
      <c r="BC3" s="2692"/>
      <c r="BD3" s="2692"/>
      <c r="BE3" s="2692"/>
      <c r="BF3" s="2692"/>
      <c r="BG3" s="2692"/>
      <c r="BH3" s="2692"/>
      <c r="BI3" s="2692"/>
      <c r="BJ3" s="2692"/>
      <c r="BK3" s="2692"/>
    </row>
    <row r="4">
      <c r="A4" s="2693" t="s">
        <v>496</v>
      </c>
      <c r="B4" s="2694" t="s">
        <v>1106</v>
      </c>
      <c r="C4" s="112"/>
      <c r="D4" s="112"/>
      <c r="E4" s="112"/>
      <c r="F4" s="2695" t="s">
        <v>1819</v>
      </c>
      <c r="G4" s="2696"/>
      <c r="H4" s="2697" t="s">
        <v>123</v>
      </c>
      <c r="I4" s="16"/>
      <c r="J4" s="118"/>
      <c r="K4" s="2698" t="s">
        <v>1028</v>
      </c>
      <c r="L4" s="2699" t="s">
        <v>1820</v>
      </c>
      <c r="M4" s="2700" t="s">
        <v>1821</v>
      </c>
      <c r="N4" s="16"/>
      <c r="O4" s="16"/>
      <c r="P4" s="118"/>
      <c r="Q4" s="2700" t="s">
        <v>1822</v>
      </c>
      <c r="R4" s="16"/>
      <c r="S4" s="16"/>
      <c r="T4" s="2701"/>
      <c r="U4" s="2702" t="s">
        <v>1823</v>
      </c>
      <c r="V4" s="16"/>
      <c r="W4" s="118"/>
      <c r="X4" s="2703" t="s">
        <v>1824</v>
      </c>
      <c r="Y4" s="16"/>
      <c r="Z4" s="16"/>
      <c r="AA4" s="2701"/>
      <c r="AB4" s="2704" t="s">
        <v>1107</v>
      </c>
      <c r="AC4" s="16"/>
      <c r="AD4" s="16"/>
      <c r="AE4" s="118"/>
      <c r="AF4" s="2705" t="s">
        <v>1825</v>
      </c>
      <c r="AG4" s="118"/>
      <c r="AH4" s="2706" t="s">
        <v>1826</v>
      </c>
      <c r="AI4" s="2701"/>
      <c r="AJ4" s="2702" t="s">
        <v>1827</v>
      </c>
      <c r="AK4" s="118"/>
      <c r="AL4" s="2706" t="s">
        <v>1828</v>
      </c>
      <c r="AM4" s="118"/>
      <c r="AN4" s="2707" t="s">
        <v>1829</v>
      </c>
      <c r="AO4" s="16"/>
      <c r="AP4" s="2701"/>
      <c r="AQ4" s="2708" t="s">
        <v>1830</v>
      </c>
      <c r="AR4" s="2707" t="s">
        <v>1831</v>
      </c>
      <c r="AS4" s="118"/>
      <c r="AT4" s="2709" t="s">
        <v>1028</v>
      </c>
      <c r="AU4" s="2707" t="s">
        <v>1832</v>
      </c>
      <c r="AV4" s="2710" t="s">
        <v>1037</v>
      </c>
      <c r="AW4" s="2711" t="s">
        <v>501</v>
      </c>
      <c r="AX4" s="16"/>
      <c r="AY4" s="16"/>
      <c r="AZ4" s="118"/>
      <c r="BA4" s="2712" t="s">
        <v>157</v>
      </c>
      <c r="BB4" s="2701"/>
      <c r="BC4" s="2713"/>
      <c r="BD4" s="2713"/>
      <c r="BE4" s="2713"/>
      <c r="BF4" s="2713"/>
      <c r="BG4" s="2713"/>
      <c r="BH4" s="2713"/>
      <c r="BI4" s="2713"/>
      <c r="BJ4" s="2713"/>
      <c r="BK4" s="2713"/>
    </row>
    <row r="5">
      <c r="A5" s="2714" t="s">
        <v>1833</v>
      </c>
      <c r="B5" s="2715" t="s">
        <v>1834</v>
      </c>
      <c r="C5" s="112"/>
      <c r="D5" s="112"/>
      <c r="E5" s="112"/>
      <c r="F5" s="112"/>
      <c r="G5" s="2696"/>
      <c r="H5" s="2715" t="s">
        <v>1835</v>
      </c>
      <c r="I5" s="112"/>
      <c r="J5" s="112"/>
      <c r="K5" s="2696"/>
      <c r="L5" s="2716" t="s">
        <v>1836</v>
      </c>
      <c r="M5" s="2716" t="s">
        <v>1837</v>
      </c>
      <c r="P5" s="2716" t="s">
        <v>1838</v>
      </c>
      <c r="U5" s="2715" t="s">
        <v>1835</v>
      </c>
      <c r="V5" s="112"/>
      <c r="W5" s="112"/>
      <c r="X5" s="112"/>
      <c r="Y5" s="112"/>
      <c r="Z5" s="112"/>
      <c r="AA5" s="2696"/>
      <c r="AB5" s="2716" t="s">
        <v>1838</v>
      </c>
      <c r="AD5" s="2717" t="s">
        <v>1839</v>
      </c>
      <c r="AI5" s="351"/>
      <c r="AJ5" s="2718" t="s">
        <v>1840</v>
      </c>
      <c r="AP5" s="351"/>
      <c r="AQ5" s="2719" t="s">
        <v>1841</v>
      </c>
      <c r="AV5" s="2720" t="s">
        <v>1842</v>
      </c>
      <c r="AW5" s="2721" t="s">
        <v>1843</v>
      </c>
      <c r="BB5" s="351"/>
    </row>
    <row r="6">
      <c r="A6" s="147"/>
      <c r="B6" s="2722" t="s">
        <v>1844</v>
      </c>
      <c r="H6" s="2723"/>
      <c r="K6" s="351"/>
      <c r="U6" s="2723"/>
      <c r="AA6" s="351"/>
      <c r="AI6" s="351"/>
      <c r="AJ6" s="2723"/>
      <c r="AP6" s="351"/>
      <c r="AQ6" s="2723"/>
      <c r="AV6" s="351"/>
      <c r="AW6" s="2724" t="s">
        <v>1845</v>
      </c>
      <c r="BB6" s="351"/>
    </row>
    <row r="7">
      <c r="A7" s="147"/>
      <c r="B7" s="2723"/>
      <c r="H7" s="2723"/>
      <c r="K7" s="351"/>
      <c r="P7" s="2725" t="s">
        <v>1846</v>
      </c>
      <c r="Q7" s="2726" t="s">
        <v>1847</v>
      </c>
      <c r="U7" s="2723"/>
      <c r="AA7" s="351"/>
      <c r="AB7" s="2727" t="s">
        <v>1848</v>
      </c>
      <c r="AJ7" s="2723"/>
      <c r="AP7" s="351"/>
      <c r="AQ7" s="2723"/>
      <c r="AV7" s="351"/>
      <c r="AW7" s="2723"/>
      <c r="BB7" s="351"/>
    </row>
    <row r="8">
      <c r="A8" s="147"/>
      <c r="B8" s="2723"/>
      <c r="H8" s="2722" t="s">
        <v>1849</v>
      </c>
      <c r="J8" s="2728" t="s">
        <v>1850</v>
      </c>
      <c r="K8" s="351"/>
      <c r="L8" s="720" t="s">
        <v>1851</v>
      </c>
      <c r="U8" s="2729" t="s">
        <v>1852</v>
      </c>
      <c r="W8" s="2730" t="s">
        <v>1853</v>
      </c>
      <c r="X8" s="2731" t="s">
        <v>1844</v>
      </c>
      <c r="AB8" s="2722" t="s">
        <v>1849</v>
      </c>
      <c r="AJ8" s="2723"/>
      <c r="AP8" s="351"/>
      <c r="AQ8" s="2732" t="s">
        <v>1854</v>
      </c>
      <c r="AV8" s="351"/>
      <c r="AW8" s="2733" t="s">
        <v>1855</v>
      </c>
      <c r="BB8" s="351"/>
    </row>
    <row r="9">
      <c r="A9" s="147"/>
      <c r="B9" s="2723"/>
      <c r="H9" s="2723"/>
      <c r="K9" s="351"/>
      <c r="M9" s="2731" t="s">
        <v>1849</v>
      </c>
      <c r="U9" s="2723"/>
      <c r="W9" s="2731" t="s">
        <v>1856</v>
      </c>
      <c r="AB9" s="2723"/>
      <c r="AJ9" s="2722" t="s">
        <v>1849</v>
      </c>
      <c r="AQ9" s="2723"/>
      <c r="AV9" s="351"/>
      <c r="AW9" s="2723"/>
      <c r="BB9" s="351"/>
    </row>
    <row r="10">
      <c r="A10" s="147"/>
      <c r="B10" s="2734" t="s">
        <v>1857</v>
      </c>
      <c r="H10" s="2723"/>
      <c r="J10" s="2735" t="s">
        <v>1858</v>
      </c>
      <c r="K10" s="351"/>
      <c r="U10" s="2722" t="s">
        <v>1849</v>
      </c>
      <c r="AB10" s="2723"/>
      <c r="AJ10" s="2723"/>
      <c r="AQ10" s="2723"/>
      <c r="AV10" s="351"/>
      <c r="AW10" s="2723"/>
      <c r="BB10" s="351"/>
    </row>
    <row r="11">
      <c r="A11" s="147"/>
      <c r="B11" s="2736" t="s">
        <v>1859</v>
      </c>
      <c r="E11" s="2737" t="s">
        <v>1860</v>
      </c>
      <c r="H11" s="2734" t="s">
        <v>1857</v>
      </c>
      <c r="K11" s="351"/>
      <c r="L11" s="2738" t="s">
        <v>1861</v>
      </c>
      <c r="U11" s="2723"/>
      <c r="AB11" s="2739" t="s">
        <v>1862</v>
      </c>
      <c r="AJ11" s="2723"/>
      <c r="AQ11" s="2723"/>
      <c r="AV11" s="351"/>
      <c r="AW11" s="2722" t="s">
        <v>1849</v>
      </c>
      <c r="BB11" s="351"/>
    </row>
    <row r="12">
      <c r="A12" s="147"/>
      <c r="B12" s="2740" t="s">
        <v>1863</v>
      </c>
      <c r="H12" s="2736" t="s">
        <v>1859</v>
      </c>
      <c r="K12" s="351"/>
      <c r="L12" s="2741" t="s">
        <v>1864</v>
      </c>
      <c r="M12" s="736" t="s">
        <v>1857</v>
      </c>
      <c r="U12" s="2723"/>
      <c r="X12" s="2742" t="s">
        <v>1865</v>
      </c>
      <c r="AA12" s="351"/>
      <c r="AB12" s="2723"/>
      <c r="AJ12" s="2743" t="s">
        <v>1866</v>
      </c>
      <c r="AQ12" s="2723"/>
      <c r="AV12" s="351"/>
      <c r="AW12" s="2723"/>
      <c r="BB12" s="351"/>
    </row>
    <row r="13">
      <c r="A13" s="147"/>
      <c r="B13" s="2744" t="s">
        <v>1867</v>
      </c>
      <c r="H13" s="2744" t="s">
        <v>1862</v>
      </c>
      <c r="K13" s="351"/>
      <c r="M13" s="2741" t="s">
        <v>1868</v>
      </c>
      <c r="T13" s="351"/>
      <c r="U13" s="2745" t="s">
        <v>1868</v>
      </c>
      <c r="AA13" s="351"/>
      <c r="AB13" s="2723"/>
      <c r="AJ13" s="2723"/>
      <c r="AQ13" s="2723"/>
      <c r="AV13" s="351"/>
      <c r="AW13" s="2723"/>
      <c r="BB13" s="351"/>
    </row>
    <row r="14">
      <c r="A14" s="147"/>
      <c r="B14" s="2723"/>
      <c r="H14" s="2723"/>
      <c r="K14" s="351"/>
      <c r="L14" s="2746" t="s">
        <v>1869</v>
      </c>
      <c r="T14" s="351"/>
      <c r="U14" s="2723"/>
      <c r="AA14" s="351"/>
      <c r="AB14" s="2723"/>
      <c r="AJ14" s="2739" t="s">
        <v>1865</v>
      </c>
      <c r="AP14" s="351"/>
      <c r="AQ14" s="2747" t="s">
        <v>1870</v>
      </c>
      <c r="AV14" s="351"/>
      <c r="AW14" s="2748" t="s">
        <v>1871</v>
      </c>
      <c r="BB14" s="351"/>
    </row>
    <row r="15">
      <c r="A15" s="147"/>
      <c r="B15" s="2723"/>
      <c r="H15" s="2723"/>
      <c r="K15" s="351"/>
      <c r="M15" s="2742" t="s">
        <v>1865</v>
      </c>
      <c r="T15" s="351"/>
      <c r="U15" s="2739" t="s">
        <v>1865</v>
      </c>
      <c r="AA15" s="351"/>
      <c r="AB15" s="2723"/>
      <c r="AJ15" s="2723"/>
      <c r="AP15" s="351"/>
      <c r="AQ15" s="2723"/>
      <c r="AV15" s="351"/>
      <c r="BB15" s="351"/>
    </row>
    <row r="16">
      <c r="A16" s="147"/>
      <c r="B16" s="2723"/>
      <c r="H16" s="2723"/>
      <c r="K16" s="351"/>
      <c r="T16" s="351"/>
      <c r="U16" s="2723"/>
      <c r="AA16" s="351"/>
      <c r="AB16" s="2723"/>
      <c r="AJ16" s="2723"/>
      <c r="AP16" s="351"/>
      <c r="AQ16" s="2723"/>
      <c r="AV16" s="351"/>
      <c r="BB16" s="351"/>
    </row>
    <row r="17">
      <c r="A17" s="147"/>
      <c r="B17" s="2723"/>
      <c r="H17" s="2723"/>
      <c r="K17" s="351"/>
      <c r="T17" s="351"/>
      <c r="U17" s="2723"/>
      <c r="X17" s="2749" t="s">
        <v>1872</v>
      </c>
      <c r="AB17" s="2723"/>
      <c r="AJ17" s="2723"/>
      <c r="AP17" s="351"/>
      <c r="AQ17" s="2739" t="s">
        <v>1873</v>
      </c>
      <c r="AR17" s="2742" t="s">
        <v>1874</v>
      </c>
      <c r="AV17" s="351"/>
      <c r="AW17" s="2750" t="s">
        <v>1875</v>
      </c>
      <c r="AZ17" s="2751" t="s">
        <v>1876</v>
      </c>
      <c r="BB17" s="351"/>
    </row>
    <row r="18">
      <c r="A18" s="147"/>
      <c r="B18" s="2723"/>
      <c r="H18" s="2723"/>
      <c r="K18" s="351"/>
      <c r="T18" s="351"/>
      <c r="U18" s="2723"/>
      <c r="AB18" s="2752" t="s">
        <v>1877</v>
      </c>
      <c r="AJ18" s="2723"/>
      <c r="AP18" s="351"/>
      <c r="AQ18" s="2723"/>
      <c r="AV18" s="351"/>
      <c r="AW18" s="2753" t="s">
        <v>1878</v>
      </c>
      <c r="AZ18" s="2754" t="s">
        <v>1879</v>
      </c>
      <c r="BB18" s="351"/>
    </row>
    <row r="19">
      <c r="A19" s="147"/>
      <c r="B19" s="2755" t="s">
        <v>1880</v>
      </c>
      <c r="H19" s="2723"/>
      <c r="K19" s="351"/>
      <c r="T19" s="351"/>
      <c r="U19" s="2723"/>
      <c r="AB19" s="2723"/>
      <c r="AJ19" s="2756" t="s">
        <v>1881</v>
      </c>
      <c r="AQ19" s="2723"/>
      <c r="AV19" s="351"/>
      <c r="BB19" s="351"/>
    </row>
    <row r="20">
      <c r="A20" s="147"/>
      <c r="B20" s="2723"/>
      <c r="H20" s="2755" t="s">
        <v>1882</v>
      </c>
      <c r="K20" s="351"/>
      <c r="L20" s="2755" t="s">
        <v>1882</v>
      </c>
      <c r="O20" s="2757" t="s">
        <v>1883</v>
      </c>
      <c r="T20" s="351"/>
      <c r="U20" s="2755" t="s">
        <v>1880</v>
      </c>
      <c r="AB20" s="2723"/>
      <c r="AJ20" s="2752" t="s">
        <v>1884</v>
      </c>
      <c r="AQ20" s="2758" t="s">
        <v>1885</v>
      </c>
      <c r="AV20" s="351"/>
      <c r="BB20" s="351"/>
    </row>
    <row r="21">
      <c r="A21" s="147"/>
      <c r="B21" s="2723"/>
      <c r="H21" s="2723"/>
      <c r="K21" s="351"/>
      <c r="L21" s="2723"/>
      <c r="T21" s="351"/>
      <c r="U21" s="2723"/>
      <c r="AB21" s="2723"/>
      <c r="AJ21" s="2723"/>
      <c r="AQ21" s="2723"/>
      <c r="AR21" s="2759" t="s">
        <v>1886</v>
      </c>
      <c r="AV21" s="351"/>
      <c r="BB21" s="351"/>
    </row>
    <row r="22">
      <c r="A22" s="147"/>
      <c r="B22" s="2723"/>
      <c r="H22" s="2723"/>
      <c r="K22" s="351"/>
      <c r="L22" s="2723"/>
      <c r="O22" s="2760" t="s">
        <v>1887</v>
      </c>
      <c r="U22" s="2723"/>
      <c r="AB22" s="2723"/>
      <c r="AJ22" s="2723"/>
      <c r="AQ22" s="2723"/>
      <c r="AV22" s="351"/>
      <c r="BB22" s="351"/>
    </row>
    <row r="23">
      <c r="A23" s="147"/>
      <c r="B23" s="2761" t="s">
        <v>1888</v>
      </c>
      <c r="H23" s="2723"/>
      <c r="K23" s="351"/>
      <c r="L23" s="2723"/>
      <c r="U23" s="2723"/>
      <c r="X23" s="2760" t="s">
        <v>1887</v>
      </c>
      <c r="AB23" s="2723"/>
      <c r="AJ23" s="2723"/>
      <c r="AQ23" s="2752" t="s">
        <v>1889</v>
      </c>
      <c r="AV23" s="351"/>
      <c r="AW23" s="2762" t="s">
        <v>1890</v>
      </c>
      <c r="BB23" s="351"/>
    </row>
    <row r="24">
      <c r="A24" s="147"/>
      <c r="B24" s="2723"/>
      <c r="H24" s="2723"/>
      <c r="K24" s="351"/>
      <c r="L24" s="2723"/>
      <c r="U24" s="2763" t="s">
        <v>1891</v>
      </c>
      <c r="AB24" s="2723"/>
      <c r="AJ24" s="2723"/>
      <c r="AQ24" s="2723"/>
      <c r="AV24" s="351"/>
      <c r="BB24" s="351"/>
    </row>
    <row r="25">
      <c r="A25" s="147"/>
      <c r="B25" s="2723"/>
      <c r="H25" s="2761" t="s">
        <v>1892</v>
      </c>
      <c r="K25" s="351"/>
      <c r="L25" s="2764" t="s">
        <v>1893</v>
      </c>
      <c r="U25" s="2723"/>
      <c r="AB25" s="2763" t="s">
        <v>1891</v>
      </c>
      <c r="AF25" s="2765" t="s">
        <v>1894</v>
      </c>
      <c r="AJ25" s="2766" t="s">
        <v>1894</v>
      </c>
      <c r="AN25" s="2767" t="s">
        <v>1895</v>
      </c>
      <c r="AQ25" s="2768" t="s">
        <v>1895</v>
      </c>
      <c r="AV25" s="351"/>
      <c r="AZ25" s="2769" t="s">
        <v>1896</v>
      </c>
      <c r="BB25" s="351"/>
    </row>
    <row r="26">
      <c r="A26" s="147"/>
      <c r="B26" s="2770" t="s">
        <v>1897</v>
      </c>
      <c r="F26" s="2771" t="s">
        <v>1898</v>
      </c>
      <c r="H26" s="2723"/>
      <c r="K26" s="351"/>
      <c r="U26" s="2761" t="s">
        <v>1899</v>
      </c>
      <c r="X26" s="2772" t="s">
        <v>1900</v>
      </c>
      <c r="Y26" s="2773" t="s">
        <v>1901</v>
      </c>
      <c r="AA26" s="351"/>
      <c r="AB26" s="2723"/>
      <c r="AJ26" s="2723"/>
      <c r="AQ26" s="2723"/>
      <c r="AV26" s="351"/>
      <c r="BB26" s="351"/>
    </row>
    <row r="27">
      <c r="A27" s="147"/>
      <c r="B27" s="2774" t="s">
        <v>1902</v>
      </c>
      <c r="H27" s="2775" t="s">
        <v>1903</v>
      </c>
      <c r="J27" s="2773" t="s">
        <v>1904</v>
      </c>
      <c r="K27" s="351"/>
      <c r="L27" s="2774" t="s">
        <v>1902</v>
      </c>
      <c r="U27" s="2774" t="s">
        <v>1902</v>
      </c>
      <c r="AA27" s="351"/>
      <c r="AB27" s="2723"/>
      <c r="AJ27" s="2723"/>
      <c r="AQ27" s="2723"/>
      <c r="AV27" s="351"/>
      <c r="AW27" s="2776" t="s">
        <v>1905</v>
      </c>
      <c r="BB27" s="351"/>
    </row>
    <row r="28">
      <c r="A28" s="147"/>
      <c r="B28" s="2723"/>
      <c r="H28" s="2723"/>
      <c r="K28" s="351"/>
      <c r="L28" s="2723"/>
      <c r="U28" s="2723"/>
      <c r="AA28" s="351"/>
      <c r="AB28" s="2774" t="s">
        <v>1906</v>
      </c>
      <c r="AJ28" s="2723"/>
      <c r="AQ28" s="2723"/>
      <c r="AV28" s="351"/>
      <c r="AW28" s="2723"/>
      <c r="BB28" s="351"/>
    </row>
    <row r="29">
      <c r="A29" s="159"/>
      <c r="B29" s="607"/>
      <c r="C29" s="7"/>
      <c r="D29" s="7"/>
      <c r="E29" s="7"/>
      <c r="H29" s="2723"/>
      <c r="K29" s="351"/>
      <c r="L29" s="2723"/>
      <c r="U29" s="607"/>
      <c r="V29" s="7"/>
      <c r="W29" s="7"/>
      <c r="X29" s="7"/>
      <c r="AA29" s="351"/>
      <c r="AB29" s="607"/>
      <c r="AC29" s="7"/>
      <c r="AD29" s="7"/>
      <c r="AE29" s="7"/>
      <c r="AJ29" s="2723"/>
      <c r="AQ29" s="2723"/>
      <c r="AV29" s="351"/>
      <c r="AW29" s="2723"/>
      <c r="BB29" s="351"/>
    </row>
    <row r="30">
      <c r="A30" s="549"/>
      <c r="F30" s="549"/>
      <c r="G30" s="549"/>
      <c r="H30" s="549"/>
      <c r="I30" s="549"/>
      <c r="J30" s="549"/>
      <c r="K30" s="549"/>
      <c r="L30" s="549"/>
      <c r="M30" s="549"/>
      <c r="N30" s="549"/>
      <c r="O30" s="549"/>
      <c r="P30" s="549"/>
      <c r="Q30" s="549"/>
      <c r="R30" s="549"/>
      <c r="S30" s="549"/>
      <c r="T30" s="549"/>
      <c r="U30" s="549"/>
      <c r="V30" s="549"/>
      <c r="W30" s="549"/>
      <c r="X30" s="549"/>
      <c r="Y30" s="549"/>
      <c r="Z30" s="549"/>
      <c r="AA30" s="549"/>
      <c r="AB30" s="549"/>
      <c r="AC30" s="549"/>
      <c r="AD30" s="549"/>
      <c r="AE30" s="549"/>
      <c r="AF30" s="549"/>
      <c r="AG30" s="549"/>
      <c r="AH30" s="549"/>
      <c r="AI30" s="549"/>
      <c r="AJ30" s="549"/>
      <c r="AK30" s="549"/>
      <c r="AL30" s="549"/>
      <c r="AM30" s="549"/>
      <c r="AN30" s="549"/>
      <c r="AO30" s="549"/>
      <c r="AP30" s="549"/>
      <c r="AQ30" s="549"/>
      <c r="AR30" s="549"/>
      <c r="AS30" s="549"/>
      <c r="AT30" s="549"/>
      <c r="AU30" s="550"/>
      <c r="AV30" s="351"/>
      <c r="AW30" s="2723"/>
      <c r="BB30" s="351"/>
    </row>
    <row r="31">
      <c r="AU31" s="351"/>
      <c r="AV31" s="351"/>
      <c r="AW31" s="2777" t="s">
        <v>1907</v>
      </c>
      <c r="BB31" s="351"/>
    </row>
    <row r="32">
      <c r="AU32" s="351"/>
      <c r="AV32" s="351"/>
      <c r="AW32" s="2723"/>
      <c r="BB32" s="351"/>
    </row>
    <row r="33">
      <c r="AU33" s="351"/>
      <c r="AV33" s="351"/>
      <c r="AW33" s="2723"/>
      <c r="AZ33" s="2778" t="s">
        <v>1908</v>
      </c>
      <c r="BB33" s="351"/>
    </row>
    <row r="34">
      <c r="AU34" s="351"/>
      <c r="AV34" s="351"/>
      <c r="AW34" s="2723"/>
      <c r="BB34" s="351"/>
    </row>
    <row r="35">
      <c r="AU35" s="351"/>
      <c r="AV35" s="351"/>
      <c r="AW35" s="2723"/>
      <c r="BB35" s="351"/>
    </row>
    <row r="36">
      <c r="AU36" s="351"/>
      <c r="AV36" s="351"/>
      <c r="AW36" s="2779" t="s">
        <v>1909</v>
      </c>
      <c r="BB36" s="351"/>
    </row>
    <row r="37">
      <c r="AU37" s="351"/>
      <c r="AV37" s="351"/>
      <c r="AW37" s="2723"/>
      <c r="BB37" s="351"/>
    </row>
    <row r="38">
      <c r="AU38" s="351"/>
      <c r="AV38" s="351"/>
      <c r="AW38" s="2723"/>
      <c r="BB38" s="351"/>
    </row>
    <row r="39">
      <c r="AU39" s="351"/>
      <c r="AV39" s="351"/>
      <c r="AW39" s="607"/>
      <c r="AX39" s="7"/>
      <c r="AY39" s="7"/>
      <c r="AZ39" s="7"/>
      <c r="BA39" s="7"/>
      <c r="BB39" s="8"/>
      <c r="BC39" s="7"/>
      <c r="BD39" s="7"/>
      <c r="BE39" s="7"/>
      <c r="BF39" s="7"/>
      <c r="BG39" s="7"/>
      <c r="BH39" s="7"/>
      <c r="BI39" s="7"/>
      <c r="BJ39" s="7"/>
      <c r="BK39" s="7"/>
    </row>
    <row r="40">
      <c r="AV40" s="549"/>
    </row>
  </sheetData>
  <mergeCells count="134">
    <mergeCell ref="U4:W4"/>
    <mergeCell ref="P5:T6"/>
    <mergeCell ref="U5:AA7"/>
    <mergeCell ref="AB5:AC6"/>
    <mergeCell ref="AD5:AI6"/>
    <mergeCell ref="AJ5:AP8"/>
    <mergeCell ref="AQ5:AU7"/>
    <mergeCell ref="AB7:AI7"/>
    <mergeCell ref="P7:P8"/>
    <mergeCell ref="Q7:T8"/>
    <mergeCell ref="X8:AA11"/>
    <mergeCell ref="AB8:AI10"/>
    <mergeCell ref="M9:T11"/>
    <mergeCell ref="W9:W12"/>
    <mergeCell ref="AJ9:AP11"/>
    <mergeCell ref="M12:T12"/>
    <mergeCell ref="U8:V9"/>
    <mergeCell ref="U10:V12"/>
    <mergeCell ref="AB11:AI17"/>
    <mergeCell ref="X12:AA16"/>
    <mergeCell ref="AJ12:AP13"/>
    <mergeCell ref="U13:W14"/>
    <mergeCell ref="AJ14:AP18"/>
    <mergeCell ref="AJ19:AP19"/>
    <mergeCell ref="U20:W23"/>
    <mergeCell ref="U24:W25"/>
    <mergeCell ref="AB18:AI24"/>
    <mergeCell ref="AB25:AE27"/>
    <mergeCell ref="AF25:AI29"/>
    <mergeCell ref="AJ25:AM29"/>
    <mergeCell ref="Y26:AA29"/>
    <mergeCell ref="AB28:AE29"/>
    <mergeCell ref="L25:T26"/>
    <mergeCell ref="L27:T29"/>
    <mergeCell ref="U27:X29"/>
    <mergeCell ref="M13:T14"/>
    <mergeCell ref="M15:T19"/>
    <mergeCell ref="U15:W19"/>
    <mergeCell ref="X17:AA22"/>
    <mergeCell ref="AJ20:AP24"/>
    <mergeCell ref="X23:AA25"/>
    <mergeCell ref="U26:W26"/>
    <mergeCell ref="AA2:AB2"/>
    <mergeCell ref="AC2:AD2"/>
    <mergeCell ref="Z3:AC3"/>
    <mergeCell ref="AH3:AK3"/>
    <mergeCell ref="AO3:AR3"/>
    <mergeCell ref="AU3:AX3"/>
    <mergeCell ref="B1:H1"/>
    <mergeCell ref="I1:X1"/>
    <mergeCell ref="Y1:AL1"/>
    <mergeCell ref="AM1:AX1"/>
    <mergeCell ref="AY1:BK1"/>
    <mergeCell ref="L2:M2"/>
    <mergeCell ref="N2:O2"/>
    <mergeCell ref="AY2:AZ2"/>
    <mergeCell ref="M4:P4"/>
    <mergeCell ref="Q4:T4"/>
    <mergeCell ref="X4:AA4"/>
    <mergeCell ref="AB4:AE4"/>
    <mergeCell ref="AF4:AG4"/>
    <mergeCell ref="AH4:AI4"/>
    <mergeCell ref="AJ4:AK4"/>
    <mergeCell ref="P2:Q2"/>
    <mergeCell ref="V2:W2"/>
    <mergeCell ref="B3:C3"/>
    <mergeCell ref="F3:I3"/>
    <mergeCell ref="J3:O3"/>
    <mergeCell ref="S3:V3"/>
    <mergeCell ref="B4:E4"/>
    <mergeCell ref="AW8:BB10"/>
    <mergeCell ref="AW11:BB13"/>
    <mergeCell ref="AQ14:AU16"/>
    <mergeCell ref="AW14:BB16"/>
    <mergeCell ref="O20:T21"/>
    <mergeCell ref="O22:T24"/>
    <mergeCell ref="L20:N24"/>
    <mergeCell ref="B23:G25"/>
    <mergeCell ref="F26:G29"/>
    <mergeCell ref="B27:E29"/>
    <mergeCell ref="H27:I29"/>
    <mergeCell ref="J27:K29"/>
    <mergeCell ref="F4:G4"/>
    <mergeCell ref="H4:J4"/>
    <mergeCell ref="A5:A29"/>
    <mergeCell ref="B5:G5"/>
    <mergeCell ref="L5:L7"/>
    <mergeCell ref="M5:O8"/>
    <mergeCell ref="L8:L10"/>
    <mergeCell ref="H5:K7"/>
    <mergeCell ref="H8:I10"/>
    <mergeCell ref="J8:K9"/>
    <mergeCell ref="B6:G9"/>
    <mergeCell ref="B10:G10"/>
    <mergeCell ref="J10:K12"/>
    <mergeCell ref="B11:D11"/>
    <mergeCell ref="E11:G12"/>
    <mergeCell ref="H11:I11"/>
    <mergeCell ref="B12:D12"/>
    <mergeCell ref="H12:I12"/>
    <mergeCell ref="L12:L13"/>
    <mergeCell ref="B13:G18"/>
    <mergeCell ref="H13:K19"/>
    <mergeCell ref="L14:L19"/>
    <mergeCell ref="B19:G22"/>
    <mergeCell ref="H20:K24"/>
    <mergeCell ref="H25:K26"/>
    <mergeCell ref="B26:E26"/>
    <mergeCell ref="AW23:AY26"/>
    <mergeCell ref="AN25:AP29"/>
    <mergeCell ref="AQ25:AU29"/>
    <mergeCell ref="AL4:AM4"/>
    <mergeCell ref="AN4:AP4"/>
    <mergeCell ref="AW4:AZ4"/>
    <mergeCell ref="BA4:BB4"/>
    <mergeCell ref="AV5:AV39"/>
    <mergeCell ref="AW5:BB5"/>
    <mergeCell ref="AW6:BB7"/>
    <mergeCell ref="AW36:BB39"/>
    <mergeCell ref="AR4:AS4"/>
    <mergeCell ref="AQ8:AU13"/>
    <mergeCell ref="AQ17:AQ19"/>
    <mergeCell ref="AR17:AU20"/>
    <mergeCell ref="AW17:AY17"/>
    <mergeCell ref="AZ17:BB17"/>
    <mergeCell ref="AW18:AY22"/>
    <mergeCell ref="AZ18:BB24"/>
    <mergeCell ref="AQ20:AQ22"/>
    <mergeCell ref="AR21:AU24"/>
    <mergeCell ref="AQ23:AQ24"/>
    <mergeCell ref="AZ25:BB32"/>
    <mergeCell ref="AW27:AY30"/>
    <mergeCell ref="AW31:AY35"/>
    <mergeCell ref="AZ33:BB35"/>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74EA7"/>
    <outlinePr summaryBelow="0" summaryRight="0"/>
  </sheetPr>
  <sheetViews>
    <sheetView workbookViewId="0">
      <pane xSplit="4.0" ySplit="3.0" topLeftCell="E4" activePane="bottomRight" state="frozen"/>
      <selection activeCell="E1" sqref="E1" pane="topRight"/>
      <selection activeCell="A4" sqref="A4" pane="bottomLeft"/>
      <selection activeCell="E4" sqref="E4" pane="bottomRight"/>
    </sheetView>
  </sheetViews>
  <sheetFormatPr customHeight="1" defaultColWidth="14.43" defaultRowHeight="15.75"/>
  <cols>
    <col customWidth="1" min="1" max="1" width="7.71"/>
    <col customWidth="1" min="2" max="2" width="24.43"/>
    <col customWidth="1" min="3" max="3" width="12.14"/>
    <col customWidth="1" min="4" max="4" width="24.57"/>
    <col customWidth="1" min="5" max="6" width="13.71"/>
    <col customWidth="1" min="7" max="7" width="18.57"/>
    <col customWidth="1" min="8" max="8" width="97.71"/>
    <col customWidth="1" min="11" max="11" width="14.71"/>
    <col customWidth="1" min="12" max="12" width="137.71"/>
    <col hidden="1" min="13" max="24" width="14.43"/>
  </cols>
  <sheetData>
    <row r="1">
      <c r="A1" s="302" t="s">
        <v>177</v>
      </c>
      <c r="B1" s="303"/>
      <c r="C1" s="303"/>
      <c r="D1" s="303"/>
      <c r="E1" s="304"/>
      <c r="F1" s="303"/>
      <c r="G1" s="303"/>
      <c r="H1" s="303"/>
      <c r="I1" s="305" t="s">
        <v>178</v>
      </c>
      <c r="J1" s="306"/>
      <c r="K1" s="307" t="s">
        <v>179</v>
      </c>
      <c r="L1" s="308" t="s">
        <v>180</v>
      </c>
      <c r="M1" s="309"/>
      <c r="N1" s="309"/>
      <c r="O1" s="309"/>
      <c r="P1" s="309"/>
      <c r="Q1" s="309"/>
      <c r="R1" s="309"/>
      <c r="S1" s="309"/>
      <c r="T1" s="309"/>
      <c r="U1" s="309"/>
      <c r="V1" s="309"/>
      <c r="W1" s="309"/>
      <c r="X1" s="309"/>
    </row>
    <row r="2">
      <c r="A2" s="310"/>
      <c r="B2" s="311"/>
      <c r="C2" s="311"/>
      <c r="D2" s="311"/>
      <c r="I2" s="310"/>
      <c r="J2" s="312"/>
      <c r="K2" s="313"/>
      <c r="L2" s="314"/>
      <c r="M2" s="309"/>
      <c r="N2" s="309"/>
      <c r="O2" s="309"/>
      <c r="P2" s="309"/>
      <c r="Q2" s="309"/>
      <c r="R2" s="309"/>
      <c r="S2" s="309"/>
      <c r="T2" s="309"/>
      <c r="U2" s="309"/>
      <c r="V2" s="309"/>
      <c r="W2" s="309"/>
      <c r="X2" s="309"/>
    </row>
    <row r="3">
      <c r="A3" s="315" t="s">
        <v>181</v>
      </c>
      <c r="B3" s="316" t="s">
        <v>182</v>
      </c>
      <c r="C3" s="317" t="s">
        <v>183</v>
      </c>
      <c r="D3" s="318" t="s">
        <v>184</v>
      </c>
      <c r="E3" s="319" t="s">
        <v>185</v>
      </c>
      <c r="F3" s="320" t="s">
        <v>186</v>
      </c>
      <c r="G3" s="321" t="s">
        <v>187</v>
      </c>
      <c r="H3" s="322" t="s">
        <v>188</v>
      </c>
      <c r="I3" s="323" t="s">
        <v>189</v>
      </c>
      <c r="J3" s="323" t="s">
        <v>190</v>
      </c>
      <c r="K3" s="323" t="s">
        <v>182</v>
      </c>
      <c r="L3" s="313"/>
      <c r="M3" s="324"/>
      <c r="N3" s="324"/>
      <c r="O3" s="324"/>
      <c r="P3" s="324"/>
      <c r="Q3" s="324"/>
      <c r="R3" s="324"/>
      <c r="S3" s="324"/>
      <c r="T3" s="324"/>
      <c r="U3" s="324"/>
      <c r="V3" s="324"/>
      <c r="W3" s="324"/>
      <c r="X3" s="324"/>
    </row>
    <row r="4" ht="18.75" hidden="1" customHeight="1">
      <c r="A4" s="325">
        <v>43920.0</v>
      </c>
      <c r="B4" s="326">
        <v>43920.791666666664</v>
      </c>
      <c r="C4" s="327" t="s">
        <v>191</v>
      </c>
      <c r="D4" s="328" t="s">
        <v>192</v>
      </c>
      <c r="E4" s="329" t="b">
        <v>0</v>
      </c>
      <c r="F4" s="329" t="b">
        <v>0</v>
      </c>
      <c r="G4" s="330" t="s">
        <v>37</v>
      </c>
      <c r="H4" s="331" t="s">
        <v>193</v>
      </c>
      <c r="I4" s="332">
        <f t="shared" ref="I4:I9" si="1">$B4</f>
        <v>43920.79167</v>
      </c>
      <c r="J4" s="333">
        <f t="shared" ref="J4:J9" si="2">$I4+3</f>
        <v>43923.79167</v>
      </c>
      <c r="K4" s="334">
        <v>43931.0</v>
      </c>
      <c r="L4" s="335"/>
      <c r="M4" s="336"/>
      <c r="N4" s="336"/>
      <c r="O4" s="336"/>
      <c r="P4" s="336"/>
      <c r="Q4" s="336"/>
      <c r="R4" s="336"/>
      <c r="S4" s="336"/>
      <c r="T4" s="336"/>
      <c r="U4" s="336"/>
      <c r="V4" s="336"/>
      <c r="W4" s="336"/>
      <c r="X4" s="336"/>
    </row>
    <row r="5" ht="18.75" hidden="1" customHeight="1">
      <c r="A5" s="337">
        <v>43921.0</v>
      </c>
      <c r="B5" s="338">
        <v>43921.791666666664</v>
      </c>
      <c r="C5" s="339" t="s">
        <v>172</v>
      </c>
      <c r="D5" s="340" t="s">
        <v>192</v>
      </c>
      <c r="E5" s="341" t="b">
        <v>0</v>
      </c>
      <c r="F5" s="341" t="b">
        <v>0</v>
      </c>
      <c r="G5" s="342" t="s">
        <v>16</v>
      </c>
      <c r="H5" s="343" t="s">
        <v>194</v>
      </c>
      <c r="I5" s="344">
        <f t="shared" si="1"/>
        <v>43921.79167</v>
      </c>
      <c r="J5" s="345">
        <f t="shared" si="2"/>
        <v>43924.79167</v>
      </c>
      <c r="K5" s="346">
        <v>43945.0</v>
      </c>
      <c r="L5" s="347" t="s">
        <v>195</v>
      </c>
      <c r="M5" s="348"/>
      <c r="N5" s="348"/>
      <c r="O5" s="348"/>
      <c r="P5" s="348"/>
      <c r="Q5" s="348"/>
      <c r="R5" s="348"/>
      <c r="S5" s="348"/>
      <c r="T5" s="348"/>
      <c r="U5" s="348"/>
      <c r="V5" s="348"/>
      <c r="W5" s="348"/>
      <c r="X5" s="348"/>
    </row>
    <row r="6" ht="18.75" hidden="1" customHeight="1">
      <c r="A6" s="337">
        <v>43922.0</v>
      </c>
      <c r="B6" s="338">
        <v>43922.791666666664</v>
      </c>
      <c r="C6" s="339" t="s">
        <v>196</v>
      </c>
      <c r="D6" s="340" t="s">
        <v>192</v>
      </c>
      <c r="E6" s="341" t="b">
        <v>0</v>
      </c>
      <c r="F6" s="341" t="b">
        <v>0</v>
      </c>
      <c r="G6" s="342" t="s">
        <v>123</v>
      </c>
      <c r="H6" s="343" t="s">
        <v>197</v>
      </c>
      <c r="I6" s="344">
        <f t="shared" si="1"/>
        <v>43922.79167</v>
      </c>
      <c r="J6" s="345">
        <f t="shared" si="2"/>
        <v>43925.79167</v>
      </c>
      <c r="K6" s="349">
        <v>43931.0</v>
      </c>
      <c r="L6" s="350"/>
      <c r="M6" s="348"/>
      <c r="N6" s="348"/>
      <c r="O6" s="348"/>
      <c r="P6" s="348"/>
      <c r="Q6" s="348"/>
      <c r="R6" s="348"/>
      <c r="S6" s="348"/>
      <c r="T6" s="348"/>
      <c r="U6" s="348"/>
      <c r="V6" s="348"/>
      <c r="W6" s="348"/>
      <c r="X6" s="348"/>
    </row>
    <row r="7" ht="18.75" hidden="1" customHeight="1">
      <c r="A7" s="337">
        <v>43923.0</v>
      </c>
      <c r="B7" s="338">
        <v>43923.791666666664</v>
      </c>
      <c r="C7" s="339" t="s">
        <v>198</v>
      </c>
      <c r="D7" s="340" t="s">
        <v>199</v>
      </c>
      <c r="E7" s="341" t="b">
        <v>0</v>
      </c>
      <c r="F7" s="341" t="b">
        <v>0</v>
      </c>
      <c r="G7" s="342" t="s">
        <v>200</v>
      </c>
      <c r="H7" s="343" t="s">
        <v>201</v>
      </c>
      <c r="I7" s="344">
        <f t="shared" si="1"/>
        <v>43923.79167</v>
      </c>
      <c r="J7" s="345">
        <f t="shared" si="2"/>
        <v>43926.79167</v>
      </c>
      <c r="K7" s="351"/>
      <c r="L7" s="350"/>
      <c r="M7" s="348"/>
      <c r="N7" s="348"/>
      <c r="O7" s="348"/>
      <c r="P7" s="348"/>
      <c r="Q7" s="348"/>
      <c r="R7" s="348"/>
      <c r="S7" s="348"/>
      <c r="T7" s="348"/>
      <c r="U7" s="348"/>
      <c r="V7" s="348"/>
      <c r="W7" s="348"/>
      <c r="X7" s="348"/>
    </row>
    <row r="8" ht="18.75" hidden="1" customHeight="1">
      <c r="A8" s="337">
        <v>43924.0</v>
      </c>
      <c r="B8" s="338">
        <v>43924.541666666664</v>
      </c>
      <c r="C8" s="352" t="s">
        <v>202</v>
      </c>
      <c r="D8" s="340" t="s">
        <v>199</v>
      </c>
      <c r="E8" s="341" t="b">
        <v>0</v>
      </c>
      <c r="F8" s="341" t="b">
        <v>0</v>
      </c>
      <c r="G8" s="353" t="s">
        <v>203</v>
      </c>
      <c r="H8" s="354" t="s">
        <v>204</v>
      </c>
      <c r="I8" s="344">
        <f t="shared" si="1"/>
        <v>43924.54167</v>
      </c>
      <c r="J8" s="345">
        <f t="shared" si="2"/>
        <v>43927.54167</v>
      </c>
      <c r="K8" s="351"/>
      <c r="L8" s="350"/>
      <c r="M8" s="348"/>
      <c r="N8" s="348"/>
      <c r="O8" s="348"/>
      <c r="P8" s="348"/>
      <c r="Q8" s="348"/>
      <c r="R8" s="348"/>
      <c r="S8" s="348"/>
      <c r="T8" s="348"/>
      <c r="U8" s="348"/>
      <c r="V8" s="348"/>
      <c r="W8" s="348"/>
      <c r="X8" s="348"/>
    </row>
    <row r="9" ht="18.75" hidden="1" customHeight="1">
      <c r="A9" s="337">
        <v>43925.0</v>
      </c>
      <c r="B9" s="338">
        <v>43925.541666666664</v>
      </c>
      <c r="C9" s="352" t="s">
        <v>205</v>
      </c>
      <c r="D9" s="340" t="s">
        <v>192</v>
      </c>
      <c r="E9" s="341" t="b">
        <v>0</v>
      </c>
      <c r="F9" s="341" t="b">
        <v>0</v>
      </c>
      <c r="G9" s="353" t="s">
        <v>123</v>
      </c>
      <c r="H9" s="354" t="s">
        <v>206</v>
      </c>
      <c r="I9" s="344">
        <f t="shared" si="1"/>
        <v>43925.54167</v>
      </c>
      <c r="J9" s="345">
        <f t="shared" si="2"/>
        <v>43928.54167</v>
      </c>
      <c r="K9" s="351"/>
      <c r="L9" s="350"/>
      <c r="M9" s="348"/>
      <c r="N9" s="348"/>
      <c r="O9" s="348"/>
      <c r="P9" s="348"/>
      <c r="Q9" s="348"/>
      <c r="R9" s="348"/>
      <c r="S9" s="348"/>
      <c r="T9" s="348"/>
      <c r="U9" s="348"/>
      <c r="V9" s="348"/>
      <c r="W9" s="348"/>
      <c r="X9" s="348"/>
    </row>
    <row r="10" ht="18.75" hidden="1" customHeight="1">
      <c r="A10" s="355">
        <v>43926.0</v>
      </c>
      <c r="B10" s="356"/>
      <c r="C10" s="357"/>
      <c r="D10" s="358" t="s">
        <v>56</v>
      </c>
      <c r="E10" s="359" t="b">
        <v>0</v>
      </c>
      <c r="F10" s="359" t="b">
        <v>0</v>
      </c>
      <c r="G10" s="360"/>
      <c r="H10" s="361"/>
      <c r="I10" s="362"/>
      <c r="J10" s="363"/>
      <c r="K10" s="364"/>
      <c r="L10" s="365"/>
      <c r="M10" s="366"/>
      <c r="N10" s="366"/>
      <c r="O10" s="366"/>
      <c r="P10" s="366"/>
      <c r="Q10" s="366"/>
      <c r="R10" s="366"/>
      <c r="S10" s="366"/>
      <c r="T10" s="366"/>
      <c r="U10" s="366"/>
      <c r="V10" s="366"/>
      <c r="W10" s="366"/>
      <c r="X10" s="366"/>
    </row>
    <row r="11" ht="18.75" hidden="1" customHeight="1">
      <c r="A11" s="337">
        <v>43927.0</v>
      </c>
      <c r="B11" s="338">
        <v>43927.541666666664</v>
      </c>
      <c r="C11" s="339" t="s">
        <v>207</v>
      </c>
      <c r="D11" s="340" t="s">
        <v>199</v>
      </c>
      <c r="E11" s="341" t="b">
        <v>0</v>
      </c>
      <c r="F11" s="341" t="b">
        <v>1</v>
      </c>
      <c r="G11" s="342" t="s">
        <v>44</v>
      </c>
      <c r="H11" s="343" t="s">
        <v>208</v>
      </c>
      <c r="I11" s="367"/>
      <c r="J11" s="368"/>
      <c r="K11" s="369"/>
      <c r="L11" s="350"/>
      <c r="M11" s="348"/>
      <c r="N11" s="348"/>
      <c r="O11" s="348"/>
      <c r="P11" s="348"/>
      <c r="Q11" s="348"/>
      <c r="R11" s="348"/>
      <c r="S11" s="348"/>
      <c r="T11" s="348"/>
      <c r="U11" s="348"/>
      <c r="V11" s="348"/>
      <c r="W11" s="348"/>
      <c r="X11" s="348"/>
    </row>
    <row r="12" ht="18.75" hidden="1" customHeight="1">
      <c r="B12" s="338">
        <v>43927.541666666664</v>
      </c>
      <c r="C12" s="339" t="s">
        <v>209</v>
      </c>
      <c r="D12" s="340" t="s">
        <v>199</v>
      </c>
      <c r="E12" s="341" t="b">
        <v>0</v>
      </c>
      <c r="F12" s="341" t="b">
        <v>0</v>
      </c>
      <c r="G12" s="342" t="s">
        <v>153</v>
      </c>
      <c r="H12" s="343" t="s">
        <v>210</v>
      </c>
      <c r="I12" s="344">
        <f>$B12</f>
        <v>43927.54167</v>
      </c>
      <c r="J12" s="345">
        <f>$I12+3</f>
        <v>43930.54167</v>
      </c>
      <c r="K12" s="369">
        <v>43938.0</v>
      </c>
      <c r="L12" s="350"/>
      <c r="M12" s="348"/>
      <c r="N12" s="348"/>
      <c r="O12" s="348"/>
      <c r="P12" s="348"/>
      <c r="Q12" s="348"/>
      <c r="R12" s="348"/>
      <c r="S12" s="348"/>
      <c r="T12" s="348"/>
      <c r="U12" s="348"/>
      <c r="V12" s="348"/>
      <c r="W12" s="348"/>
      <c r="X12" s="348"/>
    </row>
    <row r="13" ht="18.75" hidden="1" customHeight="1">
      <c r="B13" s="338">
        <v>43927.708333333336</v>
      </c>
      <c r="C13" s="339" t="s">
        <v>211</v>
      </c>
      <c r="D13" s="340" t="s">
        <v>212</v>
      </c>
      <c r="E13" s="341" t="b">
        <v>0</v>
      </c>
      <c r="F13" s="341" t="b">
        <v>0</v>
      </c>
      <c r="G13" s="342" t="s">
        <v>118</v>
      </c>
      <c r="H13" s="343" t="s">
        <v>213</v>
      </c>
      <c r="I13" s="370"/>
      <c r="J13" s="371"/>
      <c r="K13" s="369"/>
      <c r="L13" s="350"/>
      <c r="M13" s="348"/>
      <c r="N13" s="348"/>
      <c r="O13" s="348"/>
      <c r="P13" s="348"/>
      <c r="Q13" s="348"/>
      <c r="R13" s="348"/>
      <c r="S13" s="348"/>
      <c r="T13" s="348"/>
      <c r="U13" s="348"/>
      <c r="V13" s="348"/>
      <c r="W13" s="348"/>
      <c r="X13" s="348"/>
    </row>
    <row r="14" ht="18.75" hidden="1" customHeight="1">
      <c r="A14" s="372">
        <v>43928.0</v>
      </c>
      <c r="B14" s="338">
        <v>43928.541666666664</v>
      </c>
      <c r="C14" s="339" t="s">
        <v>214</v>
      </c>
      <c r="D14" s="340" t="s">
        <v>199</v>
      </c>
      <c r="E14" s="341" t="b">
        <v>0</v>
      </c>
      <c r="F14" s="341" t="b">
        <v>0</v>
      </c>
      <c r="G14" s="342" t="s">
        <v>153</v>
      </c>
      <c r="H14" s="343" t="s">
        <v>215</v>
      </c>
      <c r="I14" s="344">
        <f>$B14</f>
        <v>43928.54167</v>
      </c>
      <c r="J14" s="345">
        <f>$I14+3</f>
        <v>43931.54167</v>
      </c>
      <c r="K14" s="369">
        <v>43938.0</v>
      </c>
      <c r="L14" s="347" t="s">
        <v>216</v>
      </c>
      <c r="M14" s="348"/>
      <c r="N14" s="348"/>
      <c r="O14" s="348"/>
      <c r="P14" s="348"/>
      <c r="Q14" s="348"/>
      <c r="R14" s="348"/>
      <c r="S14" s="348"/>
      <c r="T14" s="348"/>
      <c r="U14" s="348"/>
      <c r="V14" s="348"/>
      <c r="W14" s="348"/>
      <c r="X14" s="348"/>
    </row>
    <row r="15" ht="18.75" hidden="1" customHeight="1">
      <c r="B15" s="338">
        <v>43928.541666666664</v>
      </c>
      <c r="C15" s="339" t="s">
        <v>217</v>
      </c>
      <c r="D15" s="340" t="s">
        <v>192</v>
      </c>
      <c r="E15" s="341" t="b">
        <v>0</v>
      </c>
      <c r="F15" s="341" t="b">
        <v>0</v>
      </c>
      <c r="G15" s="342" t="s">
        <v>154</v>
      </c>
      <c r="H15" s="343" t="s">
        <v>218</v>
      </c>
      <c r="I15" s="370"/>
      <c r="J15" s="371"/>
      <c r="K15" s="373"/>
      <c r="L15" s="350"/>
      <c r="M15" s="348"/>
      <c r="N15" s="348"/>
      <c r="O15" s="348"/>
      <c r="P15" s="348"/>
      <c r="Q15" s="348"/>
      <c r="R15" s="348"/>
      <c r="S15" s="348"/>
      <c r="T15" s="348"/>
      <c r="U15" s="348"/>
      <c r="V15" s="348"/>
      <c r="W15" s="348"/>
      <c r="X15" s="348"/>
    </row>
    <row r="16" ht="18.75" hidden="1" customHeight="1">
      <c r="B16" s="338">
        <v>43928.75</v>
      </c>
      <c r="C16" s="339" t="s">
        <v>219</v>
      </c>
      <c r="D16" s="340" t="s">
        <v>199</v>
      </c>
      <c r="E16" s="341" t="b">
        <v>1</v>
      </c>
      <c r="F16" s="341" t="b">
        <v>0</v>
      </c>
      <c r="G16" s="342" t="s">
        <v>25</v>
      </c>
      <c r="H16" s="343" t="s">
        <v>220</v>
      </c>
      <c r="I16" s="370"/>
      <c r="J16" s="371"/>
      <c r="K16" s="369"/>
      <c r="L16" s="347" t="s">
        <v>221</v>
      </c>
      <c r="M16" s="348"/>
      <c r="N16" s="348"/>
      <c r="O16" s="348"/>
      <c r="P16" s="348"/>
      <c r="Q16" s="348"/>
      <c r="R16" s="348"/>
      <c r="S16" s="348"/>
      <c r="T16" s="348"/>
      <c r="U16" s="348"/>
      <c r="V16" s="348"/>
      <c r="W16" s="348"/>
      <c r="X16" s="348"/>
    </row>
    <row r="17" ht="18.75" hidden="1" customHeight="1">
      <c r="A17" s="372">
        <v>43929.0</v>
      </c>
      <c r="B17" s="338">
        <v>43929.541666666664</v>
      </c>
      <c r="C17" s="339" t="s">
        <v>222</v>
      </c>
      <c r="D17" s="340" t="s">
        <v>199</v>
      </c>
      <c r="E17" s="341" t="b">
        <v>0</v>
      </c>
      <c r="F17" s="341" t="b">
        <v>0</v>
      </c>
      <c r="G17" s="342" t="s">
        <v>153</v>
      </c>
      <c r="H17" s="343" t="s">
        <v>223</v>
      </c>
      <c r="I17" s="344">
        <f>$B17</f>
        <v>43929.54167</v>
      </c>
      <c r="J17" s="345">
        <f>$I17+3</f>
        <v>43932.54167</v>
      </c>
      <c r="K17" s="369">
        <v>43938.0</v>
      </c>
      <c r="L17" s="347" t="s">
        <v>216</v>
      </c>
      <c r="M17" s="348"/>
      <c r="N17" s="348"/>
      <c r="O17" s="348"/>
      <c r="P17" s="348"/>
      <c r="Q17" s="348"/>
      <c r="R17" s="348"/>
      <c r="S17" s="348"/>
      <c r="T17" s="348"/>
      <c r="U17" s="348"/>
      <c r="V17" s="348"/>
      <c r="W17" s="348"/>
      <c r="X17" s="348"/>
    </row>
    <row r="18" ht="18.75" hidden="1" customHeight="1">
      <c r="B18" s="338">
        <v>43929.541666666664</v>
      </c>
      <c r="C18" s="339" t="s">
        <v>224</v>
      </c>
      <c r="D18" s="340" t="s">
        <v>192</v>
      </c>
      <c r="E18" s="341" t="b">
        <v>0</v>
      </c>
      <c r="F18" s="341" t="b">
        <v>0</v>
      </c>
      <c r="G18" s="342" t="s">
        <v>153</v>
      </c>
      <c r="H18" s="343" t="s">
        <v>225</v>
      </c>
      <c r="I18" s="370"/>
      <c r="J18" s="371"/>
      <c r="K18" s="373"/>
      <c r="L18" s="347"/>
      <c r="M18" s="348"/>
      <c r="N18" s="348"/>
      <c r="O18" s="348"/>
      <c r="P18" s="348"/>
      <c r="Q18" s="348"/>
      <c r="R18" s="348"/>
      <c r="S18" s="348"/>
      <c r="T18" s="348"/>
      <c r="U18" s="348"/>
      <c r="V18" s="348"/>
      <c r="W18" s="348"/>
      <c r="X18" s="348"/>
    </row>
    <row r="19" ht="18.75" hidden="1" customHeight="1">
      <c r="B19" s="338">
        <v>43929.666666666664</v>
      </c>
      <c r="C19" s="339" t="s">
        <v>226</v>
      </c>
      <c r="D19" s="340" t="s">
        <v>227</v>
      </c>
      <c r="E19" s="341" t="b">
        <v>1</v>
      </c>
      <c r="F19" s="341" t="b">
        <v>0</v>
      </c>
      <c r="G19" s="342" t="s">
        <v>16</v>
      </c>
      <c r="H19" s="343" t="s">
        <v>228</v>
      </c>
      <c r="I19" s="370"/>
      <c r="J19" s="371"/>
      <c r="K19" s="369"/>
      <c r="L19" s="347"/>
      <c r="M19" s="348"/>
      <c r="N19" s="348"/>
      <c r="O19" s="348"/>
      <c r="P19" s="348"/>
      <c r="Q19" s="348"/>
      <c r="R19" s="348"/>
      <c r="S19" s="348"/>
      <c r="T19" s="348"/>
      <c r="U19" s="348"/>
      <c r="V19" s="348"/>
      <c r="W19" s="348"/>
      <c r="X19" s="348"/>
    </row>
    <row r="20" ht="18.75" hidden="1" customHeight="1">
      <c r="A20" s="337">
        <v>43930.0</v>
      </c>
      <c r="B20" s="338">
        <v>43930.541666666664</v>
      </c>
      <c r="C20" s="339" t="s">
        <v>229</v>
      </c>
      <c r="D20" s="340" t="s">
        <v>199</v>
      </c>
      <c r="E20" s="341" t="b">
        <v>0</v>
      </c>
      <c r="F20" s="341" t="b">
        <v>0</v>
      </c>
      <c r="G20" s="342" t="s">
        <v>25</v>
      </c>
      <c r="H20" s="343" t="s">
        <v>230</v>
      </c>
      <c r="I20" s="344">
        <f>$B20</f>
        <v>43930.54167</v>
      </c>
      <c r="J20" s="345">
        <f>$I20+3</f>
        <v>43933.54167</v>
      </c>
      <c r="K20" s="369">
        <v>43945.0</v>
      </c>
      <c r="L20" s="374"/>
      <c r="M20" s="348"/>
      <c r="N20" s="348"/>
      <c r="O20" s="348"/>
      <c r="P20" s="348"/>
      <c r="Q20" s="348"/>
      <c r="R20" s="348"/>
      <c r="S20" s="348"/>
      <c r="T20" s="348"/>
      <c r="U20" s="348"/>
      <c r="V20" s="348"/>
      <c r="W20" s="348"/>
      <c r="X20" s="348"/>
    </row>
    <row r="21" ht="18.75" hidden="1" customHeight="1">
      <c r="B21" s="338">
        <v>43930.541666666664</v>
      </c>
      <c r="C21" s="339" t="s">
        <v>231</v>
      </c>
      <c r="D21" s="340" t="s">
        <v>199</v>
      </c>
      <c r="E21" s="341" t="b">
        <v>0</v>
      </c>
      <c r="F21" s="341" t="b">
        <v>0</v>
      </c>
      <c r="G21" s="342" t="s">
        <v>153</v>
      </c>
      <c r="H21" s="343" t="s">
        <v>232</v>
      </c>
      <c r="I21" s="370"/>
      <c r="J21" s="371"/>
      <c r="K21" s="373"/>
      <c r="L21" s="374"/>
      <c r="M21" s="348"/>
      <c r="N21" s="348"/>
      <c r="O21" s="348"/>
      <c r="P21" s="348"/>
      <c r="Q21" s="348"/>
      <c r="R21" s="348"/>
      <c r="S21" s="348"/>
      <c r="T21" s="348"/>
      <c r="U21" s="348"/>
      <c r="V21" s="348"/>
      <c r="W21" s="348"/>
      <c r="X21" s="348"/>
    </row>
    <row r="22" ht="18.75" hidden="1" customHeight="1">
      <c r="A22" s="337">
        <v>43931.0</v>
      </c>
      <c r="B22" s="338">
        <v>43931.541666666664</v>
      </c>
      <c r="C22" s="352" t="s">
        <v>73</v>
      </c>
      <c r="D22" s="340" t="s">
        <v>233</v>
      </c>
      <c r="E22" s="341"/>
      <c r="F22" s="341"/>
      <c r="G22" s="353"/>
      <c r="H22" s="375"/>
      <c r="I22" s="376"/>
      <c r="J22" s="377"/>
      <c r="K22" s="378"/>
      <c r="L22" s="347" t="s">
        <v>234</v>
      </c>
      <c r="M22" s="348"/>
      <c r="N22" s="348"/>
      <c r="O22" s="348"/>
      <c r="P22" s="348"/>
      <c r="Q22" s="348"/>
      <c r="R22" s="348"/>
      <c r="S22" s="348"/>
      <c r="T22" s="348"/>
      <c r="U22" s="348"/>
      <c r="V22" s="348"/>
      <c r="W22" s="348"/>
      <c r="X22" s="348"/>
    </row>
    <row r="23" ht="18.75" hidden="1" customHeight="1">
      <c r="B23" s="338">
        <v>43931.875</v>
      </c>
      <c r="C23" s="352" t="s">
        <v>166</v>
      </c>
      <c r="D23" s="340" t="s">
        <v>235</v>
      </c>
      <c r="E23" s="341"/>
      <c r="F23" s="341"/>
      <c r="G23" s="379"/>
      <c r="H23" s="380"/>
      <c r="I23" s="381"/>
      <c r="J23" s="382"/>
      <c r="K23" s="383"/>
      <c r="L23" s="347" t="s">
        <v>236</v>
      </c>
      <c r="M23" s="348"/>
      <c r="N23" s="348"/>
      <c r="O23" s="348"/>
      <c r="P23" s="348"/>
      <c r="Q23" s="348"/>
      <c r="R23" s="348"/>
      <c r="S23" s="348"/>
      <c r="T23" s="348"/>
      <c r="U23" s="348"/>
      <c r="V23" s="348"/>
      <c r="W23" s="348"/>
      <c r="X23" s="348"/>
    </row>
    <row r="24" ht="18.75" hidden="1" customHeight="1">
      <c r="A24" s="337">
        <v>43932.0</v>
      </c>
      <c r="B24" s="338">
        <v>43932.625</v>
      </c>
      <c r="C24" s="352" t="s">
        <v>237</v>
      </c>
      <c r="D24" s="340" t="s">
        <v>199</v>
      </c>
      <c r="E24" s="341" t="b">
        <v>0</v>
      </c>
      <c r="F24" s="341" t="b">
        <v>0</v>
      </c>
      <c r="G24" s="353" t="s">
        <v>153</v>
      </c>
      <c r="H24" s="354" t="s">
        <v>238</v>
      </c>
      <c r="I24" s="344">
        <f>$B24</f>
        <v>43932.625</v>
      </c>
      <c r="J24" s="345">
        <f>$I24+3</f>
        <v>43935.625</v>
      </c>
      <c r="K24" s="369">
        <v>43945.0</v>
      </c>
      <c r="L24" s="350"/>
      <c r="M24" s="348"/>
      <c r="N24" s="348"/>
      <c r="O24" s="348"/>
      <c r="P24" s="348"/>
      <c r="Q24" s="348"/>
      <c r="R24" s="348"/>
      <c r="S24" s="348"/>
      <c r="T24" s="348"/>
      <c r="U24" s="348"/>
      <c r="V24" s="348"/>
      <c r="W24" s="348"/>
      <c r="X24" s="348"/>
    </row>
    <row r="25" ht="18.75" hidden="1" customHeight="1">
      <c r="B25" s="338">
        <v>43932.75</v>
      </c>
      <c r="C25" s="352" t="s">
        <v>239</v>
      </c>
      <c r="D25" s="340" t="s">
        <v>240</v>
      </c>
      <c r="E25" s="341" t="b">
        <v>1</v>
      </c>
      <c r="F25" s="341" t="b">
        <v>0</v>
      </c>
      <c r="G25" s="353" t="s">
        <v>203</v>
      </c>
      <c r="H25" s="354" t="s">
        <v>241</v>
      </c>
      <c r="I25" s="370"/>
      <c r="J25" s="371"/>
      <c r="K25" s="369">
        <v>43938.0</v>
      </c>
      <c r="L25" s="350"/>
      <c r="M25" s="348"/>
      <c r="N25" s="348"/>
      <c r="O25" s="348"/>
      <c r="P25" s="348"/>
      <c r="Q25" s="348"/>
      <c r="R25" s="348"/>
      <c r="S25" s="348"/>
      <c r="T25" s="348"/>
      <c r="U25" s="348"/>
      <c r="V25" s="348"/>
      <c r="W25" s="348"/>
      <c r="X25" s="348"/>
    </row>
    <row r="26" ht="18.75" hidden="1" customHeight="1">
      <c r="A26" s="355">
        <v>43933.0</v>
      </c>
      <c r="B26" s="356"/>
      <c r="C26" s="357"/>
      <c r="D26" s="358" t="s">
        <v>56</v>
      </c>
      <c r="E26" s="359" t="b">
        <v>0</v>
      </c>
      <c r="F26" s="359" t="b">
        <v>0</v>
      </c>
      <c r="G26" s="360"/>
      <c r="H26" s="361"/>
      <c r="I26" s="362"/>
      <c r="J26" s="363"/>
      <c r="K26" s="364"/>
      <c r="L26" s="365"/>
      <c r="M26" s="366"/>
      <c r="N26" s="366"/>
      <c r="O26" s="366"/>
      <c r="P26" s="366"/>
      <c r="Q26" s="366"/>
      <c r="R26" s="366"/>
      <c r="S26" s="366"/>
      <c r="T26" s="366"/>
      <c r="U26" s="366"/>
      <c r="V26" s="366"/>
      <c r="W26" s="366"/>
      <c r="X26" s="366"/>
    </row>
    <row r="27" ht="18.75" hidden="1" customHeight="1">
      <c r="A27" s="337">
        <v>43934.0</v>
      </c>
      <c r="B27" s="338">
        <v>43934.875</v>
      </c>
      <c r="C27" s="352" t="s">
        <v>73</v>
      </c>
      <c r="D27" s="340" t="s">
        <v>242</v>
      </c>
      <c r="E27" s="341"/>
      <c r="F27" s="341"/>
      <c r="G27" s="342"/>
      <c r="H27" s="384"/>
      <c r="I27" s="376"/>
      <c r="J27" s="377"/>
      <c r="K27" s="383"/>
      <c r="L27" s="347" t="str">
        <f t="shared" ref="L27:L28" si="3">L22</f>
        <v>W0075, W0077, M0149, M0150, W0078</v>
      </c>
      <c r="M27" s="348"/>
      <c r="N27" s="348"/>
      <c r="O27" s="348"/>
      <c r="P27" s="348"/>
      <c r="Q27" s="348"/>
      <c r="R27" s="348"/>
      <c r="S27" s="348"/>
      <c r="T27" s="348"/>
      <c r="U27" s="348"/>
      <c r="V27" s="348"/>
      <c r="W27" s="348"/>
      <c r="X27" s="348"/>
    </row>
    <row r="28" ht="18.75" hidden="1" customHeight="1">
      <c r="B28" s="338">
        <v>43934.875</v>
      </c>
      <c r="C28" s="352" t="s">
        <v>166</v>
      </c>
      <c r="D28" s="340" t="s">
        <v>243</v>
      </c>
      <c r="E28" s="341"/>
      <c r="F28" s="341"/>
      <c r="G28" s="342"/>
      <c r="H28" s="384"/>
      <c r="I28" s="376"/>
      <c r="J28" s="377"/>
      <c r="K28" s="383"/>
      <c r="L28" s="350" t="str">
        <f t="shared" si="3"/>
        <v>W0072, W0073-I, W0074</v>
      </c>
      <c r="M28" s="348"/>
      <c r="N28" s="348"/>
      <c r="O28" s="348"/>
      <c r="P28" s="348"/>
      <c r="Q28" s="348"/>
      <c r="R28" s="348"/>
      <c r="S28" s="348"/>
      <c r="T28" s="348"/>
      <c r="U28" s="348"/>
      <c r="V28" s="348"/>
      <c r="W28" s="348"/>
      <c r="X28" s="348"/>
    </row>
    <row r="29" ht="18.75" hidden="1" customHeight="1">
      <c r="B29" s="338">
        <v>43934.375</v>
      </c>
      <c r="C29" s="339" t="s">
        <v>244</v>
      </c>
      <c r="D29" s="340" t="s">
        <v>192</v>
      </c>
      <c r="E29" s="341" t="b">
        <v>0</v>
      </c>
      <c r="F29" s="341" t="b">
        <v>0</v>
      </c>
      <c r="G29" s="342" t="s">
        <v>25</v>
      </c>
      <c r="H29" s="343" t="s">
        <v>245</v>
      </c>
      <c r="I29" s="376">
        <f>$B29</f>
        <v>43934.375</v>
      </c>
      <c r="J29" s="377">
        <f>$I29+3</f>
        <v>43937.375</v>
      </c>
      <c r="K29" s="369">
        <v>43952.0</v>
      </c>
      <c r="L29" s="347" t="s">
        <v>246</v>
      </c>
      <c r="M29" s="348"/>
      <c r="N29" s="348"/>
      <c r="O29" s="348"/>
      <c r="P29" s="348"/>
      <c r="Q29" s="348"/>
      <c r="R29" s="348"/>
      <c r="S29" s="348"/>
      <c r="T29" s="348"/>
      <c r="U29" s="348"/>
      <c r="V29" s="348"/>
      <c r="W29" s="348"/>
      <c r="X29" s="348"/>
    </row>
    <row r="30" ht="18.75" hidden="1" customHeight="1">
      <c r="B30" s="338">
        <v>43934.708333333336</v>
      </c>
      <c r="C30" s="339" t="s">
        <v>247</v>
      </c>
      <c r="D30" s="340" t="s">
        <v>199</v>
      </c>
      <c r="E30" s="341" t="b">
        <v>0</v>
      </c>
      <c r="F30" s="341" t="b">
        <v>0</v>
      </c>
      <c r="G30" s="342" t="s">
        <v>153</v>
      </c>
      <c r="H30" s="343" t="s">
        <v>248</v>
      </c>
      <c r="I30" s="385"/>
      <c r="J30" s="371"/>
      <c r="K30" s="369">
        <v>43945.0</v>
      </c>
      <c r="L30" s="350"/>
      <c r="M30" s="348"/>
      <c r="N30" s="348"/>
      <c r="O30" s="348"/>
      <c r="P30" s="348"/>
      <c r="Q30" s="348"/>
      <c r="R30" s="348"/>
      <c r="S30" s="348"/>
      <c r="T30" s="348"/>
      <c r="U30" s="348"/>
      <c r="V30" s="348"/>
      <c r="W30" s="348"/>
      <c r="X30" s="348"/>
    </row>
    <row r="31" ht="18.75" hidden="1" customHeight="1">
      <c r="A31" s="337">
        <v>43935.0</v>
      </c>
      <c r="B31" s="386">
        <v>43935.375</v>
      </c>
      <c r="C31" s="339" t="s">
        <v>249</v>
      </c>
      <c r="D31" s="340" t="s">
        <v>192</v>
      </c>
      <c r="E31" s="341" t="b">
        <v>0</v>
      </c>
      <c r="F31" s="341" t="b">
        <v>0</v>
      </c>
      <c r="G31" s="342" t="s">
        <v>16</v>
      </c>
      <c r="H31" s="343" t="s">
        <v>250</v>
      </c>
      <c r="I31" s="376">
        <f>$B31</f>
        <v>43935.375</v>
      </c>
      <c r="J31" s="377">
        <f>$I31+3</f>
        <v>43938.375</v>
      </c>
      <c r="K31" s="373"/>
      <c r="L31" s="350"/>
      <c r="M31" s="348"/>
      <c r="N31" s="348"/>
      <c r="O31" s="348"/>
      <c r="P31" s="348"/>
      <c r="Q31" s="348"/>
      <c r="R31" s="348"/>
      <c r="S31" s="348"/>
      <c r="T31" s="348"/>
      <c r="U31" s="348"/>
      <c r="V31" s="348"/>
      <c r="W31" s="348"/>
      <c r="X31" s="348"/>
    </row>
    <row r="32" ht="18.75" hidden="1" customHeight="1">
      <c r="B32" s="386">
        <v>43935.708333333336</v>
      </c>
      <c r="C32" s="339" t="s">
        <v>251</v>
      </c>
      <c r="D32" s="340" t="s">
        <v>199</v>
      </c>
      <c r="E32" s="341" t="b">
        <v>0</v>
      </c>
      <c r="F32" s="341" t="b">
        <v>0</v>
      </c>
      <c r="G32" s="342" t="s">
        <v>25</v>
      </c>
      <c r="H32" s="343" t="s">
        <v>252</v>
      </c>
      <c r="I32" s="385"/>
      <c r="J32" s="371"/>
      <c r="K32" s="369">
        <v>43952.0</v>
      </c>
      <c r="L32" s="350"/>
      <c r="M32" s="348"/>
      <c r="N32" s="348"/>
      <c r="O32" s="348"/>
      <c r="P32" s="348"/>
      <c r="Q32" s="348"/>
      <c r="R32" s="348"/>
      <c r="S32" s="348"/>
      <c r="T32" s="348"/>
      <c r="U32" s="348"/>
      <c r="V32" s="348"/>
      <c r="W32" s="348"/>
      <c r="X32" s="348"/>
    </row>
    <row r="33" ht="18.75" hidden="1" customHeight="1">
      <c r="A33" s="337">
        <v>43936.0</v>
      </c>
      <c r="B33" s="386">
        <v>43936.375</v>
      </c>
      <c r="C33" s="339" t="s">
        <v>253</v>
      </c>
      <c r="D33" s="340" t="s">
        <v>192</v>
      </c>
      <c r="E33" s="341" t="b">
        <v>0</v>
      </c>
      <c r="F33" s="341" t="b">
        <v>0</v>
      </c>
      <c r="G33" s="342" t="s">
        <v>123</v>
      </c>
      <c r="H33" s="343" t="s">
        <v>254</v>
      </c>
      <c r="I33" s="376">
        <f>$B33</f>
        <v>43936.375</v>
      </c>
      <c r="J33" s="377">
        <f>$I33+3</f>
        <v>43939.375</v>
      </c>
      <c r="K33" s="373"/>
      <c r="L33" s="350"/>
      <c r="M33" s="348"/>
      <c r="N33" s="348"/>
      <c r="O33" s="348"/>
      <c r="P33" s="348"/>
      <c r="Q33" s="348"/>
      <c r="R33" s="348"/>
      <c r="S33" s="348"/>
      <c r="T33" s="348"/>
      <c r="U33" s="348"/>
      <c r="V33" s="348"/>
      <c r="W33" s="348"/>
      <c r="X33" s="348"/>
    </row>
    <row r="34" ht="18.75" hidden="1" customHeight="1">
      <c r="B34" s="386">
        <v>43936.708333333336</v>
      </c>
      <c r="C34" s="339" t="s">
        <v>255</v>
      </c>
      <c r="D34" s="340" t="s">
        <v>199</v>
      </c>
      <c r="E34" s="341" t="b">
        <v>0</v>
      </c>
      <c r="F34" s="341" t="b">
        <v>0</v>
      </c>
      <c r="G34" s="342" t="s">
        <v>44</v>
      </c>
      <c r="H34" s="343" t="s">
        <v>256</v>
      </c>
      <c r="I34" s="385"/>
      <c r="J34" s="371"/>
      <c r="K34" s="373"/>
      <c r="L34" s="350"/>
      <c r="M34" s="348"/>
      <c r="N34" s="348"/>
      <c r="O34" s="348"/>
      <c r="P34" s="348"/>
      <c r="Q34" s="348"/>
      <c r="R34" s="348"/>
      <c r="S34" s="348"/>
      <c r="T34" s="348"/>
      <c r="U34" s="348"/>
      <c r="V34" s="348"/>
      <c r="W34" s="348"/>
      <c r="X34" s="348"/>
    </row>
    <row r="35" ht="18.75" hidden="1" customHeight="1">
      <c r="A35" s="337">
        <v>43937.0</v>
      </c>
      <c r="B35" s="386">
        <v>43937.375</v>
      </c>
      <c r="C35" s="339" t="s">
        <v>257</v>
      </c>
      <c r="D35" s="340" t="s">
        <v>192</v>
      </c>
      <c r="E35" s="341" t="b">
        <v>0</v>
      </c>
      <c r="F35" s="341" t="b">
        <v>0</v>
      </c>
      <c r="G35" s="342" t="s">
        <v>25</v>
      </c>
      <c r="H35" s="343" t="s">
        <v>258</v>
      </c>
      <c r="I35" s="376">
        <f>$B35</f>
        <v>43937.375</v>
      </c>
      <c r="J35" s="377">
        <f>$I35+3</f>
        <v>43940.375</v>
      </c>
      <c r="K35" s="373"/>
      <c r="L35" s="347" t="s">
        <v>259</v>
      </c>
      <c r="M35" s="348"/>
      <c r="N35" s="348"/>
      <c r="O35" s="348"/>
      <c r="P35" s="348"/>
      <c r="Q35" s="348"/>
      <c r="R35" s="348"/>
      <c r="S35" s="348"/>
      <c r="T35" s="348"/>
      <c r="U35" s="348"/>
      <c r="V35" s="348"/>
      <c r="W35" s="348"/>
      <c r="X35" s="348"/>
    </row>
    <row r="36" ht="18.75" hidden="1" customHeight="1">
      <c r="B36" s="386">
        <v>43937.708333333336</v>
      </c>
      <c r="C36" s="339" t="s">
        <v>260</v>
      </c>
      <c r="D36" s="340" t="s">
        <v>199</v>
      </c>
      <c r="E36" s="341" t="b">
        <v>0</v>
      </c>
      <c r="F36" s="341" t="b">
        <v>0</v>
      </c>
      <c r="G36" s="342" t="s">
        <v>153</v>
      </c>
      <c r="H36" s="343" t="s">
        <v>261</v>
      </c>
      <c r="I36" s="385"/>
      <c r="J36" s="371"/>
      <c r="K36" s="373"/>
      <c r="L36" s="350"/>
      <c r="M36" s="348"/>
      <c r="N36" s="348"/>
      <c r="O36" s="348"/>
      <c r="P36" s="348"/>
      <c r="Q36" s="348"/>
      <c r="R36" s="348"/>
      <c r="S36" s="348"/>
      <c r="T36" s="348"/>
      <c r="U36" s="348"/>
      <c r="V36" s="348"/>
      <c r="W36" s="348"/>
      <c r="X36" s="348"/>
    </row>
    <row r="37" ht="18.75" hidden="1" customHeight="1">
      <c r="A37" s="337">
        <v>43938.0</v>
      </c>
      <c r="B37" s="338">
        <v>43938.541666666664</v>
      </c>
      <c r="C37" s="352" t="s">
        <v>74</v>
      </c>
      <c r="D37" s="340" t="s">
        <v>233</v>
      </c>
      <c r="E37" s="341"/>
      <c r="F37" s="341"/>
      <c r="G37" s="353"/>
      <c r="H37" s="375"/>
      <c r="I37" s="376"/>
      <c r="J37" s="377"/>
      <c r="K37" s="383"/>
      <c r="L37" s="347" t="s">
        <v>262</v>
      </c>
      <c r="M37" s="348"/>
      <c r="N37" s="348"/>
      <c r="O37" s="348"/>
      <c r="P37" s="348"/>
      <c r="Q37" s="348"/>
      <c r="R37" s="348"/>
      <c r="S37" s="348"/>
      <c r="T37" s="348"/>
      <c r="U37" s="348"/>
      <c r="V37" s="348"/>
      <c r="W37" s="348"/>
      <c r="X37" s="348"/>
    </row>
    <row r="38" ht="18.75" hidden="1" customHeight="1">
      <c r="B38" s="338">
        <v>43938.875</v>
      </c>
      <c r="C38" s="352" t="s">
        <v>167</v>
      </c>
      <c r="D38" s="340" t="s">
        <v>235</v>
      </c>
      <c r="E38" s="341"/>
      <c r="F38" s="341"/>
      <c r="G38" s="353"/>
      <c r="H38" s="375"/>
      <c r="I38" s="376"/>
      <c r="J38" s="377"/>
      <c r="K38" s="383"/>
      <c r="L38" s="347" t="s">
        <v>263</v>
      </c>
      <c r="M38" s="348"/>
      <c r="N38" s="348"/>
      <c r="O38" s="348"/>
      <c r="P38" s="348"/>
      <c r="Q38" s="348"/>
      <c r="R38" s="348"/>
      <c r="S38" s="348"/>
      <c r="T38" s="348"/>
      <c r="U38" s="348"/>
      <c r="V38" s="348"/>
      <c r="W38" s="348"/>
      <c r="X38" s="348"/>
    </row>
    <row r="39" ht="18.75" hidden="1" customHeight="1">
      <c r="B39" s="338">
        <v>43938.375</v>
      </c>
      <c r="C39" s="352" t="s">
        <v>264</v>
      </c>
      <c r="D39" s="340" t="s">
        <v>212</v>
      </c>
      <c r="E39" s="341" t="b">
        <v>1</v>
      </c>
      <c r="F39" s="341" t="b">
        <v>0</v>
      </c>
      <c r="G39" s="353" t="s">
        <v>123</v>
      </c>
      <c r="H39" s="354" t="s">
        <v>265</v>
      </c>
      <c r="I39" s="376">
        <f>$B38</f>
        <v>43938.875</v>
      </c>
      <c r="J39" s="377">
        <f t="shared" ref="J39:J40" si="4">$I39+3</f>
        <v>43941.875</v>
      </c>
      <c r="K39" s="383"/>
      <c r="L39" s="347"/>
      <c r="M39" s="348"/>
      <c r="N39" s="348"/>
      <c r="O39" s="348"/>
      <c r="P39" s="348"/>
      <c r="Q39" s="348"/>
      <c r="R39" s="348"/>
      <c r="S39" s="348"/>
      <c r="T39" s="348"/>
      <c r="U39" s="348"/>
      <c r="V39" s="348"/>
      <c r="W39" s="348"/>
      <c r="X39" s="348"/>
    </row>
    <row r="40" ht="18.75" hidden="1" customHeight="1">
      <c r="A40" s="337">
        <v>43939.0</v>
      </c>
      <c r="B40" s="386">
        <v>43939.375</v>
      </c>
      <c r="C40" s="352" t="s">
        <v>266</v>
      </c>
      <c r="D40" s="340" t="s">
        <v>192</v>
      </c>
      <c r="E40" s="341" t="b">
        <v>0</v>
      </c>
      <c r="F40" s="341" t="b">
        <v>0</v>
      </c>
      <c r="G40" s="353" t="s">
        <v>16</v>
      </c>
      <c r="H40" s="354" t="s">
        <v>267</v>
      </c>
      <c r="I40" s="344">
        <f>$B40</f>
        <v>43939.375</v>
      </c>
      <c r="J40" s="345">
        <f t="shared" si="4"/>
        <v>43942.375</v>
      </c>
      <c r="K40" s="369">
        <v>43952.0</v>
      </c>
      <c r="L40" s="347" t="str">
        <f>L34</f>
        <v/>
      </c>
      <c r="M40" s="348"/>
      <c r="N40" s="348"/>
      <c r="O40" s="348"/>
      <c r="P40" s="348"/>
      <c r="Q40" s="348"/>
      <c r="R40" s="348"/>
      <c r="S40" s="348"/>
      <c r="T40" s="348"/>
      <c r="U40" s="348"/>
      <c r="V40" s="348"/>
      <c r="W40" s="348"/>
      <c r="X40" s="348"/>
    </row>
    <row r="41" ht="18.75" hidden="1" customHeight="1">
      <c r="B41" s="386">
        <v>43939.708333333336</v>
      </c>
      <c r="C41" s="352" t="s">
        <v>268</v>
      </c>
      <c r="D41" s="340" t="s">
        <v>199</v>
      </c>
      <c r="E41" s="341" t="b">
        <v>0</v>
      </c>
      <c r="F41" s="341" t="b">
        <v>0</v>
      </c>
      <c r="G41" s="353" t="s">
        <v>153</v>
      </c>
      <c r="H41" s="354" t="s">
        <v>269</v>
      </c>
      <c r="I41" s="370"/>
      <c r="J41" s="371"/>
      <c r="K41" s="369">
        <v>43959.0</v>
      </c>
      <c r="L41" s="347"/>
      <c r="M41" s="348"/>
      <c r="N41" s="348"/>
      <c r="O41" s="348"/>
      <c r="P41" s="348"/>
      <c r="Q41" s="348"/>
      <c r="R41" s="348"/>
      <c r="S41" s="348"/>
      <c r="T41" s="348"/>
      <c r="U41" s="348"/>
      <c r="V41" s="348"/>
      <c r="W41" s="348"/>
      <c r="X41" s="348"/>
    </row>
    <row r="42" ht="18.75" hidden="1" customHeight="1">
      <c r="A42" s="355">
        <v>43940.0</v>
      </c>
      <c r="B42" s="356"/>
      <c r="C42" s="357"/>
      <c r="D42" s="358" t="s">
        <v>56</v>
      </c>
      <c r="E42" s="359" t="b">
        <v>0</v>
      </c>
      <c r="F42" s="359" t="b">
        <v>0</v>
      </c>
      <c r="G42" s="360"/>
      <c r="H42" s="361"/>
      <c r="I42" s="362"/>
      <c r="J42" s="363"/>
      <c r="K42" s="364"/>
      <c r="L42" s="347"/>
      <c r="M42" s="366"/>
      <c r="N42" s="366"/>
      <c r="O42" s="366"/>
      <c r="P42" s="366"/>
      <c r="Q42" s="366"/>
      <c r="R42" s="366"/>
      <c r="S42" s="366"/>
      <c r="T42" s="366"/>
      <c r="U42" s="366"/>
      <c r="V42" s="366"/>
      <c r="W42" s="366"/>
      <c r="X42" s="366"/>
    </row>
    <row r="43" ht="18.75" hidden="1" customHeight="1">
      <c r="A43" s="337">
        <v>43941.0</v>
      </c>
      <c r="B43" s="387">
        <v>43941.875</v>
      </c>
      <c r="C43" s="352" t="s">
        <v>74</v>
      </c>
      <c r="D43" s="340" t="s">
        <v>242</v>
      </c>
      <c r="E43" s="341"/>
      <c r="F43" s="341"/>
      <c r="G43" s="388"/>
      <c r="H43" s="389"/>
      <c r="I43" s="390"/>
      <c r="J43" s="391"/>
      <c r="K43" s="392"/>
      <c r="L43" s="347" t="str">
        <f t="shared" ref="L43:L44" si="5">L37</f>
        <v>M0152, M0154, W0079, M0153, W0080, W0076-I</v>
      </c>
      <c r="M43" s="309"/>
      <c r="N43" s="309"/>
      <c r="O43" s="309"/>
      <c r="P43" s="309"/>
      <c r="Q43" s="309"/>
      <c r="R43" s="309"/>
      <c r="S43" s="309"/>
      <c r="T43" s="309"/>
      <c r="U43" s="309"/>
      <c r="V43" s="309"/>
      <c r="W43" s="309"/>
      <c r="X43" s="309"/>
    </row>
    <row r="44" ht="18.75" hidden="1" customHeight="1">
      <c r="B44" s="387">
        <v>43941.875</v>
      </c>
      <c r="C44" s="352" t="s">
        <v>167</v>
      </c>
      <c r="D44" s="340" t="s">
        <v>243</v>
      </c>
      <c r="E44" s="341"/>
      <c r="F44" s="341"/>
      <c r="G44" s="388"/>
      <c r="H44" s="389"/>
      <c r="I44" s="390"/>
      <c r="J44" s="391"/>
      <c r="K44" s="392"/>
      <c r="L44" s="347" t="str">
        <f t="shared" si="5"/>
        <v>W0075, W0077, W0078</v>
      </c>
      <c r="M44" s="309"/>
      <c r="N44" s="309"/>
      <c r="O44" s="309"/>
      <c r="P44" s="309"/>
      <c r="Q44" s="309"/>
      <c r="R44" s="309"/>
      <c r="S44" s="309"/>
      <c r="T44" s="309"/>
      <c r="U44" s="309"/>
      <c r="V44" s="309"/>
      <c r="W44" s="309"/>
      <c r="X44" s="309"/>
    </row>
    <row r="45" ht="18.75" hidden="1" customHeight="1">
      <c r="B45" s="387">
        <v>43941.375</v>
      </c>
      <c r="C45" s="352" t="s">
        <v>270</v>
      </c>
      <c r="D45" s="340" t="s">
        <v>240</v>
      </c>
      <c r="E45" s="341" t="b">
        <v>0</v>
      </c>
      <c r="F45" s="341" t="b">
        <v>0</v>
      </c>
      <c r="G45" s="353" t="s">
        <v>37</v>
      </c>
      <c r="H45" s="393" t="s">
        <v>271</v>
      </c>
      <c r="I45" s="344">
        <f>$B45</f>
        <v>43941.375</v>
      </c>
      <c r="J45" s="345">
        <f>$I45+3</f>
        <v>43944.375</v>
      </c>
      <c r="K45" s="394">
        <v>43945.0</v>
      </c>
      <c r="L45" s="347" t="s">
        <v>272</v>
      </c>
      <c r="M45" s="309"/>
      <c r="N45" s="309"/>
      <c r="O45" s="309"/>
      <c r="P45" s="309"/>
      <c r="Q45" s="309"/>
      <c r="R45" s="309"/>
      <c r="S45" s="309"/>
      <c r="T45" s="309"/>
      <c r="U45" s="309"/>
      <c r="V45" s="309"/>
      <c r="W45" s="309"/>
      <c r="X45" s="309"/>
    </row>
    <row r="46" ht="18.75" hidden="1" customHeight="1">
      <c r="B46" s="387">
        <v>43941.625</v>
      </c>
      <c r="C46" s="352" t="s">
        <v>273</v>
      </c>
      <c r="D46" s="340" t="s">
        <v>227</v>
      </c>
      <c r="E46" s="341" t="b">
        <v>0</v>
      </c>
      <c r="F46" s="341" t="b">
        <v>0</v>
      </c>
      <c r="G46" s="353" t="s">
        <v>118</v>
      </c>
      <c r="H46" s="393" t="s">
        <v>274</v>
      </c>
      <c r="I46" s="370"/>
      <c r="J46" s="371"/>
      <c r="K46" s="392"/>
      <c r="L46" s="347"/>
      <c r="M46" s="309"/>
      <c r="N46" s="309"/>
      <c r="O46" s="309"/>
      <c r="P46" s="309"/>
      <c r="Q46" s="309"/>
      <c r="R46" s="309"/>
      <c r="S46" s="309"/>
      <c r="T46" s="309"/>
      <c r="U46" s="309"/>
      <c r="V46" s="309"/>
      <c r="W46" s="309"/>
      <c r="X46" s="309"/>
    </row>
    <row r="47" ht="18.75" hidden="1" customHeight="1">
      <c r="B47" s="387">
        <v>43941.708333333336</v>
      </c>
      <c r="C47" s="352" t="s">
        <v>275</v>
      </c>
      <c r="D47" s="340" t="s">
        <v>240</v>
      </c>
      <c r="E47" s="341" t="b">
        <v>0</v>
      </c>
      <c r="F47" s="341" t="b">
        <v>0</v>
      </c>
      <c r="G47" s="353"/>
      <c r="H47" s="393"/>
      <c r="I47" s="370"/>
      <c r="J47" s="371"/>
      <c r="K47" s="394">
        <v>43945.0</v>
      </c>
      <c r="L47" s="347" t="s">
        <v>276</v>
      </c>
      <c r="M47" s="309"/>
      <c r="N47" s="309"/>
      <c r="O47" s="309"/>
      <c r="P47" s="309"/>
      <c r="Q47" s="309"/>
      <c r="R47" s="309"/>
      <c r="S47" s="309"/>
      <c r="T47" s="309"/>
      <c r="U47" s="309"/>
      <c r="V47" s="309"/>
      <c r="W47" s="309"/>
      <c r="X47" s="309"/>
    </row>
    <row r="48" ht="18.75" hidden="1" customHeight="1">
      <c r="A48" s="337">
        <v>43942.0</v>
      </c>
      <c r="B48" s="386">
        <v>43942.375</v>
      </c>
      <c r="C48" s="395" t="s">
        <v>277</v>
      </c>
      <c r="D48" s="396" t="s">
        <v>192</v>
      </c>
      <c r="E48" s="341" t="b">
        <v>0</v>
      </c>
      <c r="F48" s="341" t="b">
        <v>0</v>
      </c>
      <c r="G48" s="397" t="s">
        <v>116</v>
      </c>
      <c r="H48" s="393" t="s">
        <v>278</v>
      </c>
      <c r="I48" s="344">
        <f>$B48</f>
        <v>43942.375</v>
      </c>
      <c r="J48" s="345">
        <f>$I48+3</f>
        <v>43945.375</v>
      </c>
      <c r="K48" s="394">
        <v>43959.0</v>
      </c>
      <c r="L48" s="350"/>
      <c r="M48" s="309"/>
      <c r="N48" s="309"/>
      <c r="O48" s="309"/>
      <c r="P48" s="309"/>
      <c r="Q48" s="309"/>
      <c r="R48" s="309"/>
      <c r="S48" s="309"/>
      <c r="T48" s="309"/>
      <c r="U48" s="309"/>
      <c r="V48" s="309"/>
      <c r="W48" s="309"/>
      <c r="X48" s="309"/>
    </row>
    <row r="49" ht="18.75" hidden="1" customHeight="1">
      <c r="B49" s="386">
        <v>43942.625</v>
      </c>
      <c r="C49" s="395" t="s">
        <v>279</v>
      </c>
      <c r="D49" s="396" t="s">
        <v>199</v>
      </c>
      <c r="E49" s="341" t="b">
        <v>0</v>
      </c>
      <c r="F49" s="341" t="b">
        <v>0</v>
      </c>
      <c r="G49" s="397" t="s">
        <v>153</v>
      </c>
      <c r="H49" s="393" t="s">
        <v>280</v>
      </c>
      <c r="I49" s="370"/>
      <c r="J49" s="371"/>
      <c r="K49" s="373"/>
      <c r="L49" s="350"/>
      <c r="M49" s="309"/>
      <c r="N49" s="309"/>
      <c r="O49" s="309"/>
      <c r="P49" s="309"/>
      <c r="Q49" s="309"/>
      <c r="R49" s="309"/>
      <c r="S49" s="309"/>
      <c r="T49" s="309"/>
      <c r="U49" s="309"/>
      <c r="V49" s="309"/>
      <c r="W49" s="309"/>
      <c r="X49" s="309"/>
    </row>
    <row r="50" ht="18.75" hidden="1" customHeight="1">
      <c r="A50" s="337">
        <v>43943.0</v>
      </c>
      <c r="B50" s="386">
        <v>43943.375</v>
      </c>
      <c r="C50" s="395" t="s">
        <v>281</v>
      </c>
      <c r="D50" s="396" t="s">
        <v>199</v>
      </c>
      <c r="E50" s="341" t="b">
        <v>0</v>
      </c>
      <c r="F50" s="341" t="b">
        <v>0</v>
      </c>
      <c r="G50" s="397" t="s">
        <v>155</v>
      </c>
      <c r="H50" s="393" t="s">
        <v>282</v>
      </c>
      <c r="I50" s="344">
        <f>$B50</f>
        <v>43943.375</v>
      </c>
      <c r="J50" s="345">
        <f>$I50+3</f>
        <v>43946.375</v>
      </c>
      <c r="K50" s="373"/>
      <c r="L50" s="350"/>
      <c r="M50" s="309"/>
      <c r="N50" s="309"/>
      <c r="O50" s="309"/>
      <c r="P50" s="309"/>
      <c r="Q50" s="309"/>
      <c r="R50" s="309"/>
      <c r="S50" s="309"/>
      <c r="T50" s="309"/>
      <c r="U50" s="309"/>
      <c r="V50" s="309"/>
      <c r="W50" s="309"/>
      <c r="X50" s="309"/>
    </row>
    <row r="51" ht="18.75" hidden="1" customHeight="1">
      <c r="B51" s="386">
        <v>43943.625</v>
      </c>
      <c r="C51" s="395" t="s">
        <v>283</v>
      </c>
      <c r="D51" s="396" t="s">
        <v>192</v>
      </c>
      <c r="E51" s="341" t="b">
        <v>0</v>
      </c>
      <c r="F51" s="341" t="b">
        <v>0</v>
      </c>
      <c r="G51" s="397" t="s">
        <v>16</v>
      </c>
      <c r="H51" s="393" t="s">
        <v>284</v>
      </c>
      <c r="I51" s="370"/>
      <c r="J51" s="371"/>
      <c r="K51" s="373"/>
      <c r="L51" s="350"/>
      <c r="M51" s="309"/>
      <c r="N51" s="309"/>
      <c r="O51" s="309"/>
      <c r="P51" s="309"/>
      <c r="Q51" s="309"/>
      <c r="R51" s="309"/>
      <c r="S51" s="309"/>
      <c r="T51" s="309"/>
      <c r="U51" s="309"/>
      <c r="V51" s="309"/>
      <c r="W51" s="309"/>
      <c r="X51" s="309"/>
    </row>
    <row r="52" ht="18.75" hidden="1" customHeight="1">
      <c r="A52" s="337">
        <v>43944.0</v>
      </c>
      <c r="B52" s="386">
        <v>43944.375</v>
      </c>
      <c r="C52" s="395" t="s">
        <v>285</v>
      </c>
      <c r="D52" s="396" t="s">
        <v>192</v>
      </c>
      <c r="E52" s="341" t="b">
        <v>0</v>
      </c>
      <c r="F52" s="341" t="b">
        <v>0</v>
      </c>
      <c r="G52" s="397" t="s">
        <v>118</v>
      </c>
      <c r="H52" s="393" t="s">
        <v>286</v>
      </c>
      <c r="I52" s="344">
        <f>$B52</f>
        <v>43944.375</v>
      </c>
      <c r="J52" s="345">
        <f>$I52+3</f>
        <v>43947.375</v>
      </c>
      <c r="K52" s="394">
        <v>43966.0</v>
      </c>
      <c r="L52" s="347" t="s">
        <v>287</v>
      </c>
      <c r="M52" s="309"/>
      <c r="N52" s="309"/>
      <c r="O52" s="309"/>
      <c r="P52" s="309"/>
      <c r="Q52" s="309"/>
      <c r="R52" s="309"/>
      <c r="S52" s="309"/>
      <c r="T52" s="309"/>
      <c r="U52" s="309"/>
      <c r="V52" s="309"/>
      <c r="W52" s="309"/>
      <c r="X52" s="309"/>
    </row>
    <row r="53" ht="18.75" hidden="1" customHeight="1">
      <c r="B53" s="386">
        <v>43944.625</v>
      </c>
      <c r="C53" s="395" t="s">
        <v>288</v>
      </c>
      <c r="D53" s="396" t="s">
        <v>199</v>
      </c>
      <c r="E53" s="341" t="b">
        <v>0</v>
      </c>
      <c r="F53" s="341" t="b">
        <v>0</v>
      </c>
      <c r="G53" s="397" t="s">
        <v>153</v>
      </c>
      <c r="H53" s="393" t="s">
        <v>289</v>
      </c>
      <c r="I53" s="370"/>
      <c r="J53" s="371"/>
      <c r="K53" s="394">
        <v>43959.0</v>
      </c>
      <c r="L53" s="350"/>
      <c r="M53" s="309"/>
      <c r="N53" s="309"/>
      <c r="O53" s="309"/>
      <c r="P53" s="309"/>
      <c r="Q53" s="309"/>
      <c r="R53" s="309"/>
      <c r="S53" s="309"/>
      <c r="T53" s="309"/>
      <c r="U53" s="309"/>
      <c r="V53" s="309"/>
      <c r="W53" s="309"/>
      <c r="X53" s="309"/>
    </row>
    <row r="54" ht="18.75" hidden="1" customHeight="1">
      <c r="A54" s="337">
        <v>43945.0</v>
      </c>
      <c r="B54" s="386">
        <v>43945.541666666664</v>
      </c>
      <c r="C54" s="352" t="s">
        <v>75</v>
      </c>
      <c r="D54" s="340" t="s">
        <v>233</v>
      </c>
      <c r="E54" s="341"/>
      <c r="F54" s="341"/>
      <c r="G54" s="388"/>
      <c r="H54" s="389"/>
      <c r="I54" s="390"/>
      <c r="J54" s="391"/>
      <c r="K54" s="392"/>
      <c r="L54" s="347" t="s">
        <v>290</v>
      </c>
      <c r="M54" s="309"/>
      <c r="N54" s="309"/>
      <c r="O54" s="309"/>
      <c r="P54" s="309"/>
      <c r="Q54" s="309"/>
      <c r="R54" s="309"/>
      <c r="S54" s="309"/>
      <c r="T54" s="309"/>
      <c r="U54" s="309"/>
      <c r="V54" s="309"/>
      <c r="W54" s="309"/>
      <c r="X54" s="309"/>
    </row>
    <row r="55" ht="18.75" hidden="1" customHeight="1">
      <c r="B55" s="386">
        <v>43945.875</v>
      </c>
      <c r="C55" s="352" t="s">
        <v>168</v>
      </c>
      <c r="D55" s="340" t="s">
        <v>235</v>
      </c>
      <c r="E55" s="341"/>
      <c r="F55" s="341"/>
      <c r="G55" s="388"/>
      <c r="H55" s="389"/>
      <c r="I55" s="390"/>
      <c r="J55" s="391"/>
      <c r="K55" s="392"/>
      <c r="L55" s="347" t="s">
        <v>217</v>
      </c>
      <c r="M55" s="309"/>
      <c r="N55" s="309"/>
      <c r="O55" s="309"/>
      <c r="P55" s="309"/>
      <c r="Q55" s="309"/>
      <c r="R55" s="309"/>
      <c r="S55" s="309"/>
      <c r="T55" s="309"/>
      <c r="U55" s="309"/>
      <c r="V55" s="309"/>
      <c r="W55" s="309"/>
      <c r="X55" s="309"/>
    </row>
    <row r="56" ht="18.75" hidden="1" customHeight="1">
      <c r="B56" s="386">
        <v>43945.625</v>
      </c>
      <c r="C56" s="352" t="s">
        <v>291</v>
      </c>
      <c r="D56" s="340" t="s">
        <v>227</v>
      </c>
      <c r="E56" s="341" t="b">
        <v>0</v>
      </c>
      <c r="F56" s="341" t="b">
        <v>0</v>
      </c>
      <c r="G56" s="397" t="s">
        <v>118</v>
      </c>
      <c r="H56" s="393" t="s">
        <v>292</v>
      </c>
      <c r="I56" s="344">
        <f t="shared" ref="I56:I57" si="6">$B56</f>
        <v>43945.625</v>
      </c>
      <c r="J56" s="345">
        <f t="shared" ref="J56:J57" si="7">$I56+3</f>
        <v>43948.625</v>
      </c>
      <c r="K56" s="392"/>
      <c r="L56" s="347"/>
      <c r="M56" s="309"/>
      <c r="N56" s="309"/>
      <c r="O56" s="309"/>
      <c r="P56" s="309"/>
      <c r="Q56" s="309"/>
      <c r="R56" s="309"/>
      <c r="S56" s="309"/>
      <c r="T56" s="309"/>
      <c r="U56" s="309"/>
      <c r="V56" s="309"/>
      <c r="W56" s="309"/>
      <c r="X56" s="309"/>
    </row>
    <row r="57" ht="18.75" hidden="1" customHeight="1">
      <c r="A57" s="337">
        <v>43946.0</v>
      </c>
      <c r="B57" s="386">
        <v>43946.625</v>
      </c>
      <c r="C57" s="395" t="s">
        <v>293</v>
      </c>
      <c r="D57" s="396" t="s">
        <v>199</v>
      </c>
      <c r="E57" s="341" t="b">
        <v>0</v>
      </c>
      <c r="F57" s="341" t="b">
        <v>0</v>
      </c>
      <c r="G57" s="397" t="s">
        <v>294</v>
      </c>
      <c r="H57" s="393" t="s">
        <v>295</v>
      </c>
      <c r="I57" s="344">
        <f t="shared" si="6"/>
        <v>43946.625</v>
      </c>
      <c r="J57" s="345">
        <f t="shared" si="7"/>
        <v>43949.625</v>
      </c>
      <c r="K57" s="394">
        <v>43966.0</v>
      </c>
      <c r="L57" s="350"/>
      <c r="M57" s="309"/>
      <c r="N57" s="309"/>
      <c r="O57" s="309"/>
      <c r="P57" s="309"/>
      <c r="Q57" s="309"/>
      <c r="R57" s="309"/>
      <c r="S57" s="309"/>
      <c r="T57" s="309"/>
      <c r="U57" s="309"/>
      <c r="V57" s="309"/>
      <c r="W57" s="309"/>
      <c r="X57" s="309"/>
    </row>
    <row r="58" ht="18.75" hidden="1" customHeight="1">
      <c r="A58" s="355">
        <v>43947.0</v>
      </c>
      <c r="B58" s="398"/>
      <c r="C58" s="399"/>
      <c r="D58" s="400" t="s">
        <v>56</v>
      </c>
      <c r="E58" s="359" t="b">
        <v>0</v>
      </c>
      <c r="F58" s="359" t="b">
        <v>0</v>
      </c>
      <c r="G58" s="401"/>
      <c r="H58" s="402"/>
      <c r="I58" s="403"/>
      <c r="J58" s="404"/>
      <c r="K58" s="405"/>
      <c r="L58" s="365"/>
      <c r="M58" s="406"/>
      <c r="N58" s="406"/>
      <c r="O58" s="406"/>
      <c r="P58" s="406"/>
      <c r="Q58" s="406"/>
      <c r="R58" s="406"/>
      <c r="S58" s="406"/>
      <c r="T58" s="406"/>
      <c r="U58" s="406"/>
      <c r="V58" s="406"/>
      <c r="W58" s="406"/>
      <c r="X58" s="406"/>
    </row>
    <row r="59" ht="18.75" hidden="1" customHeight="1">
      <c r="A59" s="337">
        <v>43948.0</v>
      </c>
      <c r="B59" s="386">
        <v>43948.875</v>
      </c>
      <c r="C59" s="352" t="s">
        <v>75</v>
      </c>
      <c r="D59" s="340" t="s">
        <v>242</v>
      </c>
      <c r="E59" s="341"/>
      <c r="F59" s="341"/>
      <c r="G59" s="388"/>
      <c r="H59" s="389"/>
      <c r="I59" s="390"/>
      <c r="J59" s="391"/>
      <c r="K59" s="392"/>
      <c r="L59" s="350" t="str">
        <f t="shared" ref="L59:L60" si="8">L54</f>
        <v>M0155, M0156, M0157, M0158, W0082, W0076, W0081-I, W0084-I</v>
      </c>
      <c r="M59" s="407"/>
      <c r="N59" s="407"/>
      <c r="O59" s="407"/>
      <c r="P59" s="407"/>
      <c r="Q59" s="407"/>
      <c r="R59" s="407"/>
      <c r="S59" s="407"/>
      <c r="T59" s="407"/>
      <c r="U59" s="407"/>
      <c r="V59" s="407"/>
      <c r="W59" s="407"/>
      <c r="X59" s="407"/>
    </row>
    <row r="60" ht="18.75" hidden="1" customHeight="1">
      <c r="B60" s="386">
        <v>43948.875</v>
      </c>
      <c r="C60" s="352" t="s">
        <v>168</v>
      </c>
      <c r="D60" s="340" t="s">
        <v>243</v>
      </c>
      <c r="E60" s="341"/>
      <c r="F60" s="341"/>
      <c r="G60" s="388"/>
      <c r="H60" s="389"/>
      <c r="I60" s="390"/>
      <c r="J60" s="391"/>
      <c r="K60" s="392"/>
      <c r="L60" s="350" t="str">
        <f t="shared" si="8"/>
        <v>W0079</v>
      </c>
      <c r="M60" s="407"/>
      <c r="N60" s="407"/>
      <c r="O60" s="407"/>
      <c r="P60" s="407"/>
      <c r="Q60" s="407"/>
      <c r="R60" s="407"/>
      <c r="S60" s="407"/>
      <c r="T60" s="407"/>
      <c r="U60" s="407"/>
      <c r="V60" s="407"/>
      <c r="W60" s="407"/>
      <c r="X60" s="407"/>
    </row>
    <row r="61" ht="18.75" hidden="1" customHeight="1">
      <c r="B61" s="386">
        <v>43948.541666666664</v>
      </c>
      <c r="C61" s="352" t="s">
        <v>296</v>
      </c>
      <c r="D61" s="340" t="s">
        <v>212</v>
      </c>
      <c r="E61" s="341" t="b">
        <v>0</v>
      </c>
      <c r="F61" s="341" t="b">
        <v>0</v>
      </c>
      <c r="G61" s="397" t="s">
        <v>123</v>
      </c>
      <c r="H61" s="393" t="s">
        <v>297</v>
      </c>
      <c r="I61" s="344">
        <f t="shared" ref="I61:I64" si="9">$B61</f>
        <v>43948.54167</v>
      </c>
      <c r="J61" s="345">
        <f t="shared" ref="J61:J64" si="10">$I61+3</f>
        <v>43951.54167</v>
      </c>
      <c r="K61" s="392"/>
      <c r="L61" s="350"/>
      <c r="M61" s="407"/>
      <c r="N61" s="407"/>
      <c r="O61" s="407"/>
      <c r="P61" s="407"/>
      <c r="Q61" s="407"/>
      <c r="R61" s="407"/>
      <c r="S61" s="407"/>
      <c r="T61" s="407"/>
      <c r="U61" s="407"/>
      <c r="V61" s="407"/>
      <c r="W61" s="407"/>
      <c r="X61" s="407"/>
    </row>
    <row r="62" ht="18.75" hidden="1" customHeight="1">
      <c r="A62" s="337">
        <v>43949.0</v>
      </c>
      <c r="B62" s="386">
        <v>43949.625</v>
      </c>
      <c r="C62" s="395" t="s">
        <v>298</v>
      </c>
      <c r="D62" s="396" t="s">
        <v>192</v>
      </c>
      <c r="E62" s="341" t="b">
        <v>0</v>
      </c>
      <c r="F62" s="341" t="b">
        <v>0</v>
      </c>
      <c r="G62" s="397" t="s">
        <v>299</v>
      </c>
      <c r="H62" s="393" t="s">
        <v>300</v>
      </c>
      <c r="I62" s="344">
        <f t="shared" si="9"/>
        <v>43949.625</v>
      </c>
      <c r="J62" s="345">
        <f t="shared" si="10"/>
        <v>43952.625</v>
      </c>
      <c r="K62" s="394">
        <v>43966.0</v>
      </c>
      <c r="L62" s="350"/>
      <c r="M62" s="407"/>
      <c r="N62" s="407"/>
      <c r="O62" s="407"/>
      <c r="P62" s="407"/>
      <c r="Q62" s="407"/>
      <c r="R62" s="407"/>
      <c r="S62" s="407"/>
      <c r="T62" s="407"/>
      <c r="U62" s="407"/>
      <c r="V62" s="407"/>
      <c r="W62" s="407"/>
      <c r="X62" s="407"/>
    </row>
    <row r="63" ht="18.75" hidden="1" customHeight="1">
      <c r="A63" s="337">
        <v>43950.0</v>
      </c>
      <c r="B63" s="408">
        <v>43950.625</v>
      </c>
      <c r="C63" s="395" t="s">
        <v>301</v>
      </c>
      <c r="D63" s="396" t="s">
        <v>199</v>
      </c>
      <c r="E63" s="341" t="b">
        <v>0</v>
      </c>
      <c r="F63" s="341" t="b">
        <v>0</v>
      </c>
      <c r="G63" s="397" t="s">
        <v>44</v>
      </c>
      <c r="H63" s="393" t="s">
        <v>302</v>
      </c>
      <c r="I63" s="344">
        <f t="shared" si="9"/>
        <v>43950.625</v>
      </c>
      <c r="J63" s="345">
        <f t="shared" si="10"/>
        <v>43953.625</v>
      </c>
      <c r="K63" s="373"/>
      <c r="L63" s="350"/>
      <c r="M63" s="407"/>
      <c r="N63" s="407"/>
      <c r="O63" s="407"/>
      <c r="P63" s="407"/>
      <c r="Q63" s="407"/>
      <c r="R63" s="407"/>
      <c r="S63" s="407"/>
      <c r="T63" s="407"/>
      <c r="U63" s="407"/>
      <c r="V63" s="407"/>
      <c r="W63" s="407"/>
      <c r="X63" s="407"/>
    </row>
    <row r="64" ht="18.75" hidden="1" customHeight="1">
      <c r="A64" s="337">
        <v>43951.0</v>
      </c>
      <c r="B64" s="386">
        <v>43951.625</v>
      </c>
      <c r="C64" s="395" t="s">
        <v>303</v>
      </c>
      <c r="D64" s="396" t="s">
        <v>199</v>
      </c>
      <c r="E64" s="341" t="b">
        <v>0</v>
      </c>
      <c r="F64" s="341" t="b">
        <v>0</v>
      </c>
      <c r="G64" s="397" t="s">
        <v>153</v>
      </c>
      <c r="H64" s="393" t="s">
        <v>304</v>
      </c>
      <c r="I64" s="344">
        <f t="shared" si="9"/>
        <v>43951.625</v>
      </c>
      <c r="J64" s="345">
        <f t="shared" si="10"/>
        <v>43954.625</v>
      </c>
      <c r="K64" s="373"/>
      <c r="L64" s="350"/>
      <c r="M64" s="407"/>
      <c r="N64" s="407"/>
      <c r="O64" s="407"/>
      <c r="P64" s="407"/>
      <c r="Q64" s="407"/>
      <c r="R64" s="407"/>
      <c r="S64" s="407"/>
      <c r="T64" s="407"/>
      <c r="U64" s="407"/>
      <c r="V64" s="407"/>
      <c r="W64" s="407"/>
      <c r="X64" s="407"/>
    </row>
    <row r="65" ht="18.75" hidden="1" customHeight="1">
      <c r="A65" s="337">
        <v>43952.0</v>
      </c>
      <c r="B65" s="386">
        <v>43952.541666666664</v>
      </c>
      <c r="C65" s="352" t="s">
        <v>76</v>
      </c>
      <c r="D65" s="340" t="s">
        <v>233</v>
      </c>
      <c r="E65" s="341"/>
      <c r="F65" s="341"/>
      <c r="G65" s="388"/>
      <c r="H65" s="389"/>
      <c r="I65" s="390"/>
      <c r="J65" s="391"/>
      <c r="K65" s="392"/>
      <c r="L65" s="347" t="s">
        <v>305</v>
      </c>
      <c r="M65" s="407"/>
      <c r="N65" s="407"/>
      <c r="O65" s="407"/>
      <c r="P65" s="407"/>
      <c r="Q65" s="407"/>
      <c r="R65" s="407"/>
      <c r="S65" s="407"/>
      <c r="T65" s="407"/>
      <c r="U65" s="407"/>
      <c r="V65" s="407"/>
      <c r="W65" s="407"/>
      <c r="X65" s="407"/>
    </row>
    <row r="66" ht="18.75" hidden="1" customHeight="1">
      <c r="A66" s="337">
        <v>43953.0</v>
      </c>
      <c r="B66" s="386">
        <v>43953.541666666664</v>
      </c>
      <c r="C66" s="395" t="s">
        <v>306</v>
      </c>
      <c r="D66" s="340" t="s">
        <v>240</v>
      </c>
      <c r="E66" s="341" t="b">
        <v>0</v>
      </c>
      <c r="F66" s="341" t="b">
        <v>0</v>
      </c>
      <c r="G66" s="397" t="s">
        <v>37</v>
      </c>
      <c r="H66" s="393" t="s">
        <v>307</v>
      </c>
      <c r="I66" s="344">
        <f>$B66</f>
        <v>43953.54167</v>
      </c>
      <c r="J66" s="345">
        <f>$I66+3</f>
        <v>43956.54167</v>
      </c>
      <c r="K66" s="394">
        <v>43959.0</v>
      </c>
      <c r="L66" s="350"/>
      <c r="M66" s="407"/>
      <c r="N66" s="407"/>
      <c r="O66" s="407"/>
      <c r="P66" s="407"/>
      <c r="Q66" s="407"/>
      <c r="R66" s="407"/>
      <c r="S66" s="407"/>
      <c r="T66" s="407"/>
      <c r="U66" s="407"/>
      <c r="V66" s="407"/>
      <c r="W66" s="407"/>
      <c r="X66" s="407"/>
    </row>
    <row r="67" ht="18.75" hidden="1" customHeight="1">
      <c r="A67" s="355">
        <v>43954.0</v>
      </c>
      <c r="B67" s="398"/>
      <c r="C67" s="399"/>
      <c r="D67" s="400" t="s">
        <v>56</v>
      </c>
      <c r="E67" s="359" t="b">
        <v>0</v>
      </c>
      <c r="F67" s="359" t="b">
        <v>0</v>
      </c>
      <c r="G67" s="401"/>
      <c r="H67" s="402"/>
      <c r="I67" s="403"/>
      <c r="J67" s="404"/>
      <c r="K67" s="405"/>
      <c r="L67" s="365"/>
      <c r="M67" s="409"/>
      <c r="N67" s="409"/>
      <c r="O67" s="409"/>
      <c r="P67" s="409"/>
      <c r="Q67" s="409"/>
      <c r="R67" s="409"/>
      <c r="S67" s="409"/>
      <c r="T67" s="409"/>
      <c r="U67" s="409"/>
      <c r="V67" s="409"/>
      <c r="W67" s="409"/>
      <c r="X67" s="409"/>
    </row>
    <row r="68" ht="18.75" customHeight="1">
      <c r="A68" s="337">
        <v>43955.0</v>
      </c>
      <c r="B68" s="386">
        <v>43955.625</v>
      </c>
      <c r="C68" s="352" t="s">
        <v>308</v>
      </c>
      <c r="D68" s="340" t="s">
        <v>199</v>
      </c>
      <c r="E68" s="341" t="b">
        <v>1</v>
      </c>
      <c r="F68" s="341" t="b">
        <v>0</v>
      </c>
      <c r="G68" s="397" t="s">
        <v>32</v>
      </c>
      <c r="H68" s="393" t="s">
        <v>309</v>
      </c>
      <c r="I68" s="344">
        <f>$B68</f>
        <v>43955.625</v>
      </c>
      <c r="J68" s="345">
        <f>$I68+3</f>
        <v>43958.625</v>
      </c>
      <c r="K68" s="394">
        <v>43959.0</v>
      </c>
      <c r="L68" s="410"/>
      <c r="M68" s="407"/>
      <c r="N68" s="407"/>
      <c r="O68" s="407"/>
      <c r="P68" s="407"/>
      <c r="Q68" s="407"/>
      <c r="R68" s="407"/>
      <c r="S68" s="407"/>
      <c r="T68" s="407"/>
      <c r="U68" s="407"/>
      <c r="V68" s="407"/>
      <c r="W68" s="407"/>
      <c r="X68" s="407"/>
    </row>
    <row r="69" ht="18.75" customHeight="1">
      <c r="B69" s="386">
        <v>43955.875</v>
      </c>
      <c r="C69" s="352" t="s">
        <v>76</v>
      </c>
      <c r="D69" s="340" t="s">
        <v>242</v>
      </c>
      <c r="E69" s="341"/>
      <c r="F69" s="341"/>
      <c r="G69" s="388"/>
      <c r="H69" s="389"/>
      <c r="I69" s="390"/>
      <c r="J69" s="391"/>
      <c r="K69" s="392"/>
      <c r="L69" s="410" t="str">
        <f>L65</f>
        <v>M0159, W0083, M0160, M0161, W0085, W0081, W0084</v>
      </c>
      <c r="M69" s="407"/>
      <c r="N69" s="407"/>
      <c r="O69" s="407"/>
      <c r="P69" s="407"/>
      <c r="Q69" s="407"/>
      <c r="R69" s="407"/>
      <c r="S69" s="407"/>
      <c r="T69" s="407"/>
      <c r="U69" s="407"/>
      <c r="V69" s="407"/>
      <c r="W69" s="407"/>
      <c r="X69" s="407"/>
    </row>
    <row r="70" ht="18.75" customHeight="1">
      <c r="A70" s="337">
        <v>43956.0</v>
      </c>
      <c r="B70" s="386">
        <v>43956.541666666664</v>
      </c>
      <c r="C70" s="395" t="s">
        <v>310</v>
      </c>
      <c r="D70" s="396" t="s">
        <v>199</v>
      </c>
      <c r="E70" s="341" t="b">
        <v>0</v>
      </c>
      <c r="F70" s="341" t="b">
        <v>0</v>
      </c>
      <c r="G70" s="397" t="s">
        <v>149</v>
      </c>
      <c r="H70" s="393" t="s">
        <v>295</v>
      </c>
      <c r="I70" s="344">
        <f t="shared" ref="I70:I73" si="11">$B70</f>
        <v>43956.54167</v>
      </c>
      <c r="J70" s="345">
        <f t="shared" ref="J70:J73" si="12">$I70+3</f>
        <v>43959.54167</v>
      </c>
      <c r="K70" s="394">
        <v>43966.0</v>
      </c>
      <c r="L70" s="350"/>
      <c r="M70" s="407"/>
      <c r="N70" s="407"/>
      <c r="O70" s="407"/>
      <c r="P70" s="407"/>
      <c r="Q70" s="407"/>
      <c r="R70" s="407"/>
      <c r="S70" s="407"/>
      <c r="T70" s="407"/>
      <c r="U70" s="407"/>
      <c r="V70" s="407"/>
      <c r="W70" s="407"/>
      <c r="X70" s="407"/>
    </row>
    <row r="71" ht="18.75" customHeight="1">
      <c r="B71" s="386">
        <v>43956.625</v>
      </c>
      <c r="C71" s="395" t="s">
        <v>311</v>
      </c>
      <c r="D71" s="396" t="s">
        <v>199</v>
      </c>
      <c r="E71" s="341" t="b">
        <v>1</v>
      </c>
      <c r="F71" s="341" t="b">
        <v>0</v>
      </c>
      <c r="G71" s="397" t="s">
        <v>155</v>
      </c>
      <c r="H71" s="393" t="s">
        <v>312</v>
      </c>
      <c r="I71" s="344">
        <f t="shared" si="11"/>
        <v>43956.625</v>
      </c>
      <c r="J71" s="345">
        <f t="shared" si="12"/>
        <v>43959.625</v>
      </c>
      <c r="K71" s="373"/>
      <c r="L71" s="350"/>
      <c r="M71" s="407"/>
      <c r="N71" s="407"/>
      <c r="O71" s="407"/>
      <c r="P71" s="407"/>
      <c r="Q71" s="407"/>
      <c r="R71" s="407"/>
      <c r="S71" s="407"/>
      <c r="T71" s="407"/>
      <c r="U71" s="407"/>
      <c r="V71" s="407"/>
      <c r="W71" s="407"/>
      <c r="X71" s="407"/>
    </row>
    <row r="72" ht="18.75" customHeight="1">
      <c r="A72" s="337">
        <v>43957.0</v>
      </c>
      <c r="B72" s="386">
        <v>43957.541666666664</v>
      </c>
      <c r="C72" s="395" t="s">
        <v>313</v>
      </c>
      <c r="D72" s="396" t="s">
        <v>192</v>
      </c>
      <c r="E72" s="341" t="b">
        <v>0</v>
      </c>
      <c r="F72" s="341" t="b">
        <v>0</v>
      </c>
      <c r="G72" s="397" t="s">
        <v>123</v>
      </c>
      <c r="H72" s="393" t="s">
        <v>314</v>
      </c>
      <c r="I72" s="344">
        <f t="shared" si="11"/>
        <v>43957.54167</v>
      </c>
      <c r="J72" s="345">
        <f t="shared" si="12"/>
        <v>43960.54167</v>
      </c>
      <c r="K72" s="394">
        <v>43959.0</v>
      </c>
      <c r="L72" s="350"/>
      <c r="M72" s="407"/>
      <c r="N72" s="407"/>
      <c r="O72" s="407"/>
      <c r="P72" s="407"/>
      <c r="Q72" s="407"/>
      <c r="R72" s="407"/>
      <c r="S72" s="407"/>
      <c r="T72" s="407"/>
      <c r="U72" s="407"/>
      <c r="V72" s="407"/>
      <c r="W72" s="407"/>
      <c r="X72" s="407"/>
    </row>
    <row r="73" ht="18.75" customHeight="1">
      <c r="A73" s="337">
        <v>43958.0</v>
      </c>
      <c r="B73" s="386">
        <v>43958.541666666664</v>
      </c>
      <c r="C73" s="395" t="s">
        <v>315</v>
      </c>
      <c r="D73" s="396" t="s">
        <v>199</v>
      </c>
      <c r="E73" s="341" t="b">
        <v>0</v>
      </c>
      <c r="F73" s="341" t="b">
        <v>0</v>
      </c>
      <c r="G73" s="397" t="s">
        <v>153</v>
      </c>
      <c r="H73" s="393" t="s">
        <v>316</v>
      </c>
      <c r="I73" s="344">
        <f t="shared" si="11"/>
        <v>43958.54167</v>
      </c>
      <c r="J73" s="345">
        <f t="shared" si="12"/>
        <v>43961.54167</v>
      </c>
      <c r="K73" s="394">
        <v>43966.0</v>
      </c>
      <c r="L73" s="350"/>
      <c r="M73" s="407"/>
      <c r="N73" s="407"/>
      <c r="O73" s="407"/>
      <c r="P73" s="407"/>
      <c r="Q73" s="407"/>
      <c r="R73" s="407"/>
      <c r="S73" s="407"/>
      <c r="T73" s="407"/>
      <c r="U73" s="407"/>
      <c r="V73" s="407"/>
      <c r="W73" s="407"/>
      <c r="X73" s="407"/>
    </row>
    <row r="74" ht="18.75" customHeight="1">
      <c r="A74" s="337">
        <v>43959.0</v>
      </c>
      <c r="B74" s="386">
        <v>43959.541666666664</v>
      </c>
      <c r="C74" s="352" t="s">
        <v>77</v>
      </c>
      <c r="D74" s="340" t="s">
        <v>233</v>
      </c>
      <c r="E74" s="341" t="b">
        <v>0</v>
      </c>
      <c r="F74" s="341" t="b">
        <v>0</v>
      </c>
      <c r="G74" s="388"/>
      <c r="H74" s="389"/>
      <c r="I74" s="390"/>
      <c r="J74" s="391"/>
      <c r="K74" s="392"/>
      <c r="L74" s="347" t="s">
        <v>317</v>
      </c>
      <c r="M74" s="407"/>
      <c r="N74" s="407"/>
      <c r="O74" s="407"/>
      <c r="P74" s="407"/>
      <c r="Q74" s="407"/>
      <c r="R74" s="407"/>
      <c r="S74" s="407"/>
      <c r="T74" s="407"/>
      <c r="U74" s="407"/>
      <c r="V74" s="407"/>
      <c r="W74" s="407"/>
      <c r="X74" s="407"/>
    </row>
    <row r="75" ht="18.75" customHeight="1">
      <c r="B75" s="386">
        <v>43959.625</v>
      </c>
      <c r="C75" s="352" t="s">
        <v>89</v>
      </c>
      <c r="D75" s="340" t="s">
        <v>192</v>
      </c>
      <c r="E75" s="341" t="b">
        <v>0</v>
      </c>
      <c r="F75" s="341" t="b">
        <v>0</v>
      </c>
      <c r="G75" s="397" t="s">
        <v>123</v>
      </c>
      <c r="H75" s="393" t="s">
        <v>318</v>
      </c>
      <c r="I75" s="344">
        <f t="shared" ref="I75:I76" si="13">$B75</f>
        <v>43959.625</v>
      </c>
      <c r="J75" s="345">
        <f t="shared" ref="J75:J76" si="14">$I75+3</f>
        <v>43962.625</v>
      </c>
      <c r="K75" s="394">
        <v>43973.0</v>
      </c>
      <c r="L75" s="347"/>
      <c r="M75" s="407"/>
      <c r="N75" s="407"/>
      <c r="O75" s="407"/>
      <c r="P75" s="407"/>
      <c r="Q75" s="407"/>
      <c r="R75" s="407"/>
      <c r="S75" s="407"/>
      <c r="T75" s="407"/>
      <c r="U75" s="407"/>
      <c r="V75" s="407"/>
      <c r="W75" s="407"/>
      <c r="X75" s="407"/>
    </row>
    <row r="76" ht="18.75" customHeight="1">
      <c r="A76" s="337">
        <v>43960.0</v>
      </c>
      <c r="B76" s="386">
        <v>43960.625</v>
      </c>
      <c r="C76" s="395" t="s">
        <v>90</v>
      </c>
      <c r="D76" s="396" t="s">
        <v>192</v>
      </c>
      <c r="E76" s="341" t="b">
        <v>0</v>
      </c>
      <c r="F76" s="341" t="b">
        <v>0</v>
      </c>
      <c r="G76" s="397" t="s">
        <v>44</v>
      </c>
      <c r="H76" s="393" t="s">
        <v>319</v>
      </c>
      <c r="I76" s="344">
        <f t="shared" si="13"/>
        <v>43960.625</v>
      </c>
      <c r="J76" s="345">
        <f t="shared" si="14"/>
        <v>43963.625</v>
      </c>
      <c r="K76" s="373"/>
      <c r="L76" s="350"/>
      <c r="M76" s="407"/>
      <c r="N76" s="407"/>
      <c r="O76" s="407"/>
      <c r="P76" s="407"/>
      <c r="Q76" s="407"/>
      <c r="R76" s="407"/>
      <c r="S76" s="407"/>
      <c r="T76" s="407"/>
      <c r="U76" s="407"/>
      <c r="V76" s="407"/>
      <c r="W76" s="407"/>
      <c r="X76" s="407"/>
    </row>
    <row r="77" ht="18.75" customHeight="1">
      <c r="A77" s="355">
        <v>43961.0</v>
      </c>
      <c r="B77" s="356"/>
      <c r="C77" s="411"/>
      <c r="D77" s="412"/>
      <c r="E77" s="359" t="b">
        <v>0</v>
      </c>
      <c r="F77" s="359" t="b">
        <v>0</v>
      </c>
      <c r="G77" s="413"/>
      <c r="H77" s="402"/>
      <c r="I77" s="414">
        <v>43961.0</v>
      </c>
      <c r="J77" s="363">
        <f>I77+3</f>
        <v>43964</v>
      </c>
      <c r="K77" s="405"/>
      <c r="L77" s="365"/>
      <c r="M77" s="409"/>
      <c r="N77" s="409"/>
      <c r="O77" s="409"/>
      <c r="P77" s="409"/>
      <c r="Q77" s="409"/>
      <c r="R77" s="409"/>
      <c r="S77" s="409"/>
      <c r="T77" s="409"/>
      <c r="U77" s="409"/>
      <c r="V77" s="409"/>
      <c r="W77" s="409"/>
      <c r="X77" s="409"/>
    </row>
    <row r="78" ht="18.75" customHeight="1">
      <c r="A78" s="415">
        <v>43962.0</v>
      </c>
      <c r="B78" s="386">
        <v>43962.024305555555</v>
      </c>
      <c r="C78" s="352" t="s">
        <v>320</v>
      </c>
      <c r="D78" s="340" t="s">
        <v>212</v>
      </c>
      <c r="E78" s="416" t="b">
        <v>1</v>
      </c>
      <c r="F78" s="417" t="b">
        <v>0</v>
      </c>
      <c r="G78" s="397" t="s">
        <v>123</v>
      </c>
      <c r="H78" s="393" t="s">
        <v>321</v>
      </c>
      <c r="I78" s="344">
        <f t="shared" ref="I78:I80" si="15">B78</f>
        <v>43962.02431</v>
      </c>
      <c r="J78" s="345">
        <f t="shared" ref="J78:J80" si="16">$I78+3</f>
        <v>43965.02431</v>
      </c>
      <c r="K78" s="394"/>
      <c r="L78" s="418"/>
      <c r="M78" s="407"/>
      <c r="N78" s="407"/>
      <c r="O78" s="407"/>
      <c r="P78" s="407"/>
      <c r="Q78" s="407"/>
      <c r="R78" s="407"/>
      <c r="S78" s="407"/>
      <c r="T78" s="407"/>
      <c r="U78" s="407"/>
      <c r="V78" s="407"/>
      <c r="W78" s="407"/>
      <c r="X78" s="407"/>
    </row>
    <row r="79" ht="18.75" customHeight="1">
      <c r="B79" s="386">
        <v>43962.708333333336</v>
      </c>
      <c r="C79" s="352" t="s">
        <v>91</v>
      </c>
      <c r="D79" s="340" t="s">
        <v>192</v>
      </c>
      <c r="E79" s="417" t="b">
        <v>0</v>
      </c>
      <c r="F79" s="417" t="b">
        <v>0</v>
      </c>
      <c r="G79" s="397" t="s">
        <v>155</v>
      </c>
      <c r="H79" s="393" t="s">
        <v>322</v>
      </c>
      <c r="I79" s="344">
        <f t="shared" si="15"/>
        <v>43962.70833</v>
      </c>
      <c r="J79" s="345">
        <f t="shared" si="16"/>
        <v>43965.70833</v>
      </c>
      <c r="K79" s="394">
        <v>43973.0</v>
      </c>
      <c r="L79" s="418"/>
      <c r="M79" s="407"/>
      <c r="N79" s="407"/>
      <c r="O79" s="407"/>
      <c r="P79" s="407"/>
      <c r="Q79" s="407"/>
      <c r="R79" s="407"/>
      <c r="S79" s="407"/>
      <c r="T79" s="407"/>
      <c r="U79" s="407"/>
      <c r="V79" s="407"/>
      <c r="W79" s="407"/>
      <c r="X79" s="407"/>
    </row>
    <row r="80" ht="18.75" customHeight="1">
      <c r="B80" s="386">
        <v>43962.875</v>
      </c>
      <c r="C80" s="352" t="s">
        <v>323</v>
      </c>
      <c r="D80" s="340" t="s">
        <v>199</v>
      </c>
      <c r="E80" s="416" t="b">
        <v>1</v>
      </c>
      <c r="F80" s="417" t="b">
        <v>0</v>
      </c>
      <c r="G80" s="397" t="s">
        <v>203</v>
      </c>
      <c r="H80" s="393" t="s">
        <v>324</v>
      </c>
      <c r="I80" s="344">
        <f t="shared" si="15"/>
        <v>43962.875</v>
      </c>
      <c r="J80" s="345">
        <f t="shared" si="16"/>
        <v>43965.875</v>
      </c>
      <c r="K80" s="394">
        <v>43966.0</v>
      </c>
      <c r="L80" s="418"/>
      <c r="M80" s="407"/>
      <c r="N80" s="407"/>
      <c r="O80" s="407"/>
      <c r="P80" s="407"/>
      <c r="Q80" s="407"/>
      <c r="R80" s="407"/>
      <c r="S80" s="407"/>
      <c r="T80" s="407"/>
      <c r="U80" s="407"/>
      <c r="V80" s="407"/>
      <c r="W80" s="407"/>
      <c r="X80" s="407"/>
    </row>
    <row r="81" ht="18.75" customHeight="1">
      <c r="B81" s="386">
        <v>43962.875</v>
      </c>
      <c r="C81" s="352" t="s">
        <v>77</v>
      </c>
      <c r="D81" s="340" t="s">
        <v>242</v>
      </c>
      <c r="E81" s="417"/>
      <c r="F81" s="417"/>
      <c r="G81" s="397"/>
      <c r="H81" s="393"/>
      <c r="I81" s="390"/>
      <c r="J81" s="391"/>
      <c r="K81" s="392"/>
      <c r="L81" s="418" t="str">
        <f>L74</f>
        <v>M0162, W0086, M0164, M0165, W0087, M0166,  W0088-I, M01178, W0090</v>
      </c>
      <c r="M81" s="407"/>
      <c r="N81" s="407"/>
      <c r="O81" s="407"/>
      <c r="P81" s="407"/>
      <c r="Q81" s="407"/>
      <c r="R81" s="407"/>
      <c r="S81" s="407"/>
      <c r="T81" s="407"/>
      <c r="U81" s="407"/>
      <c r="V81" s="407"/>
      <c r="W81" s="407"/>
      <c r="X81" s="407"/>
    </row>
    <row r="82" ht="18.75" customHeight="1">
      <c r="A82" s="415">
        <v>43963.0</v>
      </c>
      <c r="B82" s="386">
        <v>43963.541666666664</v>
      </c>
      <c r="C82" s="395" t="s">
        <v>86</v>
      </c>
      <c r="D82" s="396" t="s">
        <v>199</v>
      </c>
      <c r="E82" s="417" t="b">
        <v>0</v>
      </c>
      <c r="F82" s="417" t="b">
        <v>0</v>
      </c>
      <c r="G82" s="397" t="s">
        <v>153</v>
      </c>
      <c r="H82" s="393" t="s">
        <v>325</v>
      </c>
      <c r="I82" s="344">
        <f t="shared" ref="I82:I86" si="17">$B82</f>
        <v>43963.54167</v>
      </c>
      <c r="J82" s="345">
        <f t="shared" ref="J82:J86" si="18">$I82+3</f>
        <v>43966.54167</v>
      </c>
      <c r="K82" s="394">
        <v>43973.0</v>
      </c>
      <c r="L82" s="418"/>
      <c r="M82" s="407"/>
      <c r="N82" s="407"/>
      <c r="O82" s="407"/>
      <c r="P82" s="407"/>
      <c r="Q82" s="407"/>
      <c r="R82" s="407"/>
      <c r="S82" s="407"/>
      <c r="T82" s="407"/>
      <c r="U82" s="407"/>
      <c r="V82" s="407"/>
      <c r="W82" s="407"/>
      <c r="X82" s="407"/>
    </row>
    <row r="83" ht="18.75" customHeight="1">
      <c r="B83" s="386">
        <v>43963.708333333336</v>
      </c>
      <c r="C83" s="395" t="s">
        <v>100</v>
      </c>
      <c r="D83" s="396" t="s">
        <v>192</v>
      </c>
      <c r="E83" s="417" t="b">
        <v>0</v>
      </c>
      <c r="F83" s="417" t="b">
        <v>0</v>
      </c>
      <c r="G83" s="397" t="s">
        <v>155</v>
      </c>
      <c r="H83" s="393" t="s">
        <v>326</v>
      </c>
      <c r="I83" s="344">
        <f t="shared" si="17"/>
        <v>43963.70833</v>
      </c>
      <c r="J83" s="345">
        <f t="shared" si="18"/>
        <v>43966.70833</v>
      </c>
      <c r="K83" s="394">
        <v>43980.0</v>
      </c>
      <c r="L83" s="418"/>
      <c r="M83" s="407"/>
      <c r="N83" s="407"/>
      <c r="O83" s="407"/>
      <c r="P83" s="407"/>
      <c r="Q83" s="407"/>
      <c r="R83" s="407"/>
      <c r="S83" s="407"/>
      <c r="T83" s="407"/>
      <c r="U83" s="407"/>
      <c r="V83" s="407"/>
      <c r="W83" s="407"/>
      <c r="X83" s="407"/>
    </row>
    <row r="84" ht="18.75" customHeight="1">
      <c r="A84" s="415">
        <v>43964.0</v>
      </c>
      <c r="B84" s="386">
        <v>43964.625</v>
      </c>
      <c r="C84" s="395" t="s">
        <v>94</v>
      </c>
      <c r="D84" s="396" t="s">
        <v>199</v>
      </c>
      <c r="E84" s="417" t="b">
        <v>0</v>
      </c>
      <c r="F84" s="417" t="b">
        <v>0</v>
      </c>
      <c r="G84" s="397" t="s">
        <v>37</v>
      </c>
      <c r="H84" s="393" t="s">
        <v>327</v>
      </c>
      <c r="I84" s="344">
        <f t="shared" si="17"/>
        <v>43964.625</v>
      </c>
      <c r="J84" s="345">
        <f t="shared" si="18"/>
        <v>43967.625</v>
      </c>
      <c r="K84" s="373"/>
      <c r="L84" s="418"/>
      <c r="M84" s="407"/>
      <c r="N84" s="407"/>
      <c r="O84" s="407"/>
      <c r="P84" s="407"/>
      <c r="Q84" s="407"/>
      <c r="R84" s="407"/>
      <c r="S84" s="407"/>
      <c r="T84" s="407"/>
      <c r="U84" s="407"/>
      <c r="V84" s="407"/>
      <c r="W84" s="407"/>
      <c r="X84" s="407"/>
    </row>
    <row r="85" ht="18.75" customHeight="1">
      <c r="A85" s="415">
        <v>43965.0</v>
      </c>
      <c r="B85" s="408">
        <v>43965.625</v>
      </c>
      <c r="C85" s="395" t="s">
        <v>95</v>
      </c>
      <c r="D85" s="396" t="s">
        <v>199</v>
      </c>
      <c r="E85" s="417" t="b">
        <v>0</v>
      </c>
      <c r="F85" s="417" t="b">
        <v>0</v>
      </c>
      <c r="G85" s="397" t="s">
        <v>121</v>
      </c>
      <c r="H85" s="393" t="s">
        <v>328</v>
      </c>
      <c r="I85" s="344">
        <f t="shared" si="17"/>
        <v>43965.625</v>
      </c>
      <c r="J85" s="345">
        <f t="shared" si="18"/>
        <v>43968.625</v>
      </c>
      <c r="K85" s="373"/>
      <c r="L85" s="418"/>
      <c r="M85" s="407"/>
      <c r="N85" s="407"/>
      <c r="O85" s="407"/>
      <c r="P85" s="407"/>
      <c r="Q85" s="407"/>
      <c r="R85" s="407"/>
      <c r="S85" s="407"/>
      <c r="T85" s="407"/>
      <c r="U85" s="407"/>
      <c r="V85" s="407"/>
      <c r="W85" s="407"/>
      <c r="X85" s="407"/>
    </row>
    <row r="86" ht="18.75" customHeight="1">
      <c r="B86" s="408">
        <v>43965.708333333336</v>
      </c>
      <c r="C86" s="395" t="s">
        <v>101</v>
      </c>
      <c r="D86" s="396" t="s">
        <v>192</v>
      </c>
      <c r="E86" s="417" t="b">
        <v>0</v>
      </c>
      <c r="F86" s="417" t="b">
        <v>0</v>
      </c>
      <c r="G86" s="397" t="s">
        <v>123</v>
      </c>
      <c r="H86" s="393" t="s">
        <v>329</v>
      </c>
      <c r="I86" s="344">
        <f t="shared" si="17"/>
        <v>43965.70833</v>
      </c>
      <c r="J86" s="345">
        <f t="shared" si="18"/>
        <v>43968.70833</v>
      </c>
      <c r="K86" s="373"/>
      <c r="L86" s="418"/>
      <c r="M86" s="407"/>
      <c r="N86" s="407"/>
      <c r="O86" s="407"/>
      <c r="P86" s="407"/>
      <c r="Q86" s="407"/>
      <c r="R86" s="407"/>
      <c r="S86" s="407"/>
      <c r="T86" s="407"/>
      <c r="U86" s="407"/>
      <c r="V86" s="407"/>
      <c r="W86" s="407"/>
      <c r="X86" s="407"/>
    </row>
    <row r="87" ht="18.75" customHeight="1">
      <c r="A87" s="415">
        <v>43966.0</v>
      </c>
      <c r="B87" s="386">
        <v>43966.541666666664</v>
      </c>
      <c r="C87" s="395" t="s">
        <v>78</v>
      </c>
      <c r="D87" s="396" t="s">
        <v>233</v>
      </c>
      <c r="E87" s="417"/>
      <c r="F87" s="417"/>
      <c r="G87" s="388"/>
      <c r="H87" s="389"/>
      <c r="I87" s="390"/>
      <c r="J87" s="391"/>
      <c r="K87" s="392"/>
      <c r="L87" s="419" t="s">
        <v>330</v>
      </c>
      <c r="M87" s="407"/>
      <c r="N87" s="407"/>
      <c r="O87" s="407"/>
      <c r="P87" s="407"/>
      <c r="Q87" s="407"/>
      <c r="R87" s="407"/>
      <c r="S87" s="407"/>
      <c r="T87" s="407"/>
      <c r="U87" s="407"/>
      <c r="V87" s="407"/>
      <c r="W87" s="407"/>
      <c r="X87" s="407"/>
    </row>
    <row r="88" ht="18.75" customHeight="1">
      <c r="B88" s="386">
        <v>43966.541666666664</v>
      </c>
      <c r="C88" s="395" t="s">
        <v>169</v>
      </c>
      <c r="D88" s="396" t="s">
        <v>235</v>
      </c>
      <c r="E88" s="417"/>
      <c r="F88" s="417"/>
      <c r="G88" s="388"/>
      <c r="H88" s="389"/>
      <c r="I88" s="390"/>
      <c r="J88" s="391"/>
      <c r="K88" s="392"/>
      <c r="L88" s="419" t="s">
        <v>331</v>
      </c>
      <c r="M88" s="407"/>
      <c r="N88" s="407"/>
      <c r="O88" s="407"/>
      <c r="P88" s="407"/>
      <c r="Q88" s="407"/>
      <c r="R88" s="407"/>
      <c r="S88" s="407"/>
      <c r="T88" s="407"/>
      <c r="U88" s="407"/>
      <c r="V88" s="407"/>
      <c r="W88" s="407"/>
      <c r="X88" s="407"/>
    </row>
    <row r="89" ht="18.75" customHeight="1">
      <c r="B89" s="386">
        <v>43966.708333333336</v>
      </c>
      <c r="C89" s="395" t="s">
        <v>85</v>
      </c>
      <c r="D89" s="396" t="s">
        <v>199</v>
      </c>
      <c r="E89" s="416" t="b">
        <v>1</v>
      </c>
      <c r="F89" s="417" t="b">
        <v>0</v>
      </c>
      <c r="G89" s="397" t="s">
        <v>332</v>
      </c>
      <c r="H89" s="393" t="s">
        <v>333</v>
      </c>
      <c r="I89" s="344">
        <f t="shared" ref="I89:I90" si="19">$B89</f>
        <v>43966.70833</v>
      </c>
      <c r="J89" s="345">
        <f t="shared" ref="J89:J90" si="20">$I89+3</f>
        <v>43969.70833</v>
      </c>
      <c r="K89" s="394">
        <v>43980.0</v>
      </c>
      <c r="L89" s="418"/>
      <c r="M89" s="407"/>
      <c r="N89" s="407"/>
      <c r="O89" s="407"/>
      <c r="P89" s="407"/>
      <c r="Q89" s="407"/>
      <c r="R89" s="407"/>
      <c r="S89" s="407"/>
      <c r="T89" s="407"/>
      <c r="U89" s="407"/>
      <c r="V89" s="407"/>
      <c r="W89" s="407"/>
      <c r="X89" s="407"/>
    </row>
    <row r="90" ht="18.75" customHeight="1">
      <c r="A90" s="415">
        <v>43967.0</v>
      </c>
      <c r="B90" s="386">
        <v>43967.625</v>
      </c>
      <c r="C90" s="395" t="s">
        <v>96</v>
      </c>
      <c r="D90" s="396" t="s">
        <v>199</v>
      </c>
      <c r="E90" s="417" t="b">
        <v>0</v>
      </c>
      <c r="F90" s="417" t="b">
        <v>0</v>
      </c>
      <c r="G90" s="397" t="s">
        <v>203</v>
      </c>
      <c r="H90" s="393" t="s">
        <v>334</v>
      </c>
      <c r="I90" s="344">
        <f t="shared" si="19"/>
        <v>43967.625</v>
      </c>
      <c r="J90" s="345">
        <f t="shared" si="20"/>
        <v>43970.625</v>
      </c>
      <c r="K90" s="373"/>
      <c r="L90" s="418"/>
      <c r="M90" s="407"/>
      <c r="N90" s="407"/>
      <c r="O90" s="407"/>
      <c r="P90" s="407"/>
      <c r="Q90" s="407"/>
      <c r="R90" s="407"/>
      <c r="S90" s="407"/>
      <c r="T90" s="407"/>
      <c r="U90" s="407"/>
      <c r="V90" s="407"/>
      <c r="W90" s="407"/>
      <c r="X90" s="407"/>
    </row>
    <row r="91" ht="18.75" customHeight="1">
      <c r="A91" s="420">
        <v>43968.0</v>
      </c>
      <c r="B91" s="356"/>
      <c r="C91" s="399"/>
      <c r="D91" s="400" t="s">
        <v>56</v>
      </c>
      <c r="E91" s="421" t="b">
        <v>0</v>
      </c>
      <c r="F91" s="421" t="b">
        <v>0</v>
      </c>
      <c r="G91" s="401"/>
      <c r="H91" s="402"/>
      <c r="I91" s="403"/>
      <c r="J91" s="404"/>
      <c r="K91" s="405"/>
      <c r="L91" s="422" t="str">
        <f>L87</f>
        <v>M0167, W0089, M0168, M0169, M0170, W0088, M0179, M0171, M0182</v>
      </c>
      <c r="M91" s="409"/>
      <c r="N91" s="409"/>
      <c r="O91" s="409"/>
      <c r="P91" s="409"/>
      <c r="Q91" s="409"/>
      <c r="R91" s="409"/>
      <c r="S91" s="409"/>
      <c r="T91" s="409"/>
      <c r="U91" s="409"/>
      <c r="V91" s="409"/>
      <c r="W91" s="409"/>
      <c r="X91" s="409"/>
    </row>
    <row r="92" ht="18.75" customHeight="1">
      <c r="A92" s="415">
        <v>43969.0</v>
      </c>
      <c r="B92" s="386">
        <v>43969.875</v>
      </c>
      <c r="C92" s="352" t="s">
        <v>78</v>
      </c>
      <c r="D92" s="340" t="s">
        <v>242</v>
      </c>
      <c r="E92" s="417"/>
      <c r="F92" s="417"/>
      <c r="G92" s="388"/>
      <c r="H92" s="389"/>
      <c r="I92" s="390"/>
      <c r="J92" s="391"/>
      <c r="K92" s="392"/>
      <c r="M92" s="407"/>
      <c r="N92" s="407"/>
      <c r="O92" s="407"/>
      <c r="P92" s="407"/>
      <c r="Q92" s="407"/>
      <c r="R92" s="407"/>
      <c r="S92" s="407"/>
      <c r="T92" s="407"/>
      <c r="U92" s="407"/>
      <c r="V92" s="407"/>
      <c r="W92" s="407"/>
      <c r="X92" s="407"/>
    </row>
    <row r="93" ht="18.75" customHeight="1">
      <c r="B93" s="386">
        <v>43969.875</v>
      </c>
      <c r="C93" s="352" t="s">
        <v>169</v>
      </c>
      <c r="D93" s="340" t="s">
        <v>243</v>
      </c>
      <c r="E93" s="417"/>
      <c r="F93" s="417"/>
      <c r="G93" s="388"/>
      <c r="H93" s="389"/>
      <c r="I93" s="390"/>
      <c r="J93" s="391"/>
      <c r="K93" s="392"/>
      <c r="L93" s="418" t="str">
        <f>L88</f>
        <v>W0081, W0083, W0085 (W0086, W0087, W0090)</v>
      </c>
      <c r="M93" s="407"/>
      <c r="N93" s="407"/>
      <c r="O93" s="407"/>
      <c r="P93" s="407"/>
      <c r="Q93" s="407"/>
      <c r="R93" s="407"/>
      <c r="S93" s="407"/>
      <c r="T93" s="407"/>
      <c r="U93" s="407"/>
      <c r="V93" s="407"/>
      <c r="W93" s="407"/>
      <c r="X93" s="407"/>
    </row>
    <row r="94" ht="18.75" customHeight="1">
      <c r="B94" s="386">
        <v>43969.875</v>
      </c>
      <c r="C94" s="395" t="s">
        <v>87</v>
      </c>
      <c r="D94" s="396" t="s">
        <v>199</v>
      </c>
      <c r="E94" s="417" t="b">
        <v>0</v>
      </c>
      <c r="F94" s="417" t="b">
        <v>0</v>
      </c>
      <c r="G94" s="397" t="s">
        <v>149</v>
      </c>
      <c r="H94" s="393" t="s">
        <v>335</v>
      </c>
      <c r="I94" s="344">
        <f>$B94</f>
        <v>43969.875</v>
      </c>
      <c r="J94" s="345">
        <f t="shared" ref="J94:J96" si="21">$I94+3</f>
        <v>43972.875</v>
      </c>
      <c r="K94" s="394">
        <v>43973.0</v>
      </c>
      <c r="L94" s="418"/>
      <c r="M94" s="407"/>
      <c r="N94" s="407"/>
      <c r="O94" s="407"/>
      <c r="P94" s="407"/>
      <c r="Q94" s="407"/>
      <c r="R94" s="407"/>
      <c r="S94" s="407"/>
      <c r="T94" s="407"/>
      <c r="U94" s="407"/>
      <c r="V94" s="407"/>
      <c r="W94" s="407"/>
      <c r="X94" s="407"/>
    </row>
    <row r="95" ht="18.75" customHeight="1">
      <c r="A95" s="415">
        <v>43970.0</v>
      </c>
      <c r="B95" s="386">
        <v>43970.541666666664</v>
      </c>
      <c r="C95" s="395" t="s">
        <v>336</v>
      </c>
      <c r="D95" s="396" t="s">
        <v>227</v>
      </c>
      <c r="E95" s="416" t="b">
        <v>1</v>
      </c>
      <c r="F95" s="417" t="b">
        <v>0</v>
      </c>
      <c r="G95" s="397" t="s">
        <v>16</v>
      </c>
      <c r="H95" s="393" t="s">
        <v>337</v>
      </c>
      <c r="I95" s="423">
        <v>43970.0</v>
      </c>
      <c r="J95" s="345">
        <f t="shared" si="21"/>
        <v>43973</v>
      </c>
      <c r="K95" s="351"/>
      <c r="L95" s="418"/>
      <c r="M95" s="407"/>
      <c r="N95" s="407"/>
      <c r="O95" s="407"/>
      <c r="P95" s="407"/>
      <c r="Q95" s="407"/>
      <c r="R95" s="407"/>
      <c r="S95" s="407"/>
      <c r="T95" s="407"/>
      <c r="U95" s="407"/>
      <c r="V95" s="407"/>
      <c r="W95" s="407"/>
      <c r="X95" s="407"/>
    </row>
    <row r="96" ht="18.75" customHeight="1">
      <c r="C96" s="395" t="s">
        <v>92</v>
      </c>
      <c r="D96" s="396" t="s">
        <v>199</v>
      </c>
      <c r="E96" s="417" t="b">
        <v>0</v>
      </c>
      <c r="F96" s="417" t="b">
        <v>0</v>
      </c>
      <c r="G96" s="397" t="s">
        <v>153</v>
      </c>
      <c r="H96" s="393" t="s">
        <v>338</v>
      </c>
      <c r="I96" s="423">
        <v>43970.0</v>
      </c>
      <c r="J96" s="345">
        <f t="shared" si="21"/>
        <v>43973</v>
      </c>
      <c r="K96" s="394">
        <v>43980.0</v>
      </c>
      <c r="L96" s="418"/>
      <c r="M96" s="407"/>
      <c r="N96" s="407"/>
      <c r="O96" s="407"/>
      <c r="P96" s="407"/>
      <c r="Q96" s="407"/>
      <c r="R96" s="407"/>
      <c r="S96" s="407"/>
      <c r="T96" s="407"/>
      <c r="U96" s="407"/>
      <c r="V96" s="407"/>
      <c r="W96" s="407"/>
      <c r="X96" s="407"/>
    </row>
    <row r="97" ht="18.75" customHeight="1">
      <c r="A97" s="415">
        <v>43971.0</v>
      </c>
      <c r="B97" s="386">
        <v>43971.541666666664</v>
      </c>
      <c r="C97" s="395" t="s">
        <v>88</v>
      </c>
      <c r="D97" s="396" t="s">
        <v>199</v>
      </c>
      <c r="E97" s="416" t="b">
        <v>1</v>
      </c>
      <c r="F97" s="417" t="b">
        <v>0</v>
      </c>
      <c r="G97" s="397" t="s">
        <v>44</v>
      </c>
      <c r="H97" s="393" t="s">
        <v>339</v>
      </c>
      <c r="I97" s="344"/>
      <c r="J97" s="345"/>
      <c r="K97" s="394">
        <v>43973.0</v>
      </c>
      <c r="L97" s="418"/>
      <c r="M97" s="407"/>
      <c r="N97" s="407"/>
      <c r="O97" s="407"/>
      <c r="P97" s="407"/>
      <c r="Q97" s="407"/>
      <c r="R97" s="407"/>
      <c r="S97" s="407"/>
      <c r="T97" s="407"/>
      <c r="U97" s="407"/>
      <c r="V97" s="407"/>
      <c r="W97" s="407"/>
      <c r="X97" s="407"/>
    </row>
    <row r="98" ht="18.75" customHeight="1">
      <c r="B98" s="386">
        <v>43971.708333333336</v>
      </c>
      <c r="C98" s="395" t="s">
        <v>102</v>
      </c>
      <c r="D98" s="396" t="s">
        <v>192</v>
      </c>
      <c r="E98" s="417" t="b">
        <v>0</v>
      </c>
      <c r="F98" s="417" t="b">
        <v>0</v>
      </c>
      <c r="G98" s="397" t="s">
        <v>155</v>
      </c>
      <c r="H98" s="393" t="s">
        <v>340</v>
      </c>
      <c r="I98" s="344">
        <f t="shared" ref="I98:I99" si="22">$B98</f>
        <v>43971.70833</v>
      </c>
      <c r="J98" s="345">
        <f t="shared" ref="J98:J99" si="23">$I98+3</f>
        <v>43974.70833</v>
      </c>
      <c r="K98" s="394">
        <v>43980.0</v>
      </c>
      <c r="L98" s="418"/>
      <c r="M98" s="407"/>
      <c r="N98" s="407"/>
      <c r="O98" s="407"/>
      <c r="P98" s="407"/>
      <c r="Q98" s="407"/>
      <c r="R98" s="407"/>
      <c r="S98" s="407"/>
      <c r="T98" s="407"/>
      <c r="U98" s="407"/>
      <c r="V98" s="407"/>
      <c r="W98" s="407"/>
      <c r="X98" s="407"/>
    </row>
    <row r="99" ht="18.75" customHeight="1">
      <c r="A99" s="415">
        <v>43972.0</v>
      </c>
      <c r="B99" s="386">
        <v>43972.708333333336</v>
      </c>
      <c r="C99" s="395" t="s">
        <v>341</v>
      </c>
      <c r="D99" s="396" t="s">
        <v>192</v>
      </c>
      <c r="E99" s="417" t="b">
        <v>0</v>
      </c>
      <c r="F99" s="417" t="b">
        <v>0</v>
      </c>
      <c r="G99" s="397" t="s">
        <v>123</v>
      </c>
      <c r="H99" s="393" t="s">
        <v>342</v>
      </c>
      <c r="I99" s="344">
        <f t="shared" si="22"/>
        <v>43972.70833</v>
      </c>
      <c r="J99" s="345">
        <f t="shared" si="23"/>
        <v>43975.70833</v>
      </c>
      <c r="K99" s="373"/>
      <c r="L99" s="309"/>
      <c r="M99" s="407"/>
      <c r="N99" s="407"/>
      <c r="O99" s="407"/>
      <c r="P99" s="407"/>
      <c r="Q99" s="407"/>
      <c r="R99" s="407"/>
      <c r="S99" s="407"/>
      <c r="T99" s="407"/>
      <c r="U99" s="407"/>
      <c r="V99" s="407"/>
      <c r="W99" s="407"/>
      <c r="X99" s="407"/>
    </row>
    <row r="100" ht="18.75" customHeight="1">
      <c r="A100" s="415">
        <v>43973.0</v>
      </c>
      <c r="B100" s="386">
        <v>43973.708333333336</v>
      </c>
      <c r="C100" s="395" t="s">
        <v>343</v>
      </c>
      <c r="D100" s="396" t="s">
        <v>233</v>
      </c>
      <c r="E100" s="417"/>
      <c r="F100" s="417"/>
      <c r="G100" s="388"/>
      <c r="H100" s="389"/>
      <c r="J100" s="391"/>
      <c r="K100" s="392"/>
      <c r="L100" s="419" t="s">
        <v>344</v>
      </c>
      <c r="M100" s="407"/>
      <c r="N100" s="407"/>
      <c r="O100" s="407"/>
      <c r="P100" s="407"/>
      <c r="Q100" s="407"/>
      <c r="R100" s="407"/>
      <c r="S100" s="407"/>
      <c r="T100" s="407"/>
      <c r="U100" s="407"/>
      <c r="V100" s="407"/>
      <c r="W100" s="407"/>
      <c r="X100" s="407"/>
    </row>
    <row r="101" ht="18.75" customHeight="1">
      <c r="C101" s="395" t="s">
        <v>97</v>
      </c>
      <c r="D101" s="396" t="s">
        <v>199</v>
      </c>
      <c r="E101" s="417" t="b">
        <v>0</v>
      </c>
      <c r="F101" s="417" t="b">
        <v>0</v>
      </c>
      <c r="G101" s="397" t="s">
        <v>203</v>
      </c>
      <c r="H101" s="393" t="s">
        <v>345</v>
      </c>
      <c r="I101" s="344" t="str">
        <f>$B101</f>
        <v/>
      </c>
      <c r="J101" s="345">
        <f>$I101+3</f>
        <v>3</v>
      </c>
      <c r="K101" s="394">
        <v>43980.0</v>
      </c>
      <c r="L101" s="418"/>
      <c r="M101" s="407"/>
      <c r="N101" s="407"/>
      <c r="O101" s="407"/>
      <c r="P101" s="407"/>
      <c r="Q101" s="407"/>
      <c r="R101" s="407"/>
      <c r="S101" s="407"/>
      <c r="T101" s="407"/>
      <c r="U101" s="407"/>
      <c r="V101" s="407"/>
      <c r="W101" s="407"/>
      <c r="X101" s="407"/>
    </row>
    <row r="102" ht="18.75" customHeight="1">
      <c r="A102" s="415">
        <v>43974.0</v>
      </c>
      <c r="B102" s="386">
        <v>43974.708333333336</v>
      </c>
      <c r="C102" s="395" t="s">
        <v>346</v>
      </c>
      <c r="D102" s="396" t="s">
        <v>347</v>
      </c>
      <c r="E102" s="416" t="b">
        <v>1</v>
      </c>
      <c r="F102" s="416" t="b">
        <v>0</v>
      </c>
      <c r="G102" s="141" t="s">
        <v>157</v>
      </c>
      <c r="H102" s="424" t="s">
        <v>348</v>
      </c>
      <c r="I102" s="425">
        <v>43974.0</v>
      </c>
      <c r="J102" s="426">
        <v>43981.0</v>
      </c>
      <c r="K102" s="373"/>
      <c r="L102" s="418"/>
      <c r="M102" s="407"/>
      <c r="N102" s="407"/>
      <c r="O102" s="407"/>
      <c r="P102" s="407"/>
      <c r="Q102" s="407"/>
      <c r="R102" s="407"/>
      <c r="S102" s="407"/>
      <c r="T102" s="407"/>
      <c r="U102" s="407"/>
      <c r="V102" s="407"/>
      <c r="W102" s="407"/>
      <c r="X102" s="407"/>
    </row>
    <row r="103" ht="18.75" customHeight="1">
      <c r="C103" s="395" t="s">
        <v>104</v>
      </c>
      <c r="D103" s="396" t="s">
        <v>192</v>
      </c>
      <c r="E103" s="417" t="b">
        <v>0</v>
      </c>
      <c r="F103" s="417" t="b">
        <v>0</v>
      </c>
      <c r="G103" s="397" t="s">
        <v>118</v>
      </c>
      <c r="H103" s="393" t="s">
        <v>349</v>
      </c>
      <c r="I103" s="425">
        <v>43974.0</v>
      </c>
      <c r="J103" s="345">
        <f t="shared" ref="J103:J104" si="24">$I103+3</f>
        <v>43977</v>
      </c>
      <c r="K103" s="373"/>
      <c r="L103" s="418"/>
      <c r="M103" s="407"/>
      <c r="N103" s="407"/>
      <c r="O103" s="407"/>
      <c r="P103" s="407"/>
      <c r="Q103" s="407"/>
      <c r="R103" s="407"/>
      <c r="S103" s="407"/>
      <c r="T103" s="407"/>
      <c r="U103" s="407"/>
      <c r="V103" s="407"/>
      <c r="W103" s="407"/>
      <c r="X103" s="407"/>
    </row>
    <row r="104" ht="18.75" customHeight="1">
      <c r="A104" s="427">
        <v>43975.0</v>
      </c>
      <c r="B104" s="386">
        <v>43975.708333333336</v>
      </c>
      <c r="C104" s="141" t="s">
        <v>98</v>
      </c>
      <c r="D104" s="396" t="s">
        <v>199</v>
      </c>
      <c r="E104" s="416" t="b">
        <v>1</v>
      </c>
      <c r="F104" s="416" t="b">
        <v>0</v>
      </c>
      <c r="G104" s="141" t="s">
        <v>157</v>
      </c>
      <c r="H104" s="393" t="s">
        <v>350</v>
      </c>
      <c r="I104" s="425">
        <v>43975.0</v>
      </c>
      <c r="J104" s="345">
        <f t="shared" si="24"/>
        <v>43978</v>
      </c>
      <c r="K104" s="373"/>
      <c r="L104" s="418"/>
      <c r="M104" s="407"/>
      <c r="N104" s="407"/>
      <c r="O104" s="407"/>
      <c r="P104" s="407"/>
      <c r="Q104" s="407"/>
      <c r="R104" s="407"/>
      <c r="S104" s="407"/>
      <c r="T104" s="407"/>
      <c r="U104" s="407"/>
      <c r="V104" s="407"/>
      <c r="W104" s="407"/>
      <c r="X104" s="407"/>
    </row>
    <row r="105" ht="18.75" customHeight="1">
      <c r="A105" s="311"/>
      <c r="B105" s="311"/>
      <c r="C105" s="411" t="s">
        <v>105</v>
      </c>
      <c r="D105" s="428" t="s">
        <v>192</v>
      </c>
      <c r="E105" s="429" t="b">
        <v>1</v>
      </c>
      <c r="F105" s="429" t="b">
        <v>0</v>
      </c>
      <c r="G105" s="430" t="s">
        <v>16</v>
      </c>
      <c r="H105" s="431" t="s">
        <v>351</v>
      </c>
      <c r="I105" s="432"/>
      <c r="J105" s="371"/>
      <c r="K105" s="312"/>
      <c r="L105" s="433"/>
      <c r="M105" s="409"/>
      <c r="N105" s="409"/>
      <c r="O105" s="409"/>
      <c r="P105" s="409"/>
      <c r="Q105" s="409"/>
      <c r="R105" s="409"/>
      <c r="S105" s="409"/>
      <c r="T105" s="409"/>
      <c r="U105" s="409"/>
      <c r="V105" s="409"/>
      <c r="W105" s="409"/>
      <c r="X105" s="409"/>
    </row>
    <row r="106" ht="18.75" customHeight="1">
      <c r="A106" s="415">
        <v>43976.0</v>
      </c>
      <c r="B106" s="386">
        <v>43976.875</v>
      </c>
      <c r="C106" s="352" t="s">
        <v>343</v>
      </c>
      <c r="D106" s="340" t="s">
        <v>242</v>
      </c>
      <c r="E106" s="417" t="b">
        <v>0</v>
      </c>
      <c r="F106" s="417" t="b">
        <v>0</v>
      </c>
      <c r="G106" s="388"/>
      <c r="H106" s="389"/>
      <c r="I106" s="390"/>
      <c r="J106" s="434"/>
      <c r="K106" s="392"/>
      <c r="L106" s="435" t="str">
        <f>L100</f>
        <v>M0170, M0171, M0172, W0090, W0091, W0092, W0093, M0180, M0185</v>
      </c>
      <c r="M106" s="407"/>
      <c r="N106" s="407"/>
      <c r="O106" s="407"/>
      <c r="P106" s="407"/>
      <c r="Q106" s="407"/>
      <c r="R106" s="407"/>
      <c r="S106" s="407"/>
      <c r="T106" s="407"/>
      <c r="U106" s="407"/>
      <c r="V106" s="407"/>
      <c r="W106" s="407"/>
      <c r="X106" s="407"/>
    </row>
    <row r="107" ht="18.75" customHeight="1">
      <c r="B107" s="386">
        <v>43976.708333333336</v>
      </c>
      <c r="C107" s="436" t="s">
        <v>103</v>
      </c>
      <c r="D107" s="437" t="s">
        <v>240</v>
      </c>
      <c r="E107" s="438" t="b">
        <v>0</v>
      </c>
      <c r="F107" s="438" t="b">
        <v>0</v>
      </c>
      <c r="G107" s="439" t="s">
        <v>299</v>
      </c>
      <c r="H107" s="393" t="s">
        <v>352</v>
      </c>
      <c r="I107" s="425">
        <v>43976.0</v>
      </c>
      <c r="J107" s="345">
        <f>I107+3</f>
        <v>43979</v>
      </c>
      <c r="K107" s="394">
        <v>43980.0</v>
      </c>
      <c r="L107" s="435"/>
      <c r="M107" s="407"/>
      <c r="N107" s="407"/>
      <c r="O107" s="407"/>
      <c r="P107" s="407"/>
      <c r="Q107" s="407"/>
      <c r="R107" s="407"/>
      <c r="S107" s="407"/>
      <c r="T107" s="407"/>
      <c r="U107" s="407"/>
      <c r="V107" s="407"/>
      <c r="W107" s="407"/>
      <c r="X107" s="407"/>
    </row>
    <row r="108" ht="18.75" customHeight="1">
      <c r="B108" s="386">
        <v>43976.541666666664</v>
      </c>
      <c r="C108" s="395" t="s">
        <v>353</v>
      </c>
      <c r="D108" s="396" t="s">
        <v>199</v>
      </c>
      <c r="E108" s="417" t="b">
        <v>0</v>
      </c>
      <c r="F108" s="417" t="b">
        <v>0</v>
      </c>
      <c r="G108" s="397" t="s">
        <v>200</v>
      </c>
      <c r="H108" s="393" t="s">
        <v>354</v>
      </c>
      <c r="I108" s="385"/>
      <c r="J108" s="371"/>
      <c r="K108" s="394">
        <v>43987.0</v>
      </c>
      <c r="L108" s="435"/>
      <c r="M108" s="407"/>
      <c r="N108" s="407"/>
      <c r="O108" s="407"/>
      <c r="P108" s="407"/>
      <c r="Q108" s="407"/>
      <c r="R108" s="407"/>
      <c r="S108" s="407"/>
      <c r="T108" s="407"/>
      <c r="U108" s="407"/>
      <c r="V108" s="407"/>
      <c r="W108" s="407"/>
      <c r="X108" s="407"/>
    </row>
    <row r="109" ht="18.75" customHeight="1">
      <c r="A109" s="415">
        <v>43977.0</v>
      </c>
      <c r="B109" s="386">
        <v>43977.541666666664</v>
      </c>
      <c r="C109" s="395" t="s">
        <v>355</v>
      </c>
      <c r="D109" s="396" t="s">
        <v>199</v>
      </c>
      <c r="E109" s="417" t="b">
        <v>0</v>
      </c>
      <c r="F109" s="417" t="b">
        <v>0</v>
      </c>
      <c r="G109" s="397" t="s">
        <v>155</v>
      </c>
      <c r="H109" s="393" t="s">
        <v>356</v>
      </c>
      <c r="I109" s="344">
        <f t="shared" ref="I109:I117" si="25">B109</f>
        <v>43977.54167</v>
      </c>
      <c r="J109" s="345">
        <f t="shared" ref="J109:J112" si="26">I109+3</f>
        <v>43980.54167</v>
      </c>
      <c r="K109" s="373"/>
      <c r="L109" s="435"/>
      <c r="M109" s="407"/>
      <c r="N109" s="407"/>
      <c r="O109" s="407"/>
      <c r="P109" s="407"/>
      <c r="Q109" s="407"/>
      <c r="R109" s="407"/>
      <c r="S109" s="407"/>
      <c r="T109" s="407"/>
      <c r="U109" s="407"/>
      <c r="V109" s="407"/>
      <c r="W109" s="407"/>
      <c r="X109" s="407"/>
    </row>
    <row r="110" ht="18.75" customHeight="1">
      <c r="B110" s="386">
        <v>43977.541666666664</v>
      </c>
      <c r="C110" s="395" t="s">
        <v>99</v>
      </c>
      <c r="D110" s="396" t="s">
        <v>199</v>
      </c>
      <c r="E110" s="416" t="b">
        <v>1</v>
      </c>
      <c r="F110" s="417" t="b">
        <v>0</v>
      </c>
      <c r="G110" s="397" t="s">
        <v>44</v>
      </c>
      <c r="H110" s="393" t="s">
        <v>357</v>
      </c>
      <c r="I110" s="344">
        <f t="shared" si="25"/>
        <v>43977.54167</v>
      </c>
      <c r="J110" s="345">
        <f t="shared" si="26"/>
        <v>43980.54167</v>
      </c>
      <c r="K110" s="394">
        <v>43980.0</v>
      </c>
      <c r="L110" s="435"/>
      <c r="M110" s="407"/>
      <c r="N110" s="407"/>
      <c r="O110" s="407"/>
      <c r="P110" s="407"/>
      <c r="Q110" s="407"/>
      <c r="R110" s="407"/>
      <c r="S110" s="407"/>
      <c r="T110" s="407"/>
      <c r="U110" s="407"/>
      <c r="V110" s="407"/>
      <c r="W110" s="407"/>
      <c r="X110" s="407"/>
    </row>
    <row r="111" ht="18.75" customHeight="1">
      <c r="B111" s="408">
        <v>43977.541666666664</v>
      </c>
      <c r="C111" s="395" t="s">
        <v>93</v>
      </c>
      <c r="D111" s="396" t="s">
        <v>199</v>
      </c>
      <c r="E111" s="417" t="b">
        <v>0</v>
      </c>
      <c r="F111" s="417" t="b">
        <v>0</v>
      </c>
      <c r="G111" s="397" t="s">
        <v>153</v>
      </c>
      <c r="H111" s="393" t="s">
        <v>358</v>
      </c>
      <c r="I111" s="344">
        <f t="shared" si="25"/>
        <v>43977.54167</v>
      </c>
      <c r="J111" s="345">
        <f t="shared" si="26"/>
        <v>43980.54167</v>
      </c>
      <c r="K111" s="394">
        <v>43980.0</v>
      </c>
      <c r="L111" s="435"/>
      <c r="M111" s="407"/>
      <c r="N111" s="407"/>
      <c r="O111" s="407"/>
      <c r="P111" s="407"/>
      <c r="Q111" s="407"/>
      <c r="R111" s="407"/>
      <c r="S111" s="407"/>
      <c r="T111" s="407"/>
      <c r="U111" s="407"/>
      <c r="V111" s="407"/>
      <c r="W111" s="407"/>
      <c r="X111" s="407"/>
    </row>
    <row r="112" ht="18.75" customHeight="1">
      <c r="A112" s="415">
        <v>43978.0</v>
      </c>
      <c r="B112" s="408">
        <v>43978.708333333336</v>
      </c>
      <c r="C112" s="141" t="s">
        <v>359</v>
      </c>
      <c r="D112" s="396" t="s">
        <v>227</v>
      </c>
      <c r="E112" s="417" t="b">
        <v>0</v>
      </c>
      <c r="F112" s="417" t="b">
        <v>0</v>
      </c>
      <c r="G112" s="440" t="s">
        <v>16</v>
      </c>
      <c r="H112" s="424" t="s">
        <v>360</v>
      </c>
      <c r="I112" s="344">
        <f t="shared" si="25"/>
        <v>43978.70833</v>
      </c>
      <c r="J112" s="345">
        <f t="shared" si="26"/>
        <v>43981.70833</v>
      </c>
      <c r="K112" s="394"/>
      <c r="L112" s="435"/>
      <c r="M112" s="407"/>
      <c r="N112" s="407"/>
      <c r="O112" s="407"/>
      <c r="P112" s="407"/>
      <c r="Q112" s="407"/>
      <c r="R112" s="407"/>
      <c r="S112" s="407"/>
      <c r="T112" s="407"/>
      <c r="U112" s="407"/>
      <c r="V112" s="407"/>
      <c r="W112" s="407"/>
      <c r="X112" s="407"/>
    </row>
    <row r="113" ht="18.75" customHeight="1">
      <c r="B113" s="408">
        <v>43978.541666666664</v>
      </c>
      <c r="C113" s="395" t="s">
        <v>361</v>
      </c>
      <c r="D113" s="396" t="s">
        <v>192</v>
      </c>
      <c r="E113" s="417" t="b">
        <v>0</v>
      </c>
      <c r="F113" s="417" t="b">
        <v>0</v>
      </c>
      <c r="G113" s="397" t="s">
        <v>118</v>
      </c>
      <c r="H113" s="393" t="s">
        <v>362</v>
      </c>
      <c r="I113" s="344">
        <f t="shared" si="25"/>
        <v>43978.54167</v>
      </c>
      <c r="J113" s="371"/>
      <c r="K113" s="394">
        <v>43987.0</v>
      </c>
      <c r="L113" s="435"/>
      <c r="M113" s="407"/>
      <c r="N113" s="407"/>
      <c r="O113" s="407"/>
      <c r="P113" s="407"/>
      <c r="Q113" s="407"/>
      <c r="R113" s="407"/>
      <c r="S113" s="407"/>
      <c r="T113" s="407"/>
      <c r="U113" s="407"/>
      <c r="V113" s="407"/>
      <c r="W113" s="407"/>
      <c r="X113" s="407"/>
    </row>
    <row r="114" ht="18.75" customHeight="1">
      <c r="A114" s="415">
        <v>43979.0</v>
      </c>
      <c r="B114" s="386">
        <v>43979.541666666664</v>
      </c>
      <c r="C114" s="395" t="s">
        <v>363</v>
      </c>
      <c r="D114" s="396" t="s">
        <v>199</v>
      </c>
      <c r="E114" s="417" t="b">
        <v>0</v>
      </c>
      <c r="F114" s="417" t="b">
        <v>0</v>
      </c>
      <c r="G114" s="397" t="s">
        <v>155</v>
      </c>
      <c r="H114" s="393" t="s">
        <v>364</v>
      </c>
      <c r="I114" s="344">
        <f t="shared" si="25"/>
        <v>43979.54167</v>
      </c>
      <c r="J114" s="345">
        <f>I114+3</f>
        <v>43982.54167</v>
      </c>
      <c r="K114" s="373"/>
      <c r="L114" s="435"/>
      <c r="M114" s="407"/>
      <c r="N114" s="407"/>
      <c r="O114" s="407"/>
      <c r="P114" s="407"/>
      <c r="Q114" s="407"/>
      <c r="R114" s="407"/>
      <c r="S114" s="407"/>
      <c r="T114" s="407"/>
      <c r="U114" s="407"/>
      <c r="V114" s="407"/>
      <c r="W114" s="407"/>
      <c r="X114" s="407"/>
    </row>
    <row r="115" ht="18.75" customHeight="1">
      <c r="B115" s="386">
        <v>43979.541666666664</v>
      </c>
      <c r="C115" s="395" t="s">
        <v>365</v>
      </c>
      <c r="D115" s="396" t="s">
        <v>199</v>
      </c>
      <c r="E115" s="417" t="b">
        <v>0</v>
      </c>
      <c r="F115" s="417" t="b">
        <v>0</v>
      </c>
      <c r="G115" s="397" t="s">
        <v>44</v>
      </c>
      <c r="H115" s="393" t="s">
        <v>366</v>
      </c>
      <c r="I115" s="344">
        <f t="shared" si="25"/>
        <v>43979.54167</v>
      </c>
      <c r="J115" s="371"/>
      <c r="K115" s="373"/>
      <c r="L115" s="435"/>
      <c r="M115" s="407"/>
      <c r="N115" s="407"/>
      <c r="O115" s="407"/>
      <c r="P115" s="407"/>
      <c r="Q115" s="407"/>
      <c r="R115" s="407"/>
      <c r="S115" s="407"/>
      <c r="T115" s="407"/>
      <c r="U115" s="407"/>
      <c r="V115" s="407"/>
      <c r="W115" s="407"/>
      <c r="X115" s="407"/>
    </row>
    <row r="116" ht="18.75" customHeight="1">
      <c r="A116" s="415">
        <v>43980.0</v>
      </c>
      <c r="B116" s="386">
        <v>43980.708333333336</v>
      </c>
      <c r="C116" s="395" t="s">
        <v>367</v>
      </c>
      <c r="D116" s="396" t="s">
        <v>199</v>
      </c>
      <c r="E116" s="417" t="b">
        <v>0</v>
      </c>
      <c r="F116" s="417" t="b">
        <v>0</v>
      </c>
      <c r="G116" s="397" t="s">
        <v>25</v>
      </c>
      <c r="H116" s="393" t="s">
        <v>368</v>
      </c>
      <c r="I116" s="344">
        <f t="shared" si="25"/>
        <v>43980.70833</v>
      </c>
      <c r="J116" s="345">
        <f t="shared" ref="J116:J117" si="27">I116+3</f>
        <v>43983.70833</v>
      </c>
      <c r="K116" s="373"/>
      <c r="L116" s="441"/>
      <c r="M116" s="407"/>
      <c r="N116" s="407"/>
      <c r="O116" s="407"/>
      <c r="P116" s="407"/>
      <c r="Q116" s="407"/>
      <c r="R116" s="407"/>
      <c r="S116" s="407"/>
      <c r="T116" s="407"/>
      <c r="U116" s="407"/>
      <c r="V116" s="407"/>
      <c r="W116" s="407"/>
      <c r="X116" s="407"/>
    </row>
    <row r="117" ht="18.75" customHeight="1">
      <c r="B117" s="386">
        <v>43980.708333333336</v>
      </c>
      <c r="C117" s="395" t="s">
        <v>369</v>
      </c>
      <c r="D117" s="396" t="s">
        <v>227</v>
      </c>
      <c r="E117" s="416" t="b">
        <v>1</v>
      </c>
      <c r="F117" s="417" t="b">
        <v>0</v>
      </c>
      <c r="G117" s="397" t="s">
        <v>116</v>
      </c>
      <c r="H117" s="393" t="s">
        <v>370</v>
      </c>
      <c r="I117" s="344">
        <f t="shared" si="25"/>
        <v>43980.70833</v>
      </c>
      <c r="J117" s="345">
        <f t="shared" si="27"/>
        <v>43983.70833</v>
      </c>
      <c r="K117" s="394"/>
      <c r="L117" s="441"/>
      <c r="M117" s="407"/>
      <c r="N117" s="407"/>
      <c r="O117" s="407"/>
      <c r="P117" s="407"/>
      <c r="Q117" s="407"/>
      <c r="R117" s="407"/>
      <c r="S117" s="407"/>
      <c r="T117" s="407"/>
      <c r="U117" s="407"/>
      <c r="V117" s="407"/>
      <c r="W117" s="407"/>
      <c r="X117" s="407"/>
    </row>
    <row r="118" ht="18.75" customHeight="1">
      <c r="B118" s="386">
        <v>43980.541666666664</v>
      </c>
      <c r="C118" s="395" t="s">
        <v>371</v>
      </c>
      <c r="D118" s="396" t="s">
        <v>233</v>
      </c>
      <c r="E118" s="417"/>
      <c r="F118" s="417"/>
      <c r="G118" s="397"/>
      <c r="H118" s="389"/>
      <c r="I118" s="390"/>
      <c r="J118" s="377"/>
      <c r="K118" s="392"/>
      <c r="L118" s="441" t="s">
        <v>372</v>
      </c>
      <c r="M118" s="407"/>
      <c r="N118" s="407"/>
      <c r="O118" s="407"/>
      <c r="P118" s="407"/>
      <c r="Q118" s="407"/>
      <c r="R118" s="407"/>
      <c r="S118" s="407"/>
      <c r="T118" s="407"/>
      <c r="U118" s="407"/>
      <c r="V118" s="407"/>
      <c r="W118" s="407"/>
      <c r="X118" s="407"/>
    </row>
    <row r="119" ht="18.75" customHeight="1">
      <c r="A119" s="415">
        <v>43981.0</v>
      </c>
      <c r="B119" s="386">
        <v>43981.541666666664</v>
      </c>
      <c r="C119" s="395" t="s">
        <v>373</v>
      </c>
      <c r="D119" s="396" t="s">
        <v>199</v>
      </c>
      <c r="E119" s="417" t="b">
        <v>0</v>
      </c>
      <c r="F119" s="417" t="b">
        <v>0</v>
      </c>
      <c r="G119" s="397" t="s">
        <v>25</v>
      </c>
      <c r="H119" s="393" t="s">
        <v>374</v>
      </c>
      <c r="I119" s="344">
        <f t="shared" ref="I119:I122" si="28">B119</f>
        <v>43981.54167</v>
      </c>
      <c r="J119" s="345">
        <f>I119+3</f>
        <v>43984.54167</v>
      </c>
      <c r="K119" s="394">
        <v>43987.0</v>
      </c>
      <c r="L119" s="435"/>
      <c r="M119" s="407"/>
      <c r="N119" s="407"/>
      <c r="O119" s="407"/>
      <c r="P119" s="407"/>
      <c r="Q119" s="407"/>
      <c r="R119" s="407"/>
      <c r="S119" s="407"/>
      <c r="T119" s="407"/>
      <c r="U119" s="407"/>
      <c r="V119" s="407"/>
      <c r="W119" s="407"/>
      <c r="X119" s="407"/>
    </row>
    <row r="120" ht="18.75" customHeight="1">
      <c r="B120" s="386">
        <v>43981.708333333336</v>
      </c>
      <c r="C120" s="395" t="s">
        <v>375</v>
      </c>
      <c r="D120" s="396" t="s">
        <v>199</v>
      </c>
      <c r="E120" s="417" t="b">
        <v>0</v>
      </c>
      <c r="F120" s="417" t="b">
        <v>0</v>
      </c>
      <c r="G120" s="397" t="s">
        <v>123</v>
      </c>
      <c r="H120" s="393" t="s">
        <v>376</v>
      </c>
      <c r="I120" s="344">
        <f t="shared" si="28"/>
        <v>43981.70833</v>
      </c>
      <c r="J120" s="371"/>
      <c r="K120" s="373"/>
      <c r="L120" s="435"/>
      <c r="M120" s="407"/>
      <c r="N120" s="407"/>
      <c r="O120" s="407"/>
      <c r="P120" s="407"/>
      <c r="Q120" s="407"/>
      <c r="R120" s="407"/>
      <c r="S120" s="407"/>
      <c r="T120" s="407"/>
      <c r="U120" s="407"/>
      <c r="V120" s="407"/>
      <c r="W120" s="407"/>
      <c r="X120" s="407"/>
    </row>
    <row r="121" ht="18.75" customHeight="1">
      <c r="A121" s="415">
        <v>43982.0</v>
      </c>
      <c r="B121" s="408">
        <v>43982.541666666664</v>
      </c>
      <c r="C121" s="395" t="s">
        <v>377</v>
      </c>
      <c r="D121" s="396" t="s">
        <v>199</v>
      </c>
      <c r="E121" s="442" t="b">
        <v>0</v>
      </c>
      <c r="F121" s="443" t="b">
        <v>0</v>
      </c>
      <c r="G121" s="444" t="s">
        <v>378</v>
      </c>
      <c r="H121" s="445" t="s">
        <v>379</v>
      </c>
      <c r="I121" s="344">
        <f t="shared" si="28"/>
        <v>43982.54167</v>
      </c>
      <c r="J121" s="345">
        <f>I121+3</f>
        <v>43985.54167</v>
      </c>
      <c r="K121" s="373"/>
      <c r="L121" s="446"/>
      <c r="M121" s="409"/>
      <c r="N121" s="409"/>
      <c r="O121" s="409"/>
      <c r="P121" s="409"/>
      <c r="Q121" s="409"/>
      <c r="R121" s="409"/>
      <c r="S121" s="409"/>
      <c r="T121" s="409"/>
      <c r="U121" s="409"/>
      <c r="V121" s="409"/>
      <c r="W121" s="409"/>
      <c r="X121" s="409"/>
    </row>
    <row r="122" ht="18.75" customHeight="1">
      <c r="A122" s="7"/>
      <c r="B122" s="447">
        <v>43982.708333333336</v>
      </c>
      <c r="C122" s="448" t="s">
        <v>380</v>
      </c>
      <c r="D122" s="449" t="s">
        <v>192</v>
      </c>
      <c r="E122" s="450" t="b">
        <v>0</v>
      </c>
      <c r="F122" s="450" t="b">
        <v>0</v>
      </c>
      <c r="G122" s="430" t="s">
        <v>203</v>
      </c>
      <c r="H122" s="451" t="s">
        <v>381</v>
      </c>
      <c r="I122" s="452">
        <f t="shared" si="28"/>
        <v>43982.70833</v>
      </c>
      <c r="J122" s="453"/>
      <c r="K122" s="454"/>
      <c r="L122" s="455"/>
      <c r="M122" s="407"/>
      <c r="N122" s="407"/>
      <c r="O122" s="407"/>
      <c r="P122" s="407"/>
      <c r="Q122" s="407"/>
      <c r="R122" s="407"/>
      <c r="S122" s="407"/>
      <c r="T122" s="407"/>
      <c r="U122" s="407"/>
      <c r="V122" s="407"/>
      <c r="W122" s="407"/>
      <c r="X122" s="407"/>
    </row>
    <row r="123" ht="18.75" customHeight="1">
      <c r="A123" s="415">
        <v>43983.0</v>
      </c>
      <c r="B123" s="386">
        <v>43983.541666666664</v>
      </c>
      <c r="C123" s="352" t="s">
        <v>371</v>
      </c>
      <c r="D123" s="340" t="s">
        <v>242</v>
      </c>
      <c r="E123" s="417"/>
      <c r="F123" s="417"/>
      <c r="G123" s="388"/>
      <c r="H123" s="389"/>
      <c r="I123" s="390"/>
      <c r="J123" s="391"/>
      <c r="K123" s="392"/>
      <c r="L123" s="435" t="str">
        <f>L118</f>
        <v>M0173, M0174, M0175, M0176, M0177,M0181,M0174, W0094, W0095, W0096,W0097,W0098</v>
      </c>
      <c r="M123" s="407"/>
      <c r="N123" s="407"/>
      <c r="O123" s="407"/>
      <c r="P123" s="407"/>
      <c r="Q123" s="407"/>
      <c r="R123" s="407"/>
      <c r="S123" s="407"/>
      <c r="T123" s="407"/>
      <c r="U123" s="407"/>
      <c r="V123" s="407"/>
      <c r="W123" s="407"/>
      <c r="X123" s="407"/>
    </row>
    <row r="124" ht="18.75" customHeight="1">
      <c r="B124" s="386">
        <v>43983.541666666664</v>
      </c>
      <c r="C124" s="395" t="s">
        <v>382</v>
      </c>
      <c r="D124" s="396" t="s">
        <v>199</v>
      </c>
      <c r="E124" s="417" t="b">
        <v>0</v>
      </c>
      <c r="F124" s="417" t="b">
        <v>0</v>
      </c>
      <c r="G124" s="397" t="s">
        <v>25</v>
      </c>
      <c r="H124" s="393" t="s">
        <v>383</v>
      </c>
      <c r="I124" s="344">
        <f t="shared" ref="I124:I131" si="29">B124</f>
        <v>43983.54167</v>
      </c>
      <c r="J124" s="345">
        <f>I124+3</f>
        <v>43986.54167</v>
      </c>
      <c r="K124" s="394">
        <v>43987.0</v>
      </c>
      <c r="L124" s="435"/>
      <c r="M124" s="407"/>
      <c r="N124" s="407"/>
      <c r="O124" s="407"/>
      <c r="P124" s="407"/>
      <c r="Q124" s="407"/>
      <c r="R124" s="407"/>
      <c r="S124" s="407"/>
      <c r="T124" s="407"/>
      <c r="U124" s="407"/>
      <c r="V124" s="407"/>
      <c r="W124" s="407"/>
      <c r="X124" s="407"/>
    </row>
    <row r="125" ht="18.75" customHeight="1">
      <c r="B125" s="386">
        <v>43983.708333333336</v>
      </c>
      <c r="C125" s="395" t="s">
        <v>384</v>
      </c>
      <c r="D125" s="396" t="s">
        <v>192</v>
      </c>
      <c r="E125" s="416" t="b">
        <v>1</v>
      </c>
      <c r="F125" s="417" t="b">
        <v>0</v>
      </c>
      <c r="G125" s="397" t="s">
        <v>116</v>
      </c>
      <c r="H125" s="393" t="s">
        <v>385</v>
      </c>
      <c r="I125" s="344">
        <f t="shared" si="29"/>
        <v>43983.70833</v>
      </c>
      <c r="J125" s="371"/>
      <c r="K125" s="373"/>
      <c r="L125" s="435"/>
      <c r="M125" s="407"/>
      <c r="N125" s="407"/>
      <c r="O125" s="407"/>
      <c r="P125" s="407"/>
      <c r="Q125" s="407"/>
      <c r="R125" s="407"/>
      <c r="S125" s="407"/>
      <c r="T125" s="407"/>
      <c r="U125" s="407"/>
      <c r="V125" s="407"/>
      <c r="W125" s="407"/>
      <c r="X125" s="407"/>
    </row>
    <row r="126" ht="18.75" customHeight="1">
      <c r="A126" s="415">
        <v>43984.0</v>
      </c>
      <c r="B126" s="386">
        <v>43984.541666666664</v>
      </c>
      <c r="C126" s="395" t="s">
        <v>386</v>
      </c>
      <c r="D126" s="396" t="s">
        <v>199</v>
      </c>
      <c r="E126" s="417" t="b">
        <v>0</v>
      </c>
      <c r="F126" s="417" t="b">
        <v>0</v>
      </c>
      <c r="G126" s="397" t="s">
        <v>203</v>
      </c>
      <c r="H126" s="393" t="s">
        <v>387</v>
      </c>
      <c r="I126" s="344">
        <f t="shared" si="29"/>
        <v>43984.54167</v>
      </c>
      <c r="J126" s="345">
        <f>I126+3</f>
        <v>43987.54167</v>
      </c>
      <c r="K126" s="394">
        <v>43994.0</v>
      </c>
      <c r="L126" s="435"/>
      <c r="M126" s="407"/>
      <c r="N126" s="407"/>
      <c r="O126" s="407"/>
      <c r="P126" s="407"/>
      <c r="Q126" s="407"/>
      <c r="R126" s="407"/>
      <c r="S126" s="407"/>
      <c r="T126" s="407"/>
      <c r="U126" s="407"/>
      <c r="V126" s="407"/>
      <c r="W126" s="407"/>
      <c r="X126" s="407"/>
    </row>
    <row r="127" ht="18.75" customHeight="1">
      <c r="B127" s="386">
        <v>43984.708333333336</v>
      </c>
      <c r="C127" s="395" t="s">
        <v>388</v>
      </c>
      <c r="D127" s="396" t="s">
        <v>192</v>
      </c>
      <c r="E127" s="417" t="b">
        <v>0</v>
      </c>
      <c r="F127" s="417" t="b">
        <v>0</v>
      </c>
      <c r="G127" s="439" t="s">
        <v>299</v>
      </c>
      <c r="H127" s="393" t="s">
        <v>389</v>
      </c>
      <c r="I127" s="344">
        <f t="shared" si="29"/>
        <v>43984.70833</v>
      </c>
      <c r="J127" s="371"/>
      <c r="K127" s="373"/>
      <c r="L127" s="435"/>
      <c r="M127" s="407"/>
      <c r="N127" s="407"/>
      <c r="O127" s="407"/>
      <c r="P127" s="407"/>
      <c r="Q127" s="407"/>
      <c r="R127" s="407"/>
      <c r="S127" s="407"/>
      <c r="T127" s="407"/>
      <c r="U127" s="407"/>
      <c r="V127" s="407"/>
      <c r="W127" s="407"/>
      <c r="X127" s="407"/>
    </row>
    <row r="128" ht="18.75" customHeight="1">
      <c r="A128" s="415">
        <v>43985.0</v>
      </c>
      <c r="B128" s="386">
        <v>43985.541666666664</v>
      </c>
      <c r="C128" s="395" t="s">
        <v>390</v>
      </c>
      <c r="D128" s="396" t="s">
        <v>199</v>
      </c>
      <c r="E128" s="417" t="b">
        <v>0</v>
      </c>
      <c r="F128" s="417" t="b">
        <v>0</v>
      </c>
      <c r="G128" s="397" t="s">
        <v>122</v>
      </c>
      <c r="H128" s="393" t="s">
        <v>391</v>
      </c>
      <c r="I128" s="344">
        <f t="shared" si="29"/>
        <v>43985.54167</v>
      </c>
      <c r="J128" s="345">
        <f>I128+3</f>
        <v>43988.54167</v>
      </c>
      <c r="K128" s="373"/>
      <c r="L128" s="435"/>
      <c r="M128" s="407"/>
      <c r="N128" s="407"/>
      <c r="O128" s="407"/>
      <c r="P128" s="407"/>
      <c r="Q128" s="407"/>
      <c r="R128" s="407"/>
      <c r="S128" s="407"/>
      <c r="T128" s="407"/>
      <c r="U128" s="407"/>
      <c r="V128" s="407"/>
      <c r="W128" s="407"/>
      <c r="X128" s="407"/>
    </row>
    <row r="129" ht="18.75" customHeight="1">
      <c r="B129" s="386">
        <v>43985.708333333336</v>
      </c>
      <c r="C129" s="395" t="s">
        <v>392</v>
      </c>
      <c r="D129" s="396" t="s">
        <v>199</v>
      </c>
      <c r="E129" s="417" t="b">
        <v>0</v>
      </c>
      <c r="F129" s="417" t="b">
        <v>0</v>
      </c>
      <c r="G129" s="397" t="s">
        <v>149</v>
      </c>
      <c r="H129" s="393" t="s">
        <v>393</v>
      </c>
      <c r="I129" s="344">
        <f t="shared" si="29"/>
        <v>43985.70833</v>
      </c>
      <c r="J129" s="371"/>
      <c r="K129" s="373"/>
      <c r="L129" s="435"/>
      <c r="M129" s="407"/>
      <c r="N129" s="407"/>
      <c r="O129" s="407"/>
      <c r="P129" s="407"/>
      <c r="Q129" s="407"/>
      <c r="R129" s="407"/>
      <c r="S129" s="407"/>
      <c r="T129" s="407"/>
      <c r="U129" s="407"/>
      <c r="V129" s="407"/>
      <c r="W129" s="407"/>
      <c r="X129" s="407"/>
    </row>
    <row r="130" ht="18.75" customHeight="1">
      <c r="A130" s="415">
        <v>43986.0</v>
      </c>
      <c r="B130" s="386">
        <v>43986.541666666664</v>
      </c>
      <c r="C130" s="395" t="s">
        <v>394</v>
      </c>
      <c r="D130" s="396" t="s">
        <v>199</v>
      </c>
      <c r="E130" s="417" t="b">
        <v>0</v>
      </c>
      <c r="F130" s="417" t="b">
        <v>0</v>
      </c>
      <c r="G130" s="397" t="s">
        <v>378</v>
      </c>
      <c r="H130" s="393" t="s">
        <v>395</v>
      </c>
      <c r="I130" s="344">
        <f t="shared" si="29"/>
        <v>43986.54167</v>
      </c>
      <c r="J130" s="345">
        <f t="shared" ref="J130:J131" si="30">I130+3</f>
        <v>43989.54167</v>
      </c>
      <c r="K130" s="373"/>
      <c r="L130" s="435"/>
      <c r="M130" s="407"/>
      <c r="N130" s="407"/>
      <c r="O130" s="407"/>
      <c r="P130" s="407"/>
      <c r="Q130" s="407"/>
      <c r="R130" s="407"/>
      <c r="S130" s="407"/>
      <c r="T130" s="407"/>
      <c r="U130" s="407"/>
      <c r="V130" s="407"/>
      <c r="W130" s="407"/>
      <c r="X130" s="407"/>
    </row>
    <row r="131" ht="18.75" customHeight="1">
      <c r="B131" s="386">
        <v>43986.708333333336</v>
      </c>
      <c r="C131" s="395" t="s">
        <v>396</v>
      </c>
      <c r="D131" s="396" t="s">
        <v>227</v>
      </c>
      <c r="E131" s="417" t="b">
        <v>0</v>
      </c>
      <c r="F131" s="417" t="b">
        <v>0</v>
      </c>
      <c r="G131" s="397" t="s">
        <v>397</v>
      </c>
      <c r="H131" s="393" t="s">
        <v>398</v>
      </c>
      <c r="I131" s="344">
        <f t="shared" si="29"/>
        <v>43986.70833</v>
      </c>
      <c r="J131" s="345">
        <f t="shared" si="30"/>
        <v>43989.70833</v>
      </c>
      <c r="K131" s="394"/>
      <c r="L131" s="435"/>
      <c r="M131" s="407"/>
      <c r="N131" s="407"/>
      <c r="O131" s="407"/>
      <c r="P131" s="407"/>
      <c r="Q131" s="407"/>
      <c r="R131" s="407"/>
      <c r="S131" s="407"/>
      <c r="T131" s="407"/>
      <c r="U131" s="407"/>
      <c r="V131" s="407"/>
      <c r="W131" s="407"/>
      <c r="X131" s="407"/>
    </row>
    <row r="132" ht="18.75" customHeight="1">
      <c r="A132" s="415">
        <v>43987.0</v>
      </c>
      <c r="B132" s="386">
        <v>43987.541666666664</v>
      </c>
      <c r="C132" s="395" t="s">
        <v>399</v>
      </c>
      <c r="D132" s="396" t="s">
        <v>233</v>
      </c>
      <c r="E132" s="417" t="b">
        <v>0</v>
      </c>
      <c r="F132" s="417" t="b">
        <v>0</v>
      </c>
      <c r="G132" s="388"/>
      <c r="H132" s="389"/>
      <c r="I132" s="390"/>
      <c r="J132" s="391"/>
      <c r="K132" s="392"/>
      <c r="L132" s="441" t="s">
        <v>400</v>
      </c>
      <c r="M132" s="407"/>
      <c r="N132" s="407"/>
      <c r="O132" s="407"/>
      <c r="P132" s="407"/>
      <c r="Q132" s="407"/>
      <c r="R132" s="407"/>
      <c r="S132" s="407"/>
      <c r="T132" s="407"/>
      <c r="U132" s="407"/>
      <c r="V132" s="407"/>
      <c r="W132" s="407"/>
      <c r="X132" s="407"/>
    </row>
    <row r="133" ht="18.75" customHeight="1">
      <c r="B133" s="386">
        <v>43987.541666666664</v>
      </c>
      <c r="C133" s="395" t="s">
        <v>401</v>
      </c>
      <c r="D133" s="396" t="s">
        <v>199</v>
      </c>
      <c r="E133" s="417" t="b">
        <v>0</v>
      </c>
      <c r="F133" s="417" t="b">
        <v>0</v>
      </c>
      <c r="G133" s="397" t="s">
        <v>44</v>
      </c>
      <c r="H133" s="393" t="s">
        <v>402</v>
      </c>
      <c r="I133" s="390"/>
      <c r="J133" s="391"/>
      <c r="K133" s="392"/>
      <c r="L133" s="441"/>
      <c r="M133" s="407"/>
      <c r="N133" s="407"/>
      <c r="O133" s="407"/>
      <c r="P133" s="407"/>
      <c r="Q133" s="407"/>
      <c r="R133" s="407"/>
      <c r="S133" s="407"/>
      <c r="T133" s="407"/>
      <c r="U133" s="407"/>
      <c r="V133" s="407"/>
      <c r="W133" s="407"/>
      <c r="X133" s="407"/>
    </row>
    <row r="134" ht="18.75" customHeight="1">
      <c r="B134" s="386">
        <v>43987.708333333336</v>
      </c>
      <c r="C134" s="395" t="s">
        <v>105</v>
      </c>
      <c r="D134" s="396" t="s">
        <v>192</v>
      </c>
      <c r="E134" s="417" t="b">
        <v>0</v>
      </c>
      <c r="F134" s="417" t="b">
        <v>0</v>
      </c>
      <c r="G134" s="397" t="s">
        <v>155</v>
      </c>
      <c r="H134" s="393" t="s">
        <v>403</v>
      </c>
      <c r="I134" s="390"/>
      <c r="J134" s="391"/>
      <c r="K134" s="392"/>
      <c r="L134" s="441"/>
      <c r="M134" s="407"/>
      <c r="N134" s="407"/>
      <c r="O134" s="407"/>
      <c r="P134" s="407"/>
      <c r="Q134" s="407"/>
      <c r="R134" s="407"/>
      <c r="S134" s="407"/>
      <c r="T134" s="407"/>
      <c r="U134" s="407"/>
      <c r="V134" s="407"/>
      <c r="W134" s="407"/>
      <c r="X134" s="407"/>
    </row>
    <row r="135" ht="18.75" customHeight="1">
      <c r="A135" s="415">
        <v>43988.0</v>
      </c>
      <c r="B135" s="386">
        <v>43988.708333333336</v>
      </c>
      <c r="C135" s="395" t="s">
        <v>404</v>
      </c>
      <c r="D135" s="396" t="s">
        <v>199</v>
      </c>
      <c r="E135" s="417" t="b">
        <v>0</v>
      </c>
      <c r="F135" s="417" t="b">
        <v>0</v>
      </c>
      <c r="G135" s="397" t="s">
        <v>123</v>
      </c>
      <c r="H135" s="393" t="s">
        <v>405</v>
      </c>
      <c r="I135" s="344">
        <f t="shared" ref="I135:I138" si="31">B135</f>
        <v>43988.70833</v>
      </c>
      <c r="J135" s="345">
        <f t="shared" ref="J135:J138" si="32">I135+3</f>
        <v>43991.70833</v>
      </c>
      <c r="K135" s="394">
        <v>43994.0</v>
      </c>
      <c r="L135" s="441"/>
      <c r="M135" s="407"/>
      <c r="N135" s="407"/>
      <c r="O135" s="407"/>
      <c r="P135" s="407"/>
      <c r="Q135" s="407"/>
      <c r="R135" s="407"/>
      <c r="S135" s="407"/>
      <c r="T135" s="407"/>
      <c r="U135" s="407"/>
      <c r="V135" s="407"/>
      <c r="W135" s="407"/>
      <c r="X135" s="407"/>
    </row>
    <row r="136" ht="18.75" customHeight="1">
      <c r="B136" s="386">
        <v>43988.916666666664</v>
      </c>
      <c r="C136" s="395" t="s">
        <v>406</v>
      </c>
      <c r="D136" s="396" t="s">
        <v>199</v>
      </c>
      <c r="E136" s="417" t="b">
        <v>0</v>
      </c>
      <c r="F136" s="417" t="b">
        <v>0</v>
      </c>
      <c r="G136" s="397" t="s">
        <v>44</v>
      </c>
      <c r="H136" s="393" t="s">
        <v>407</v>
      </c>
      <c r="I136" s="344">
        <f t="shared" si="31"/>
        <v>43988.91667</v>
      </c>
      <c r="J136" s="345">
        <f t="shared" si="32"/>
        <v>43991.91667</v>
      </c>
      <c r="K136" s="394">
        <v>43994.0</v>
      </c>
      <c r="L136" s="435"/>
      <c r="M136" s="407"/>
      <c r="N136" s="407"/>
      <c r="O136" s="407"/>
      <c r="P136" s="407"/>
      <c r="Q136" s="407"/>
      <c r="R136" s="407"/>
      <c r="S136" s="407"/>
      <c r="T136" s="407"/>
      <c r="U136" s="407"/>
      <c r="V136" s="407"/>
      <c r="W136" s="407"/>
      <c r="X136" s="407"/>
    </row>
    <row r="137" ht="18.75" customHeight="1">
      <c r="A137" s="415">
        <v>43989.0</v>
      </c>
      <c r="B137" s="386">
        <v>43989.541666666664</v>
      </c>
      <c r="C137" s="395" t="s">
        <v>408</v>
      </c>
      <c r="D137" s="396" t="s">
        <v>409</v>
      </c>
      <c r="E137" s="416" t="b">
        <v>1</v>
      </c>
      <c r="F137" s="417" t="b">
        <v>0</v>
      </c>
      <c r="G137" s="397" t="s">
        <v>25</v>
      </c>
      <c r="H137" s="393" t="s">
        <v>410</v>
      </c>
      <c r="I137" s="344">
        <f t="shared" si="31"/>
        <v>43989.54167</v>
      </c>
      <c r="J137" s="345">
        <f t="shared" si="32"/>
        <v>43992.54167</v>
      </c>
      <c r="K137" s="392"/>
      <c r="L137" s="435"/>
      <c r="M137" s="407"/>
      <c r="N137" s="407"/>
      <c r="O137" s="407"/>
      <c r="P137" s="407"/>
      <c r="Q137" s="407"/>
      <c r="R137" s="407"/>
      <c r="S137" s="407"/>
      <c r="T137" s="407"/>
      <c r="U137" s="407"/>
      <c r="V137" s="407"/>
      <c r="W137" s="407"/>
      <c r="X137" s="407"/>
    </row>
    <row r="138" ht="18.75" customHeight="1">
      <c r="A138" s="311"/>
      <c r="B138" s="456">
        <v>43989.708333333336</v>
      </c>
      <c r="C138" s="448" t="s">
        <v>411</v>
      </c>
      <c r="D138" s="449" t="s">
        <v>199</v>
      </c>
      <c r="E138" s="457" t="b">
        <v>0</v>
      </c>
      <c r="F138" s="458" t="b">
        <v>0</v>
      </c>
      <c r="G138" s="459" t="s">
        <v>412</v>
      </c>
      <c r="H138" s="460" t="s">
        <v>413</v>
      </c>
      <c r="I138" s="452">
        <f t="shared" si="31"/>
        <v>43989.70833</v>
      </c>
      <c r="J138" s="461">
        <f t="shared" si="32"/>
        <v>43992.70833</v>
      </c>
      <c r="K138" s="462">
        <v>43994.0</v>
      </c>
      <c r="L138" s="463"/>
      <c r="M138" s="464"/>
      <c r="N138" s="464"/>
      <c r="O138" s="464"/>
      <c r="P138" s="464"/>
      <c r="Q138" s="464"/>
      <c r="R138" s="464"/>
      <c r="S138" s="464"/>
      <c r="T138" s="464"/>
      <c r="U138" s="464"/>
      <c r="V138" s="464"/>
      <c r="W138" s="464"/>
      <c r="X138" s="464"/>
    </row>
    <row r="139" ht="18.75" customHeight="1">
      <c r="A139" s="415">
        <v>43990.0</v>
      </c>
      <c r="B139" s="386">
        <v>43990.541666666664</v>
      </c>
      <c r="C139" s="395" t="s">
        <v>399</v>
      </c>
      <c r="D139" s="340" t="s">
        <v>242</v>
      </c>
      <c r="E139" s="417" t="b">
        <v>0</v>
      </c>
      <c r="F139" s="417" t="b">
        <v>0</v>
      </c>
      <c r="G139" s="388"/>
      <c r="H139" s="389"/>
      <c r="I139" s="390"/>
      <c r="J139" s="391"/>
      <c r="K139" s="392"/>
      <c r="L139" s="435"/>
      <c r="M139" s="407"/>
      <c r="N139" s="407"/>
      <c r="O139" s="407"/>
      <c r="P139" s="407"/>
      <c r="Q139" s="407"/>
      <c r="R139" s="407"/>
      <c r="S139" s="407"/>
      <c r="T139" s="407"/>
      <c r="U139" s="407"/>
      <c r="V139" s="407"/>
      <c r="W139" s="407"/>
      <c r="X139" s="407"/>
    </row>
    <row r="140" ht="18.75" customHeight="1">
      <c r="B140" s="386">
        <v>43990.708333333336</v>
      </c>
      <c r="C140" s="395" t="s">
        <v>414</v>
      </c>
      <c r="D140" s="396" t="s">
        <v>227</v>
      </c>
      <c r="E140" s="417" t="b">
        <v>0</v>
      </c>
      <c r="F140" s="417" t="b">
        <v>0</v>
      </c>
      <c r="G140" s="397" t="s">
        <v>118</v>
      </c>
      <c r="H140" s="393" t="s">
        <v>415</v>
      </c>
      <c r="I140" s="465">
        <v>43990.0</v>
      </c>
      <c r="J140" s="345">
        <f t="shared" ref="J140:J145" si="33">I140+3</f>
        <v>43993</v>
      </c>
      <c r="K140" s="394"/>
      <c r="L140" s="435"/>
      <c r="M140" s="407"/>
      <c r="N140" s="407"/>
      <c r="O140" s="407"/>
      <c r="P140" s="407"/>
      <c r="Q140" s="407"/>
      <c r="R140" s="407"/>
      <c r="S140" s="407"/>
      <c r="T140" s="407"/>
      <c r="U140" s="407"/>
      <c r="V140" s="407"/>
      <c r="W140" s="407"/>
      <c r="X140" s="407"/>
    </row>
    <row r="141" ht="18.75" customHeight="1">
      <c r="A141" s="415">
        <v>43991.0</v>
      </c>
      <c r="B141" s="386">
        <v>43991.541666666664</v>
      </c>
      <c r="C141" s="395" t="s">
        <v>416</v>
      </c>
      <c r="D141" s="396" t="s">
        <v>199</v>
      </c>
      <c r="E141" s="417" t="b">
        <v>0</v>
      </c>
      <c r="F141" s="417" t="b">
        <v>0</v>
      </c>
      <c r="G141" s="397" t="s">
        <v>123</v>
      </c>
      <c r="H141" s="393" t="s">
        <v>417</v>
      </c>
      <c r="I141" s="344">
        <f t="shared" ref="I141:I145" si="34">B141</f>
        <v>43991.54167</v>
      </c>
      <c r="J141" s="345">
        <f t="shared" si="33"/>
        <v>43994.54167</v>
      </c>
      <c r="K141" s="394">
        <v>44001.0</v>
      </c>
      <c r="L141" s="435"/>
      <c r="M141" s="407"/>
      <c r="N141" s="407"/>
      <c r="O141" s="407"/>
      <c r="P141" s="407"/>
      <c r="Q141" s="407"/>
      <c r="R141" s="407"/>
      <c r="S141" s="407"/>
      <c r="T141" s="407"/>
      <c r="U141" s="407"/>
      <c r="V141" s="407"/>
      <c r="W141" s="407"/>
      <c r="X141" s="407"/>
    </row>
    <row r="142" ht="18.75" customHeight="1">
      <c r="B142" s="386">
        <v>43991.708333333336</v>
      </c>
      <c r="C142" s="395" t="s">
        <v>418</v>
      </c>
      <c r="D142" s="396" t="s">
        <v>192</v>
      </c>
      <c r="E142" s="417" t="b">
        <v>0</v>
      </c>
      <c r="F142" s="417" t="b">
        <v>0</v>
      </c>
      <c r="G142" s="397" t="s">
        <v>16</v>
      </c>
      <c r="H142" s="393" t="s">
        <v>351</v>
      </c>
      <c r="I142" s="344">
        <f t="shared" si="34"/>
        <v>43991.70833</v>
      </c>
      <c r="J142" s="345">
        <f t="shared" si="33"/>
        <v>43994.70833</v>
      </c>
      <c r="K142" s="394">
        <v>44001.0</v>
      </c>
      <c r="L142" s="435"/>
      <c r="M142" s="407"/>
      <c r="N142" s="407"/>
      <c r="O142" s="407"/>
      <c r="P142" s="407"/>
      <c r="Q142" s="407"/>
      <c r="R142" s="407"/>
      <c r="S142" s="407"/>
      <c r="T142" s="407"/>
      <c r="U142" s="407"/>
      <c r="V142" s="407"/>
      <c r="W142" s="407"/>
      <c r="X142" s="407"/>
    </row>
    <row r="143" ht="18.75" customHeight="1">
      <c r="A143" s="415">
        <v>43992.0</v>
      </c>
      <c r="B143" s="386">
        <v>43992.541666666664</v>
      </c>
      <c r="C143" s="395" t="s">
        <v>419</v>
      </c>
      <c r="D143" s="396" t="s">
        <v>199</v>
      </c>
      <c r="E143" s="417" t="b">
        <v>0</v>
      </c>
      <c r="F143" s="417" t="b">
        <v>0</v>
      </c>
      <c r="G143" s="397" t="s">
        <v>44</v>
      </c>
      <c r="H143" s="393" t="s">
        <v>420</v>
      </c>
      <c r="I143" s="344">
        <f t="shared" si="34"/>
        <v>43992.54167</v>
      </c>
      <c r="J143" s="345">
        <f t="shared" si="33"/>
        <v>43995.54167</v>
      </c>
      <c r="K143" s="394">
        <v>44001.0</v>
      </c>
      <c r="L143" s="435"/>
      <c r="M143" s="407"/>
      <c r="N143" s="407"/>
      <c r="O143" s="407"/>
      <c r="P143" s="407"/>
      <c r="Q143" s="407"/>
      <c r="R143" s="407"/>
      <c r="S143" s="407"/>
      <c r="T143" s="407"/>
      <c r="U143" s="407"/>
      <c r="V143" s="407"/>
      <c r="W143" s="407"/>
      <c r="X143" s="407"/>
    </row>
    <row r="144" ht="18.75" customHeight="1">
      <c r="B144" s="386">
        <v>43992.708333333336</v>
      </c>
      <c r="C144" s="395" t="s">
        <v>421</v>
      </c>
      <c r="D144" s="396" t="s">
        <v>199</v>
      </c>
      <c r="E144" s="417" t="b">
        <v>0</v>
      </c>
      <c r="F144" s="417" t="b">
        <v>0</v>
      </c>
      <c r="G144" s="397" t="s">
        <v>203</v>
      </c>
      <c r="H144" s="393" t="s">
        <v>422</v>
      </c>
      <c r="I144" s="344">
        <f t="shared" si="34"/>
        <v>43992.70833</v>
      </c>
      <c r="J144" s="345">
        <f t="shared" si="33"/>
        <v>43995.70833</v>
      </c>
      <c r="K144" s="394">
        <v>44001.0</v>
      </c>
      <c r="L144" s="435"/>
      <c r="M144" s="407"/>
      <c r="N144" s="407"/>
      <c r="O144" s="407"/>
      <c r="P144" s="407"/>
      <c r="Q144" s="407"/>
      <c r="R144" s="407"/>
      <c r="S144" s="407"/>
      <c r="T144" s="407"/>
      <c r="U144" s="407"/>
      <c r="V144" s="407"/>
      <c r="W144" s="407"/>
      <c r="X144" s="407"/>
    </row>
    <row r="145" ht="18.75" customHeight="1">
      <c r="A145" s="415">
        <v>43993.0</v>
      </c>
      <c r="B145" s="386">
        <v>43993.541666666664</v>
      </c>
      <c r="C145" s="466" t="s">
        <v>423</v>
      </c>
      <c r="D145" s="396" t="s">
        <v>192</v>
      </c>
      <c r="E145" s="417" t="b">
        <v>0</v>
      </c>
      <c r="F145" s="417" t="b">
        <v>0</v>
      </c>
      <c r="G145" s="397" t="s">
        <v>155</v>
      </c>
      <c r="H145" s="393" t="s">
        <v>424</v>
      </c>
      <c r="I145" s="344">
        <f t="shared" si="34"/>
        <v>43993.54167</v>
      </c>
      <c r="J145" s="345">
        <f t="shared" si="33"/>
        <v>43996.54167</v>
      </c>
      <c r="K145" s="394">
        <v>44001.0</v>
      </c>
      <c r="L145" s="435"/>
      <c r="M145" s="407"/>
      <c r="N145" s="407"/>
      <c r="O145" s="407"/>
      <c r="P145" s="407"/>
      <c r="Q145" s="407"/>
      <c r="R145" s="407"/>
      <c r="S145" s="407"/>
      <c r="T145" s="407"/>
      <c r="U145" s="407"/>
      <c r="V145" s="407"/>
      <c r="W145" s="407"/>
      <c r="X145" s="407"/>
    </row>
    <row r="146" ht="18.75" customHeight="1">
      <c r="A146" s="415">
        <v>43994.0</v>
      </c>
      <c r="B146" s="386">
        <v>43994.541666666664</v>
      </c>
      <c r="C146" s="395" t="s">
        <v>425</v>
      </c>
      <c r="D146" s="396" t="s">
        <v>233</v>
      </c>
      <c r="E146" s="417" t="b">
        <v>0</v>
      </c>
      <c r="F146" s="417" t="b">
        <v>0</v>
      </c>
      <c r="G146" s="388"/>
      <c r="H146" s="389"/>
      <c r="I146" s="425"/>
      <c r="J146" s="391"/>
      <c r="K146" s="392"/>
      <c r="L146" s="435"/>
      <c r="M146" s="407"/>
      <c r="N146" s="407"/>
      <c r="O146" s="407"/>
      <c r="P146" s="407"/>
      <c r="Q146" s="407"/>
      <c r="R146" s="407"/>
      <c r="S146" s="407"/>
      <c r="T146" s="407"/>
      <c r="U146" s="407"/>
      <c r="V146" s="407"/>
      <c r="W146" s="407"/>
      <c r="X146" s="407"/>
    </row>
    <row r="147" ht="18.75" customHeight="1">
      <c r="A147" s="415">
        <v>43995.0</v>
      </c>
      <c r="B147" s="386">
        <v>43995.541666666664</v>
      </c>
      <c r="C147" s="395" t="s">
        <v>426</v>
      </c>
      <c r="D147" s="396" t="s">
        <v>199</v>
      </c>
      <c r="E147" s="417" t="b">
        <v>0</v>
      </c>
      <c r="F147" s="417" t="b">
        <v>0</v>
      </c>
      <c r="G147" s="397" t="s">
        <v>123</v>
      </c>
      <c r="H147" s="393" t="s">
        <v>427</v>
      </c>
      <c r="I147" s="344">
        <f t="shared" ref="I147:I148" si="35">B147</f>
        <v>43995.54167</v>
      </c>
      <c r="J147" s="345">
        <f t="shared" ref="J147:J148" si="36">I147+3</f>
        <v>43998.54167</v>
      </c>
      <c r="K147" s="394">
        <v>44001.0</v>
      </c>
      <c r="L147" s="435"/>
      <c r="M147" s="407"/>
      <c r="N147" s="407"/>
      <c r="O147" s="407"/>
      <c r="P147" s="407"/>
      <c r="Q147" s="407"/>
      <c r="R147" s="407"/>
      <c r="S147" s="407"/>
      <c r="T147" s="407"/>
      <c r="U147" s="407"/>
      <c r="V147" s="407"/>
      <c r="W147" s="407"/>
      <c r="X147" s="407"/>
    </row>
    <row r="148" ht="18.75" customHeight="1">
      <c r="A148" s="420">
        <v>43996.0</v>
      </c>
      <c r="B148" s="456">
        <v>43996.541666666664</v>
      </c>
      <c r="C148" s="411" t="s">
        <v>428</v>
      </c>
      <c r="D148" s="449" t="s">
        <v>199</v>
      </c>
      <c r="E148" s="421" t="b">
        <v>0</v>
      </c>
      <c r="F148" s="421" t="b">
        <v>0</v>
      </c>
      <c r="G148" s="397" t="s">
        <v>44</v>
      </c>
      <c r="H148" s="431" t="s">
        <v>429</v>
      </c>
      <c r="I148" s="452">
        <f t="shared" si="35"/>
        <v>43996.54167</v>
      </c>
      <c r="J148" s="461">
        <f t="shared" si="36"/>
        <v>43999.54167</v>
      </c>
      <c r="K148" s="467">
        <v>44001.0</v>
      </c>
      <c r="L148" s="468"/>
      <c r="M148" s="409"/>
      <c r="N148" s="409"/>
      <c r="O148" s="409"/>
      <c r="P148" s="409"/>
      <c r="Q148" s="409"/>
      <c r="R148" s="409"/>
      <c r="S148" s="409"/>
      <c r="T148" s="409"/>
      <c r="U148" s="409"/>
      <c r="V148" s="409"/>
      <c r="W148" s="409"/>
      <c r="X148" s="409"/>
    </row>
    <row r="149" ht="18.75" customHeight="1">
      <c r="A149" s="415">
        <v>43997.0</v>
      </c>
      <c r="B149" s="469">
        <v>43997.541666666664</v>
      </c>
      <c r="C149" s="470" t="s">
        <v>425</v>
      </c>
      <c r="D149" s="471" t="s">
        <v>242</v>
      </c>
      <c r="E149" s="417" t="b">
        <v>0</v>
      </c>
      <c r="F149" s="417" t="b">
        <v>0</v>
      </c>
      <c r="G149" s="472"/>
      <c r="H149" s="389"/>
      <c r="I149" s="473"/>
      <c r="J149" s="474"/>
      <c r="K149" s="475"/>
      <c r="L149" s="476"/>
      <c r="M149" s="477"/>
      <c r="N149" s="477"/>
      <c r="O149" s="477"/>
      <c r="P149" s="477"/>
      <c r="Q149" s="477"/>
      <c r="R149" s="477"/>
      <c r="S149" s="477"/>
      <c r="T149" s="477"/>
      <c r="U149" s="477"/>
      <c r="V149" s="477"/>
      <c r="W149" s="477"/>
      <c r="X149" s="477"/>
    </row>
    <row r="150" ht="18.75" customHeight="1">
      <c r="A150" s="415">
        <v>43998.0</v>
      </c>
      <c r="B150" s="386">
        <v>43998.541666666664</v>
      </c>
      <c r="C150" s="395" t="s">
        <v>430</v>
      </c>
      <c r="D150" s="396" t="s">
        <v>199</v>
      </c>
      <c r="E150" s="417" t="b">
        <v>0</v>
      </c>
      <c r="F150" s="417" t="b">
        <v>0</v>
      </c>
      <c r="G150" s="397" t="s">
        <v>123</v>
      </c>
      <c r="H150" s="393" t="s">
        <v>431</v>
      </c>
      <c r="I150" s="478">
        <f t="shared" ref="I150:I151" si="37">B150</f>
        <v>43998.54167</v>
      </c>
      <c r="J150" s="479">
        <f t="shared" ref="J150:J151" si="38">I150+3</f>
        <v>44001.54167</v>
      </c>
      <c r="K150" s="480">
        <v>44008.0</v>
      </c>
      <c r="L150" s="481"/>
      <c r="M150" s="407"/>
      <c r="N150" s="407"/>
      <c r="O150" s="407"/>
      <c r="P150" s="407"/>
      <c r="Q150" s="407"/>
      <c r="R150" s="407"/>
      <c r="S150" s="407"/>
      <c r="T150" s="407"/>
      <c r="U150" s="407"/>
      <c r="V150" s="407"/>
      <c r="W150" s="407"/>
      <c r="X150" s="407"/>
    </row>
    <row r="151" ht="18.75" customHeight="1">
      <c r="A151" s="415">
        <v>43999.0</v>
      </c>
      <c r="B151" s="386">
        <v>43999.541666666664</v>
      </c>
      <c r="C151" s="395" t="s">
        <v>432</v>
      </c>
      <c r="D151" s="396" t="s">
        <v>199</v>
      </c>
      <c r="E151" s="417" t="b">
        <v>0</v>
      </c>
      <c r="F151" s="417" t="b">
        <v>0</v>
      </c>
      <c r="G151" s="397" t="s">
        <v>44</v>
      </c>
      <c r="H151" s="393" t="s">
        <v>433</v>
      </c>
      <c r="I151" s="478">
        <f t="shared" si="37"/>
        <v>43999.54167</v>
      </c>
      <c r="J151" s="479">
        <f t="shared" si="38"/>
        <v>44002.54167</v>
      </c>
      <c r="K151" s="480">
        <v>44008.0</v>
      </c>
      <c r="L151" s="481"/>
      <c r="M151" s="407"/>
      <c r="N151" s="407"/>
      <c r="O151" s="407"/>
      <c r="P151" s="407"/>
      <c r="Q151" s="407"/>
      <c r="R151" s="407"/>
      <c r="S151" s="407"/>
      <c r="T151" s="407"/>
      <c r="U151" s="407"/>
      <c r="V151" s="407"/>
      <c r="W151" s="407"/>
      <c r="X151" s="407"/>
    </row>
    <row r="152" ht="18.75" customHeight="1">
      <c r="A152" s="415">
        <v>44000.0</v>
      </c>
      <c r="B152" s="386">
        <v>44000.541666666664</v>
      </c>
      <c r="C152" s="482"/>
      <c r="D152" s="483" t="s">
        <v>56</v>
      </c>
      <c r="E152" s="417" t="b">
        <v>0</v>
      </c>
      <c r="F152" s="417" t="b">
        <v>0</v>
      </c>
      <c r="G152" s="388"/>
      <c r="H152" s="393"/>
      <c r="I152" s="484"/>
      <c r="J152" s="485"/>
      <c r="K152" s="486"/>
      <c r="L152" s="481"/>
      <c r="M152" s="407"/>
      <c r="N152" s="407"/>
      <c r="O152" s="407"/>
      <c r="P152" s="407"/>
      <c r="Q152" s="407"/>
      <c r="R152" s="407"/>
      <c r="S152" s="407"/>
      <c r="T152" s="407"/>
      <c r="U152" s="407"/>
      <c r="V152" s="407"/>
      <c r="W152" s="407"/>
      <c r="X152" s="407"/>
    </row>
    <row r="153" ht="18.75" customHeight="1">
      <c r="A153" s="415">
        <v>44001.0</v>
      </c>
      <c r="B153" s="386">
        <v>44001.541666666664</v>
      </c>
      <c r="C153" s="395" t="s">
        <v>434</v>
      </c>
      <c r="D153" s="396" t="s">
        <v>233</v>
      </c>
      <c r="E153" s="417" t="b">
        <v>0</v>
      </c>
      <c r="F153" s="417" t="b">
        <v>0</v>
      </c>
      <c r="G153" s="388"/>
      <c r="H153" s="393"/>
      <c r="I153" s="484"/>
      <c r="J153" s="485"/>
      <c r="K153" s="486"/>
      <c r="L153" s="481"/>
      <c r="M153" s="407"/>
      <c r="N153" s="407"/>
      <c r="O153" s="407"/>
      <c r="P153" s="407"/>
      <c r="Q153" s="407"/>
      <c r="R153" s="407"/>
      <c r="S153" s="407"/>
      <c r="T153" s="407"/>
      <c r="U153" s="407"/>
      <c r="V153" s="407"/>
      <c r="W153" s="407"/>
      <c r="X153" s="407"/>
    </row>
    <row r="154" ht="18.75" customHeight="1">
      <c r="A154" s="415">
        <v>44002.0</v>
      </c>
      <c r="B154" s="386">
        <v>44002.541666666664</v>
      </c>
      <c r="C154" s="395" t="s">
        <v>435</v>
      </c>
      <c r="D154" s="396" t="s">
        <v>199</v>
      </c>
      <c r="E154" s="417" t="b">
        <v>0</v>
      </c>
      <c r="F154" s="417" t="b">
        <v>0</v>
      </c>
      <c r="G154" s="397" t="s">
        <v>123</v>
      </c>
      <c r="H154" s="393" t="s">
        <v>436</v>
      </c>
      <c r="I154" s="344">
        <f t="shared" ref="I154:I155" si="39">B154</f>
        <v>44002.54167</v>
      </c>
      <c r="J154" s="345">
        <f t="shared" ref="J154:J155" si="40">I154+3</f>
        <v>44005.54167</v>
      </c>
      <c r="K154" s="394">
        <v>44008.0</v>
      </c>
      <c r="L154" s="481"/>
      <c r="M154" s="407"/>
      <c r="N154" s="407"/>
      <c r="O154" s="407"/>
      <c r="P154" s="407"/>
      <c r="Q154" s="407"/>
      <c r="R154" s="407"/>
      <c r="S154" s="407"/>
      <c r="T154" s="407"/>
      <c r="U154" s="407"/>
      <c r="V154" s="407"/>
      <c r="W154" s="407"/>
      <c r="X154" s="407"/>
    </row>
    <row r="155" ht="18.75" customHeight="1">
      <c r="A155" s="420">
        <v>44003.0</v>
      </c>
      <c r="B155" s="456">
        <v>44003.541666666664</v>
      </c>
      <c r="C155" s="411" t="s">
        <v>437</v>
      </c>
      <c r="D155" s="449" t="s">
        <v>199</v>
      </c>
      <c r="E155" s="421" t="b">
        <v>0</v>
      </c>
      <c r="F155" s="421" t="b">
        <v>0</v>
      </c>
      <c r="G155" s="430" t="s">
        <v>44</v>
      </c>
      <c r="H155" s="460" t="s">
        <v>438</v>
      </c>
      <c r="I155" s="452">
        <f t="shared" si="39"/>
        <v>44003.54167</v>
      </c>
      <c r="J155" s="461">
        <f t="shared" si="40"/>
        <v>44006.54167</v>
      </c>
      <c r="K155" s="467">
        <v>44008.0</v>
      </c>
      <c r="L155" s="487"/>
      <c r="M155" s="409"/>
      <c r="N155" s="409"/>
      <c r="O155" s="409"/>
      <c r="P155" s="409"/>
      <c r="Q155" s="409"/>
      <c r="R155" s="409"/>
      <c r="S155" s="409"/>
      <c r="T155" s="409"/>
      <c r="U155" s="409"/>
      <c r="V155" s="409"/>
      <c r="W155" s="409"/>
      <c r="X155" s="409"/>
    </row>
    <row r="156" hidden="1">
      <c r="A156" s="348"/>
      <c r="B156" s="488"/>
      <c r="C156" s="309"/>
      <c r="D156" s="309"/>
      <c r="E156" s="489"/>
      <c r="F156" s="309"/>
      <c r="G156" s="407"/>
      <c r="H156" s="490"/>
      <c r="I156" s="491"/>
      <c r="J156" s="492"/>
      <c r="K156" s="493"/>
      <c r="L156" s="494"/>
      <c r="M156" s="309"/>
      <c r="N156" s="309"/>
      <c r="O156" s="309"/>
      <c r="P156" s="309"/>
      <c r="Q156" s="309"/>
      <c r="R156" s="309"/>
      <c r="S156" s="309"/>
      <c r="T156" s="309"/>
      <c r="U156" s="309"/>
      <c r="V156" s="309"/>
      <c r="W156" s="309"/>
      <c r="X156" s="309"/>
    </row>
    <row r="157" hidden="1">
      <c r="A157" s="348"/>
      <c r="B157" s="488"/>
      <c r="C157" s="309"/>
      <c r="D157" s="309"/>
      <c r="E157" s="489"/>
      <c r="F157" s="309"/>
      <c r="G157" s="407"/>
      <c r="H157" s="490"/>
      <c r="I157" s="491"/>
      <c r="J157" s="492"/>
      <c r="K157" s="493"/>
      <c r="L157" s="494"/>
      <c r="M157" s="309"/>
      <c r="N157" s="309"/>
      <c r="O157" s="309"/>
      <c r="P157" s="309"/>
      <c r="Q157" s="309"/>
      <c r="R157" s="309"/>
      <c r="S157" s="309"/>
      <c r="T157" s="309"/>
      <c r="U157" s="309"/>
      <c r="V157" s="309"/>
      <c r="W157" s="309"/>
      <c r="X157" s="309"/>
    </row>
    <row r="158" hidden="1">
      <c r="A158" s="348"/>
      <c r="B158" s="488"/>
      <c r="C158" s="309"/>
      <c r="D158" s="309"/>
      <c r="E158" s="489"/>
      <c r="F158" s="309"/>
      <c r="G158" s="407"/>
      <c r="H158" s="490"/>
      <c r="I158" s="491"/>
      <c r="J158" s="492"/>
      <c r="K158" s="493"/>
      <c r="L158" s="494"/>
      <c r="M158" s="309"/>
      <c r="N158" s="309"/>
      <c r="O158" s="309"/>
      <c r="P158" s="309"/>
      <c r="Q158" s="309"/>
      <c r="R158" s="309"/>
      <c r="S158" s="309"/>
      <c r="T158" s="309"/>
      <c r="U158" s="309"/>
      <c r="V158" s="309"/>
      <c r="W158" s="309"/>
      <c r="X158" s="309"/>
    </row>
    <row r="159" hidden="1">
      <c r="A159" s="348"/>
      <c r="B159" s="488"/>
      <c r="C159" s="309"/>
      <c r="D159" s="309"/>
      <c r="E159" s="489"/>
      <c r="F159" s="309"/>
      <c r="G159" s="407"/>
      <c r="H159" s="490"/>
      <c r="I159" s="491"/>
      <c r="J159" s="492"/>
      <c r="K159" s="493"/>
      <c r="L159" s="494"/>
      <c r="M159" s="309"/>
      <c r="N159" s="309"/>
      <c r="O159" s="309"/>
      <c r="P159" s="309"/>
      <c r="Q159" s="309"/>
      <c r="R159" s="309"/>
      <c r="S159" s="309"/>
      <c r="T159" s="309"/>
      <c r="U159" s="309"/>
      <c r="V159" s="309"/>
      <c r="W159" s="309"/>
      <c r="X159" s="309"/>
    </row>
    <row r="160" hidden="1">
      <c r="A160" s="348"/>
      <c r="B160" s="488"/>
      <c r="C160" s="309"/>
      <c r="D160" s="309"/>
      <c r="E160" s="489"/>
      <c r="F160" s="309"/>
      <c r="G160" s="407"/>
      <c r="H160" s="490"/>
      <c r="I160" s="491"/>
      <c r="J160" s="492"/>
      <c r="K160" s="493"/>
      <c r="L160" s="494"/>
      <c r="M160" s="309"/>
      <c r="N160" s="309"/>
      <c r="O160" s="309"/>
      <c r="P160" s="309"/>
      <c r="Q160" s="309"/>
      <c r="R160" s="309"/>
      <c r="S160" s="309"/>
      <c r="T160" s="309"/>
      <c r="U160" s="309"/>
      <c r="V160" s="309"/>
      <c r="W160" s="309"/>
      <c r="X160" s="309"/>
    </row>
    <row r="161" hidden="1">
      <c r="A161" s="348"/>
      <c r="B161" s="488"/>
      <c r="C161" s="309"/>
      <c r="D161" s="309"/>
      <c r="E161" s="489"/>
      <c r="F161" s="309"/>
      <c r="G161" s="407"/>
      <c r="H161" s="490"/>
      <c r="I161" s="491"/>
      <c r="J161" s="492"/>
      <c r="K161" s="493"/>
      <c r="L161" s="494"/>
      <c r="M161" s="309"/>
      <c r="N161" s="309"/>
      <c r="O161" s="309"/>
      <c r="P161" s="309"/>
      <c r="Q161" s="309"/>
      <c r="R161" s="309"/>
      <c r="S161" s="309"/>
      <c r="T161" s="309"/>
      <c r="U161" s="309"/>
      <c r="V161" s="309"/>
      <c r="W161" s="309"/>
      <c r="X161" s="309"/>
    </row>
    <row r="162" hidden="1">
      <c r="A162" s="348"/>
      <c r="B162" s="488"/>
      <c r="C162" s="309"/>
      <c r="D162" s="309"/>
      <c r="E162" s="489"/>
      <c r="F162" s="309"/>
      <c r="G162" s="407"/>
      <c r="H162" s="490"/>
      <c r="I162" s="491"/>
      <c r="J162" s="492"/>
      <c r="K162" s="493"/>
      <c r="L162" s="494"/>
      <c r="M162" s="309"/>
      <c r="N162" s="309"/>
      <c r="O162" s="309"/>
      <c r="P162" s="309"/>
      <c r="Q162" s="309"/>
      <c r="R162" s="309"/>
      <c r="S162" s="309"/>
      <c r="T162" s="309"/>
      <c r="U162" s="309"/>
      <c r="V162" s="309"/>
      <c r="W162" s="309"/>
      <c r="X162" s="309"/>
    </row>
    <row r="163" hidden="1">
      <c r="A163" s="348"/>
      <c r="B163" s="488"/>
      <c r="C163" s="309"/>
      <c r="D163" s="309"/>
      <c r="E163" s="489"/>
      <c r="F163" s="309"/>
      <c r="G163" s="407"/>
      <c r="H163" s="490"/>
      <c r="I163" s="491"/>
      <c r="J163" s="492"/>
      <c r="K163" s="493"/>
      <c r="L163" s="494"/>
      <c r="M163" s="309"/>
      <c r="N163" s="309"/>
      <c r="O163" s="309"/>
      <c r="P163" s="309"/>
      <c r="Q163" s="309"/>
      <c r="R163" s="309"/>
      <c r="S163" s="309"/>
      <c r="T163" s="309"/>
      <c r="U163" s="309"/>
      <c r="V163" s="309"/>
      <c r="W163" s="309"/>
      <c r="X163" s="309"/>
    </row>
    <row r="164" hidden="1">
      <c r="A164" s="348"/>
      <c r="B164" s="488"/>
      <c r="C164" s="309"/>
      <c r="D164" s="309"/>
      <c r="E164" s="489"/>
      <c r="F164" s="309"/>
      <c r="G164" s="407"/>
      <c r="H164" s="490"/>
      <c r="I164" s="491"/>
      <c r="J164" s="492"/>
      <c r="K164" s="493"/>
      <c r="L164" s="494"/>
      <c r="M164" s="309"/>
      <c r="N164" s="309"/>
      <c r="O164" s="309"/>
      <c r="P164" s="309"/>
      <c r="Q164" s="309"/>
      <c r="R164" s="309"/>
      <c r="S164" s="309"/>
      <c r="T164" s="309"/>
      <c r="U164" s="309"/>
      <c r="V164" s="309"/>
      <c r="W164" s="309"/>
      <c r="X164" s="309"/>
    </row>
    <row r="165" hidden="1">
      <c r="A165" s="348"/>
      <c r="B165" s="488"/>
      <c r="C165" s="309"/>
      <c r="D165" s="309"/>
      <c r="E165" s="489"/>
      <c r="F165" s="309"/>
      <c r="G165" s="407"/>
      <c r="H165" s="490"/>
      <c r="I165" s="491"/>
      <c r="J165" s="492"/>
      <c r="K165" s="493"/>
      <c r="L165" s="494"/>
      <c r="M165" s="309"/>
      <c r="N165" s="309"/>
      <c r="O165" s="309"/>
      <c r="P165" s="309"/>
      <c r="Q165" s="309"/>
      <c r="R165" s="309"/>
      <c r="S165" s="309"/>
      <c r="T165" s="309"/>
      <c r="U165" s="309"/>
      <c r="V165" s="309"/>
      <c r="W165" s="309"/>
      <c r="X165" s="309"/>
    </row>
    <row r="166" hidden="1">
      <c r="A166" s="348"/>
      <c r="B166" s="488"/>
      <c r="C166" s="309"/>
      <c r="D166" s="309"/>
      <c r="E166" s="489"/>
      <c r="F166" s="309"/>
      <c r="G166" s="407"/>
      <c r="H166" s="490"/>
      <c r="I166" s="491"/>
      <c r="J166" s="492"/>
      <c r="K166" s="493"/>
      <c r="L166" s="494"/>
      <c r="M166" s="309"/>
      <c r="N166" s="309"/>
      <c r="O166" s="309"/>
      <c r="P166" s="309"/>
      <c r="Q166" s="309"/>
      <c r="R166" s="309"/>
      <c r="S166" s="309"/>
      <c r="T166" s="309"/>
      <c r="U166" s="309"/>
      <c r="V166" s="309"/>
      <c r="W166" s="309"/>
      <c r="X166" s="309"/>
    </row>
    <row r="167" hidden="1">
      <c r="A167" s="348"/>
      <c r="B167" s="488"/>
      <c r="C167" s="309"/>
      <c r="D167" s="309"/>
      <c r="E167" s="489"/>
      <c r="F167" s="309"/>
      <c r="G167" s="407"/>
      <c r="H167" s="490"/>
      <c r="I167" s="491"/>
      <c r="J167" s="492"/>
      <c r="K167" s="493"/>
      <c r="L167" s="494"/>
      <c r="M167" s="309"/>
      <c r="N167" s="309"/>
      <c r="O167" s="309"/>
      <c r="P167" s="309"/>
      <c r="Q167" s="309"/>
      <c r="R167" s="309"/>
      <c r="S167" s="309"/>
      <c r="T167" s="309"/>
      <c r="U167" s="309"/>
      <c r="V167" s="309"/>
      <c r="W167" s="309"/>
      <c r="X167" s="309"/>
    </row>
    <row r="168" hidden="1">
      <c r="A168" s="348"/>
      <c r="B168" s="488"/>
      <c r="C168" s="309"/>
      <c r="D168" s="309"/>
      <c r="E168" s="489"/>
      <c r="F168" s="309"/>
      <c r="G168" s="407"/>
      <c r="H168" s="490"/>
      <c r="I168" s="491"/>
      <c r="J168" s="492"/>
      <c r="K168" s="493"/>
      <c r="L168" s="494"/>
      <c r="M168" s="309"/>
      <c r="N168" s="309"/>
      <c r="O168" s="309"/>
      <c r="P168" s="309"/>
      <c r="Q168" s="309"/>
      <c r="R168" s="309"/>
      <c r="S168" s="309"/>
      <c r="T168" s="309"/>
      <c r="U168" s="309"/>
      <c r="V168" s="309"/>
      <c r="W168" s="309"/>
      <c r="X168" s="309"/>
    </row>
    <row r="169" hidden="1">
      <c r="A169" s="348"/>
      <c r="B169" s="488"/>
      <c r="C169" s="309"/>
      <c r="D169" s="309"/>
      <c r="E169" s="489"/>
      <c r="F169" s="309"/>
      <c r="G169" s="407"/>
      <c r="H169" s="490"/>
      <c r="I169" s="491"/>
      <c r="J169" s="492"/>
      <c r="K169" s="493"/>
      <c r="L169" s="494"/>
      <c r="M169" s="309"/>
      <c r="N169" s="309"/>
      <c r="O169" s="309"/>
      <c r="P169" s="309"/>
      <c r="Q169" s="309"/>
      <c r="R169" s="309"/>
      <c r="S169" s="309"/>
      <c r="T169" s="309"/>
      <c r="U169" s="309"/>
      <c r="V169" s="309"/>
      <c r="W169" s="309"/>
      <c r="X169" s="309"/>
    </row>
    <row r="170" hidden="1">
      <c r="A170" s="348"/>
      <c r="B170" s="488"/>
      <c r="C170" s="309"/>
      <c r="D170" s="309"/>
      <c r="E170" s="489"/>
      <c r="F170" s="309"/>
      <c r="G170" s="407"/>
      <c r="H170" s="490"/>
      <c r="I170" s="491"/>
      <c r="J170" s="492"/>
      <c r="K170" s="493"/>
      <c r="L170" s="494"/>
      <c r="M170" s="309"/>
      <c r="N170" s="309"/>
      <c r="O170" s="309"/>
      <c r="P170" s="309"/>
      <c r="Q170" s="309"/>
      <c r="R170" s="309"/>
      <c r="S170" s="309"/>
      <c r="T170" s="309"/>
      <c r="U170" s="309"/>
      <c r="V170" s="309"/>
      <c r="W170" s="309"/>
      <c r="X170" s="309"/>
    </row>
    <row r="171" hidden="1">
      <c r="A171" s="348"/>
      <c r="B171" s="488"/>
      <c r="C171" s="309"/>
      <c r="D171" s="309"/>
      <c r="E171" s="489"/>
      <c r="F171" s="309"/>
      <c r="G171" s="407"/>
      <c r="H171" s="490"/>
      <c r="I171" s="491"/>
      <c r="J171" s="492"/>
      <c r="K171" s="493"/>
      <c r="L171" s="494"/>
      <c r="M171" s="309"/>
      <c r="N171" s="309"/>
      <c r="O171" s="309"/>
      <c r="P171" s="309"/>
      <c r="Q171" s="309"/>
      <c r="R171" s="309"/>
      <c r="S171" s="309"/>
      <c r="T171" s="309"/>
      <c r="U171" s="309"/>
      <c r="V171" s="309"/>
      <c r="W171" s="309"/>
      <c r="X171" s="309"/>
    </row>
    <row r="172" hidden="1">
      <c r="A172" s="348"/>
      <c r="B172" s="488"/>
      <c r="C172" s="309"/>
      <c r="D172" s="309"/>
      <c r="E172" s="489"/>
      <c r="F172" s="309"/>
      <c r="G172" s="407"/>
      <c r="H172" s="490"/>
      <c r="I172" s="491"/>
      <c r="J172" s="492"/>
      <c r="K172" s="493"/>
      <c r="L172" s="494"/>
      <c r="M172" s="309"/>
      <c r="N172" s="309"/>
      <c r="O172" s="309"/>
      <c r="P172" s="309"/>
      <c r="Q172" s="309"/>
      <c r="R172" s="309"/>
      <c r="S172" s="309"/>
      <c r="T172" s="309"/>
      <c r="U172" s="309"/>
      <c r="V172" s="309"/>
      <c r="W172" s="309"/>
      <c r="X172" s="309"/>
    </row>
    <row r="173" hidden="1">
      <c r="A173" s="348"/>
      <c r="B173" s="488"/>
      <c r="C173" s="309"/>
      <c r="D173" s="309"/>
      <c r="E173" s="489"/>
      <c r="F173" s="309"/>
      <c r="G173" s="407"/>
      <c r="H173" s="490"/>
      <c r="I173" s="491"/>
      <c r="J173" s="492"/>
      <c r="K173" s="493"/>
      <c r="L173" s="494"/>
      <c r="M173" s="309"/>
      <c r="N173" s="309"/>
      <c r="O173" s="309"/>
      <c r="P173" s="309"/>
      <c r="Q173" s="309"/>
      <c r="R173" s="309"/>
      <c r="S173" s="309"/>
      <c r="T173" s="309"/>
      <c r="U173" s="309"/>
      <c r="V173" s="309"/>
      <c r="W173" s="309"/>
      <c r="X173" s="309"/>
    </row>
    <row r="174" hidden="1">
      <c r="A174" s="348"/>
      <c r="B174" s="488"/>
      <c r="C174" s="309"/>
      <c r="D174" s="309"/>
      <c r="E174" s="489"/>
      <c r="F174" s="309"/>
      <c r="G174" s="407"/>
      <c r="H174" s="490"/>
      <c r="I174" s="491"/>
      <c r="J174" s="492"/>
      <c r="K174" s="493"/>
      <c r="L174" s="494"/>
      <c r="M174" s="309"/>
      <c r="N174" s="309"/>
      <c r="O174" s="309"/>
      <c r="P174" s="309"/>
      <c r="Q174" s="309"/>
      <c r="R174" s="309"/>
      <c r="S174" s="309"/>
      <c r="T174" s="309"/>
      <c r="U174" s="309"/>
      <c r="V174" s="309"/>
      <c r="W174" s="309"/>
      <c r="X174" s="309"/>
    </row>
    <row r="175" hidden="1">
      <c r="A175" s="348"/>
      <c r="B175" s="488"/>
      <c r="C175" s="309"/>
      <c r="D175" s="309"/>
      <c r="E175" s="489"/>
      <c r="F175" s="309"/>
      <c r="G175" s="407"/>
      <c r="H175" s="490"/>
      <c r="I175" s="491"/>
      <c r="J175" s="492"/>
      <c r="K175" s="493"/>
      <c r="L175" s="494"/>
      <c r="M175" s="309"/>
      <c r="N175" s="309"/>
      <c r="O175" s="309"/>
      <c r="P175" s="309"/>
      <c r="Q175" s="309"/>
      <c r="R175" s="309"/>
      <c r="S175" s="309"/>
      <c r="T175" s="309"/>
      <c r="U175" s="309"/>
      <c r="V175" s="309"/>
      <c r="W175" s="309"/>
      <c r="X175" s="309"/>
    </row>
    <row r="176" hidden="1">
      <c r="A176" s="348"/>
      <c r="B176" s="488"/>
      <c r="C176" s="309"/>
      <c r="D176" s="309"/>
      <c r="E176" s="489"/>
      <c r="F176" s="309"/>
      <c r="G176" s="407"/>
      <c r="H176" s="490"/>
      <c r="I176" s="491"/>
      <c r="J176" s="492"/>
      <c r="K176" s="493"/>
      <c r="L176" s="494"/>
      <c r="M176" s="309"/>
      <c r="N176" s="309"/>
      <c r="O176" s="309"/>
      <c r="P176" s="309"/>
      <c r="Q176" s="309"/>
      <c r="R176" s="309"/>
      <c r="S176" s="309"/>
      <c r="T176" s="309"/>
      <c r="U176" s="309"/>
      <c r="V176" s="309"/>
      <c r="W176" s="309"/>
      <c r="X176" s="309"/>
    </row>
    <row r="177" hidden="1">
      <c r="A177" s="348"/>
      <c r="B177" s="488"/>
      <c r="C177" s="309"/>
      <c r="D177" s="309"/>
      <c r="E177" s="489"/>
      <c r="F177" s="309"/>
      <c r="G177" s="407"/>
      <c r="H177" s="490"/>
      <c r="I177" s="491"/>
      <c r="J177" s="492"/>
      <c r="K177" s="493"/>
      <c r="L177" s="494"/>
      <c r="M177" s="309"/>
      <c r="N177" s="309"/>
      <c r="O177" s="309"/>
      <c r="P177" s="309"/>
      <c r="Q177" s="309"/>
      <c r="R177" s="309"/>
      <c r="S177" s="309"/>
      <c r="T177" s="309"/>
      <c r="U177" s="309"/>
      <c r="V177" s="309"/>
      <c r="W177" s="309"/>
      <c r="X177" s="309"/>
    </row>
    <row r="178" hidden="1">
      <c r="A178" s="348"/>
      <c r="B178" s="488"/>
      <c r="C178" s="309"/>
      <c r="D178" s="309"/>
      <c r="E178" s="489"/>
      <c r="F178" s="309"/>
      <c r="G178" s="407"/>
      <c r="H178" s="490"/>
      <c r="I178" s="491"/>
      <c r="J178" s="492"/>
      <c r="K178" s="493"/>
      <c r="L178" s="494"/>
      <c r="M178" s="309"/>
      <c r="N178" s="309"/>
      <c r="O178" s="309"/>
      <c r="P178" s="309"/>
      <c r="Q178" s="309"/>
      <c r="R178" s="309"/>
      <c r="S178" s="309"/>
      <c r="T178" s="309"/>
      <c r="U178" s="309"/>
      <c r="V178" s="309"/>
      <c r="W178" s="309"/>
      <c r="X178" s="309"/>
    </row>
    <row r="179" hidden="1">
      <c r="A179" s="348"/>
      <c r="B179" s="488"/>
      <c r="C179" s="309"/>
      <c r="D179" s="309"/>
      <c r="E179" s="489"/>
      <c r="F179" s="309"/>
      <c r="G179" s="407"/>
      <c r="H179" s="490"/>
      <c r="I179" s="491"/>
      <c r="J179" s="492"/>
      <c r="K179" s="493"/>
      <c r="L179" s="494"/>
      <c r="M179" s="309"/>
      <c r="N179" s="309"/>
      <c r="O179" s="309"/>
      <c r="P179" s="309"/>
      <c r="Q179" s="309"/>
      <c r="R179" s="309"/>
      <c r="S179" s="309"/>
      <c r="T179" s="309"/>
      <c r="U179" s="309"/>
      <c r="V179" s="309"/>
      <c r="W179" s="309"/>
      <c r="X179" s="309"/>
    </row>
    <row r="180" hidden="1">
      <c r="A180" s="348"/>
      <c r="B180" s="488"/>
      <c r="C180" s="309"/>
      <c r="D180" s="309"/>
      <c r="E180" s="489"/>
      <c r="F180" s="309"/>
      <c r="G180" s="407"/>
      <c r="H180" s="490"/>
      <c r="I180" s="491"/>
      <c r="J180" s="492"/>
      <c r="K180" s="493"/>
      <c r="L180" s="494"/>
      <c r="M180" s="309"/>
      <c r="N180" s="309"/>
      <c r="O180" s="309"/>
      <c r="P180" s="309"/>
      <c r="Q180" s="309"/>
      <c r="R180" s="309"/>
      <c r="S180" s="309"/>
      <c r="T180" s="309"/>
      <c r="U180" s="309"/>
      <c r="V180" s="309"/>
      <c r="W180" s="309"/>
      <c r="X180" s="309"/>
    </row>
    <row r="181" hidden="1">
      <c r="A181" s="348"/>
      <c r="B181" s="488"/>
      <c r="C181" s="309"/>
      <c r="D181" s="309"/>
      <c r="E181" s="489"/>
      <c r="F181" s="309"/>
      <c r="G181" s="407"/>
      <c r="H181" s="490"/>
      <c r="I181" s="491"/>
      <c r="J181" s="492"/>
      <c r="K181" s="493"/>
      <c r="L181" s="494"/>
      <c r="M181" s="309"/>
      <c r="N181" s="309"/>
      <c r="O181" s="309"/>
      <c r="P181" s="309"/>
      <c r="Q181" s="309"/>
      <c r="R181" s="309"/>
      <c r="S181" s="309"/>
      <c r="T181" s="309"/>
      <c r="U181" s="309"/>
      <c r="V181" s="309"/>
      <c r="W181" s="309"/>
      <c r="X181" s="309"/>
    </row>
    <row r="182" hidden="1">
      <c r="A182" s="348"/>
      <c r="B182" s="488"/>
      <c r="C182" s="309"/>
      <c r="D182" s="309"/>
      <c r="E182" s="489"/>
      <c r="F182" s="309"/>
      <c r="G182" s="407"/>
      <c r="H182" s="490"/>
      <c r="I182" s="491"/>
      <c r="J182" s="492"/>
      <c r="K182" s="493"/>
      <c r="L182" s="494"/>
      <c r="M182" s="309"/>
      <c r="N182" s="309"/>
      <c r="O182" s="309"/>
      <c r="P182" s="309"/>
      <c r="Q182" s="309"/>
      <c r="R182" s="309"/>
      <c r="S182" s="309"/>
      <c r="T182" s="309"/>
      <c r="U182" s="309"/>
      <c r="V182" s="309"/>
      <c r="W182" s="309"/>
      <c r="X182" s="309"/>
    </row>
    <row r="183" hidden="1">
      <c r="A183" s="348"/>
      <c r="B183" s="488"/>
      <c r="C183" s="309"/>
      <c r="D183" s="309"/>
      <c r="E183" s="489"/>
      <c r="F183" s="309"/>
      <c r="G183" s="407"/>
      <c r="H183" s="490"/>
      <c r="I183" s="491"/>
      <c r="J183" s="492"/>
      <c r="K183" s="493"/>
      <c r="L183" s="494"/>
      <c r="M183" s="309"/>
      <c r="N183" s="309"/>
      <c r="O183" s="309"/>
      <c r="P183" s="309"/>
      <c r="Q183" s="309"/>
      <c r="R183" s="309"/>
      <c r="S183" s="309"/>
      <c r="T183" s="309"/>
      <c r="U183" s="309"/>
      <c r="V183" s="309"/>
      <c r="W183" s="309"/>
      <c r="X183" s="309"/>
    </row>
    <row r="184" hidden="1">
      <c r="A184" s="348"/>
      <c r="B184" s="488"/>
      <c r="C184" s="309"/>
      <c r="D184" s="309"/>
      <c r="E184" s="489"/>
      <c r="F184" s="309"/>
      <c r="G184" s="407"/>
      <c r="H184" s="490"/>
      <c r="I184" s="491"/>
      <c r="J184" s="492"/>
      <c r="K184" s="493"/>
      <c r="L184" s="494"/>
      <c r="M184" s="309"/>
      <c r="N184" s="309"/>
      <c r="O184" s="309"/>
      <c r="P184" s="309"/>
      <c r="Q184" s="309"/>
      <c r="R184" s="309"/>
      <c r="S184" s="309"/>
      <c r="T184" s="309"/>
      <c r="U184" s="309"/>
      <c r="V184" s="309"/>
      <c r="W184" s="309"/>
      <c r="X184" s="309"/>
    </row>
    <row r="185" hidden="1">
      <c r="A185" s="348"/>
      <c r="B185" s="488"/>
      <c r="C185" s="309"/>
      <c r="D185" s="309"/>
      <c r="E185" s="489"/>
      <c r="F185" s="309"/>
      <c r="G185" s="407"/>
      <c r="H185" s="490"/>
      <c r="I185" s="491"/>
      <c r="J185" s="492"/>
      <c r="K185" s="493"/>
      <c r="L185" s="494"/>
      <c r="M185" s="309"/>
      <c r="N185" s="309"/>
      <c r="O185" s="309"/>
      <c r="P185" s="309"/>
      <c r="Q185" s="309"/>
      <c r="R185" s="309"/>
      <c r="S185" s="309"/>
      <c r="T185" s="309"/>
      <c r="U185" s="309"/>
      <c r="V185" s="309"/>
      <c r="W185" s="309"/>
      <c r="X185" s="309"/>
    </row>
    <row r="186" hidden="1">
      <c r="A186" s="348"/>
      <c r="B186" s="488"/>
      <c r="C186" s="309"/>
      <c r="D186" s="309"/>
      <c r="E186" s="489"/>
      <c r="F186" s="309"/>
      <c r="G186" s="407"/>
      <c r="H186" s="490"/>
      <c r="I186" s="491"/>
      <c r="J186" s="492"/>
      <c r="K186" s="493"/>
      <c r="L186" s="494"/>
      <c r="M186" s="309"/>
      <c r="N186" s="309"/>
      <c r="O186" s="309"/>
      <c r="P186" s="309"/>
      <c r="Q186" s="309"/>
      <c r="R186" s="309"/>
      <c r="S186" s="309"/>
      <c r="T186" s="309"/>
      <c r="U186" s="309"/>
      <c r="V186" s="309"/>
      <c r="W186" s="309"/>
      <c r="X186" s="309"/>
    </row>
    <row r="187" hidden="1">
      <c r="A187" s="348"/>
      <c r="B187" s="488"/>
      <c r="C187" s="309"/>
      <c r="D187" s="309"/>
      <c r="E187" s="489"/>
      <c r="F187" s="309"/>
      <c r="G187" s="407"/>
      <c r="H187" s="490"/>
      <c r="I187" s="491"/>
      <c r="J187" s="492"/>
      <c r="K187" s="493"/>
      <c r="L187" s="494"/>
      <c r="M187" s="309"/>
      <c r="N187" s="309"/>
      <c r="O187" s="309"/>
      <c r="P187" s="309"/>
      <c r="Q187" s="309"/>
      <c r="R187" s="309"/>
      <c r="S187" s="309"/>
      <c r="T187" s="309"/>
      <c r="U187" s="309"/>
      <c r="V187" s="309"/>
      <c r="W187" s="309"/>
      <c r="X187" s="309"/>
    </row>
    <row r="188" hidden="1">
      <c r="A188" s="348"/>
      <c r="B188" s="488"/>
      <c r="C188" s="309"/>
      <c r="D188" s="309"/>
      <c r="E188" s="489"/>
      <c r="F188" s="309"/>
      <c r="G188" s="407"/>
      <c r="H188" s="490"/>
      <c r="I188" s="491"/>
      <c r="J188" s="492"/>
      <c r="K188" s="493"/>
      <c r="L188" s="494"/>
      <c r="M188" s="309"/>
      <c r="N188" s="309"/>
      <c r="O188" s="309"/>
      <c r="P188" s="309"/>
      <c r="Q188" s="309"/>
      <c r="R188" s="309"/>
      <c r="S188" s="309"/>
      <c r="T188" s="309"/>
      <c r="U188" s="309"/>
      <c r="V188" s="309"/>
      <c r="W188" s="309"/>
      <c r="X188" s="309"/>
    </row>
    <row r="189" hidden="1">
      <c r="A189" s="348"/>
      <c r="B189" s="488"/>
      <c r="C189" s="309"/>
      <c r="D189" s="309"/>
      <c r="E189" s="489"/>
      <c r="F189" s="309"/>
      <c r="G189" s="407"/>
      <c r="H189" s="490"/>
      <c r="I189" s="491"/>
      <c r="J189" s="492"/>
      <c r="K189" s="493"/>
      <c r="L189" s="494"/>
      <c r="M189" s="309"/>
      <c r="N189" s="309"/>
      <c r="O189" s="309"/>
      <c r="P189" s="309"/>
      <c r="Q189" s="309"/>
      <c r="R189" s="309"/>
      <c r="S189" s="309"/>
      <c r="T189" s="309"/>
      <c r="U189" s="309"/>
      <c r="V189" s="309"/>
      <c r="W189" s="309"/>
      <c r="X189" s="309"/>
    </row>
    <row r="190" hidden="1">
      <c r="A190" s="348"/>
      <c r="B190" s="488"/>
      <c r="C190" s="309"/>
      <c r="D190" s="309"/>
      <c r="E190" s="489"/>
      <c r="F190" s="309"/>
      <c r="G190" s="407"/>
      <c r="H190" s="490"/>
      <c r="I190" s="491"/>
      <c r="J190" s="492"/>
      <c r="K190" s="493"/>
      <c r="L190" s="494"/>
      <c r="M190" s="309"/>
      <c r="N190" s="309"/>
      <c r="O190" s="309"/>
      <c r="P190" s="309"/>
      <c r="Q190" s="309"/>
      <c r="R190" s="309"/>
      <c r="S190" s="309"/>
      <c r="T190" s="309"/>
      <c r="U190" s="309"/>
      <c r="V190" s="309"/>
      <c r="W190" s="309"/>
      <c r="X190" s="309"/>
    </row>
    <row r="191" hidden="1">
      <c r="A191" s="348"/>
      <c r="B191" s="488"/>
      <c r="C191" s="309"/>
      <c r="D191" s="309"/>
      <c r="E191" s="489"/>
      <c r="F191" s="309"/>
      <c r="G191" s="407"/>
      <c r="H191" s="490"/>
      <c r="I191" s="491"/>
      <c r="J191" s="492"/>
      <c r="K191" s="493"/>
      <c r="L191" s="494"/>
      <c r="M191" s="309"/>
      <c r="N191" s="309"/>
      <c r="O191" s="309"/>
      <c r="P191" s="309"/>
      <c r="Q191" s="309"/>
      <c r="R191" s="309"/>
      <c r="S191" s="309"/>
      <c r="T191" s="309"/>
      <c r="U191" s="309"/>
      <c r="V191" s="309"/>
      <c r="W191" s="309"/>
      <c r="X191" s="309"/>
    </row>
    <row r="192" hidden="1">
      <c r="A192" s="348"/>
      <c r="B192" s="488"/>
      <c r="C192" s="309"/>
      <c r="D192" s="309"/>
      <c r="E192" s="489"/>
      <c r="F192" s="309"/>
      <c r="G192" s="407"/>
      <c r="H192" s="490"/>
      <c r="I192" s="491"/>
      <c r="J192" s="492"/>
      <c r="K192" s="493"/>
      <c r="L192" s="494"/>
      <c r="M192" s="309"/>
      <c r="N192" s="309"/>
      <c r="O192" s="309"/>
      <c r="P192" s="309"/>
      <c r="Q192" s="309"/>
      <c r="R192" s="309"/>
      <c r="S192" s="309"/>
      <c r="T192" s="309"/>
      <c r="U192" s="309"/>
      <c r="V192" s="309"/>
      <c r="W192" s="309"/>
      <c r="X192" s="309"/>
    </row>
    <row r="193" hidden="1">
      <c r="A193" s="348"/>
      <c r="B193" s="488"/>
      <c r="C193" s="309"/>
      <c r="D193" s="309"/>
      <c r="E193" s="489"/>
      <c r="F193" s="309"/>
      <c r="G193" s="407"/>
      <c r="H193" s="490"/>
      <c r="I193" s="491"/>
      <c r="J193" s="492"/>
      <c r="K193" s="493"/>
      <c r="L193" s="494"/>
      <c r="M193" s="309"/>
      <c r="N193" s="309"/>
      <c r="O193" s="309"/>
      <c r="P193" s="309"/>
      <c r="Q193" s="309"/>
      <c r="R193" s="309"/>
      <c r="S193" s="309"/>
      <c r="T193" s="309"/>
      <c r="U193" s="309"/>
      <c r="V193" s="309"/>
      <c r="W193" s="309"/>
      <c r="X193" s="309"/>
    </row>
    <row r="194" hidden="1">
      <c r="A194" s="348"/>
      <c r="B194" s="488"/>
      <c r="C194" s="309"/>
      <c r="D194" s="309"/>
      <c r="E194" s="489"/>
      <c r="F194" s="309"/>
      <c r="G194" s="407"/>
      <c r="H194" s="490"/>
      <c r="I194" s="491"/>
      <c r="J194" s="492"/>
      <c r="K194" s="493"/>
      <c r="L194" s="494"/>
      <c r="M194" s="309"/>
      <c r="N194" s="309"/>
      <c r="O194" s="309"/>
      <c r="P194" s="309"/>
      <c r="Q194" s="309"/>
      <c r="R194" s="309"/>
      <c r="S194" s="309"/>
      <c r="T194" s="309"/>
      <c r="U194" s="309"/>
      <c r="V194" s="309"/>
      <c r="W194" s="309"/>
      <c r="X194" s="309"/>
    </row>
    <row r="195" hidden="1">
      <c r="A195" s="348"/>
      <c r="B195" s="488"/>
      <c r="C195" s="309"/>
      <c r="D195" s="309"/>
      <c r="E195" s="489"/>
      <c r="F195" s="309"/>
      <c r="G195" s="407"/>
      <c r="H195" s="490"/>
      <c r="I195" s="491"/>
      <c r="J195" s="492"/>
      <c r="K195" s="493"/>
      <c r="L195" s="494"/>
      <c r="M195" s="309"/>
      <c r="N195" s="309"/>
      <c r="O195" s="309"/>
      <c r="P195" s="309"/>
      <c r="Q195" s="309"/>
      <c r="R195" s="309"/>
      <c r="S195" s="309"/>
      <c r="T195" s="309"/>
      <c r="U195" s="309"/>
      <c r="V195" s="309"/>
      <c r="W195" s="309"/>
      <c r="X195" s="309"/>
    </row>
    <row r="196" hidden="1">
      <c r="A196" s="348"/>
      <c r="B196" s="488"/>
      <c r="C196" s="309"/>
      <c r="D196" s="309"/>
      <c r="E196" s="489"/>
      <c r="F196" s="309"/>
      <c r="G196" s="407"/>
      <c r="H196" s="490"/>
      <c r="I196" s="491"/>
      <c r="J196" s="492"/>
      <c r="K196" s="493"/>
      <c r="L196" s="494"/>
      <c r="M196" s="309"/>
      <c r="N196" s="309"/>
      <c r="O196" s="309"/>
      <c r="P196" s="309"/>
      <c r="Q196" s="309"/>
      <c r="R196" s="309"/>
      <c r="S196" s="309"/>
      <c r="T196" s="309"/>
      <c r="U196" s="309"/>
      <c r="V196" s="309"/>
      <c r="W196" s="309"/>
      <c r="X196" s="309"/>
    </row>
    <row r="197" hidden="1">
      <c r="A197" s="348"/>
      <c r="B197" s="488"/>
      <c r="C197" s="309"/>
      <c r="D197" s="309"/>
      <c r="E197" s="489"/>
      <c r="F197" s="309"/>
      <c r="G197" s="407"/>
      <c r="H197" s="490"/>
      <c r="I197" s="491"/>
      <c r="J197" s="492"/>
      <c r="K197" s="493"/>
      <c r="L197" s="494"/>
      <c r="M197" s="309"/>
      <c r="N197" s="309"/>
      <c r="O197" s="309"/>
      <c r="P197" s="309"/>
      <c r="Q197" s="309"/>
      <c r="R197" s="309"/>
      <c r="S197" s="309"/>
      <c r="T197" s="309"/>
      <c r="U197" s="309"/>
      <c r="V197" s="309"/>
      <c r="W197" s="309"/>
      <c r="X197" s="309"/>
    </row>
    <row r="198" hidden="1">
      <c r="A198" s="348"/>
      <c r="B198" s="488"/>
      <c r="C198" s="309"/>
      <c r="D198" s="309"/>
      <c r="E198" s="489"/>
      <c r="F198" s="309"/>
      <c r="G198" s="407"/>
      <c r="H198" s="490"/>
      <c r="I198" s="491"/>
      <c r="J198" s="492"/>
      <c r="K198" s="493"/>
      <c r="L198" s="494"/>
      <c r="M198" s="309"/>
      <c r="N198" s="309"/>
      <c r="O198" s="309"/>
      <c r="P198" s="309"/>
      <c r="Q198" s="309"/>
      <c r="R198" s="309"/>
      <c r="S198" s="309"/>
      <c r="T198" s="309"/>
      <c r="U198" s="309"/>
      <c r="V198" s="309"/>
      <c r="W198" s="309"/>
      <c r="X198" s="309"/>
    </row>
    <row r="199" hidden="1">
      <c r="A199" s="348"/>
      <c r="B199" s="488"/>
      <c r="C199" s="309"/>
      <c r="D199" s="309"/>
      <c r="E199" s="489"/>
      <c r="F199" s="309"/>
      <c r="G199" s="407"/>
      <c r="H199" s="490"/>
      <c r="I199" s="491"/>
      <c r="J199" s="492"/>
      <c r="K199" s="493"/>
      <c r="L199" s="494"/>
      <c r="M199" s="309"/>
      <c r="N199" s="309"/>
      <c r="O199" s="309"/>
      <c r="P199" s="309"/>
      <c r="Q199" s="309"/>
      <c r="R199" s="309"/>
      <c r="S199" s="309"/>
      <c r="T199" s="309"/>
      <c r="U199" s="309"/>
      <c r="V199" s="309"/>
      <c r="W199" s="309"/>
      <c r="X199" s="309"/>
    </row>
    <row r="200" hidden="1">
      <c r="A200" s="348"/>
      <c r="B200" s="488"/>
      <c r="C200" s="309"/>
      <c r="D200" s="309"/>
      <c r="E200" s="489"/>
      <c r="F200" s="309"/>
      <c r="G200" s="407"/>
      <c r="H200" s="490"/>
      <c r="I200" s="491"/>
      <c r="J200" s="492"/>
      <c r="K200" s="493"/>
      <c r="L200" s="494"/>
      <c r="M200" s="309"/>
      <c r="N200" s="309"/>
      <c r="O200" s="309"/>
      <c r="P200" s="309"/>
      <c r="Q200" s="309"/>
      <c r="R200" s="309"/>
      <c r="S200" s="309"/>
      <c r="T200" s="309"/>
      <c r="U200" s="309"/>
      <c r="V200" s="309"/>
      <c r="W200" s="309"/>
      <c r="X200" s="309"/>
    </row>
    <row r="201" hidden="1">
      <c r="A201" s="348"/>
      <c r="B201" s="488"/>
      <c r="C201" s="309"/>
      <c r="D201" s="309"/>
      <c r="E201" s="489"/>
      <c r="F201" s="309"/>
      <c r="G201" s="407"/>
      <c r="H201" s="490"/>
      <c r="I201" s="491"/>
      <c r="J201" s="492"/>
      <c r="K201" s="493"/>
      <c r="L201" s="494"/>
      <c r="M201" s="309"/>
      <c r="N201" s="309"/>
      <c r="O201" s="309"/>
      <c r="P201" s="309"/>
      <c r="Q201" s="309"/>
      <c r="R201" s="309"/>
      <c r="S201" s="309"/>
      <c r="T201" s="309"/>
      <c r="U201" s="309"/>
      <c r="V201" s="309"/>
      <c r="W201" s="309"/>
      <c r="X201" s="309"/>
    </row>
    <row r="202" hidden="1">
      <c r="A202" s="348"/>
      <c r="B202" s="488"/>
      <c r="C202" s="309"/>
      <c r="D202" s="309"/>
      <c r="E202" s="489"/>
      <c r="F202" s="309"/>
      <c r="G202" s="407"/>
      <c r="H202" s="490"/>
      <c r="I202" s="491"/>
      <c r="J202" s="492"/>
      <c r="K202" s="493"/>
      <c r="L202" s="494"/>
      <c r="M202" s="309"/>
      <c r="N202" s="309"/>
      <c r="O202" s="309"/>
      <c r="P202" s="309"/>
      <c r="Q202" s="309"/>
      <c r="R202" s="309"/>
      <c r="S202" s="309"/>
      <c r="T202" s="309"/>
      <c r="U202" s="309"/>
      <c r="V202" s="309"/>
      <c r="W202" s="309"/>
      <c r="X202" s="309"/>
    </row>
    <row r="203" hidden="1">
      <c r="A203" s="348"/>
      <c r="B203" s="488"/>
      <c r="C203" s="309"/>
      <c r="D203" s="309"/>
      <c r="E203" s="489"/>
      <c r="F203" s="309"/>
      <c r="G203" s="407"/>
      <c r="H203" s="490"/>
      <c r="I203" s="491"/>
      <c r="J203" s="492"/>
      <c r="K203" s="493"/>
      <c r="L203" s="494"/>
      <c r="M203" s="309"/>
      <c r="N203" s="309"/>
      <c r="O203" s="309"/>
      <c r="P203" s="309"/>
      <c r="Q203" s="309"/>
      <c r="R203" s="309"/>
      <c r="S203" s="309"/>
      <c r="T203" s="309"/>
      <c r="U203" s="309"/>
      <c r="V203" s="309"/>
      <c r="W203" s="309"/>
      <c r="X203" s="309"/>
    </row>
    <row r="204" hidden="1">
      <c r="A204" s="348"/>
      <c r="B204" s="488"/>
      <c r="C204" s="309"/>
      <c r="D204" s="309"/>
      <c r="E204" s="489"/>
      <c r="F204" s="309"/>
      <c r="G204" s="407"/>
      <c r="H204" s="490"/>
      <c r="I204" s="491"/>
      <c r="J204" s="492"/>
      <c r="K204" s="493"/>
      <c r="L204" s="494"/>
      <c r="M204" s="309"/>
      <c r="N204" s="309"/>
      <c r="O204" s="309"/>
      <c r="P204" s="309"/>
      <c r="Q204" s="309"/>
      <c r="R204" s="309"/>
      <c r="S204" s="309"/>
      <c r="T204" s="309"/>
      <c r="U204" s="309"/>
      <c r="V204" s="309"/>
      <c r="W204" s="309"/>
      <c r="X204" s="309"/>
    </row>
    <row r="205" hidden="1">
      <c r="A205" s="348"/>
      <c r="B205" s="488"/>
      <c r="C205" s="309"/>
      <c r="D205" s="309"/>
      <c r="E205" s="489"/>
      <c r="F205" s="309"/>
      <c r="G205" s="407"/>
      <c r="H205" s="490"/>
      <c r="I205" s="491"/>
      <c r="J205" s="492"/>
      <c r="K205" s="493"/>
      <c r="L205" s="494"/>
      <c r="M205" s="309"/>
      <c r="N205" s="309"/>
      <c r="O205" s="309"/>
      <c r="P205" s="309"/>
      <c r="Q205" s="309"/>
      <c r="R205" s="309"/>
      <c r="S205" s="309"/>
      <c r="T205" s="309"/>
      <c r="U205" s="309"/>
      <c r="V205" s="309"/>
      <c r="W205" s="309"/>
      <c r="X205" s="309"/>
    </row>
    <row r="206" hidden="1">
      <c r="A206" s="348"/>
      <c r="B206" s="488"/>
      <c r="C206" s="309"/>
      <c r="D206" s="309"/>
      <c r="E206" s="489"/>
      <c r="F206" s="309"/>
      <c r="G206" s="407"/>
      <c r="H206" s="490"/>
      <c r="I206" s="491"/>
      <c r="J206" s="492"/>
      <c r="K206" s="493"/>
      <c r="L206" s="494"/>
      <c r="M206" s="309"/>
      <c r="N206" s="309"/>
      <c r="O206" s="309"/>
      <c r="P206" s="309"/>
      <c r="Q206" s="309"/>
      <c r="R206" s="309"/>
      <c r="S206" s="309"/>
      <c r="T206" s="309"/>
      <c r="U206" s="309"/>
      <c r="V206" s="309"/>
      <c r="W206" s="309"/>
      <c r="X206" s="309"/>
    </row>
    <row r="207" hidden="1">
      <c r="A207" s="348"/>
      <c r="B207" s="488"/>
      <c r="C207" s="309"/>
      <c r="D207" s="309"/>
      <c r="E207" s="489"/>
      <c r="F207" s="309"/>
      <c r="G207" s="407"/>
      <c r="H207" s="490"/>
      <c r="I207" s="491"/>
      <c r="J207" s="492"/>
      <c r="K207" s="493"/>
      <c r="L207" s="494"/>
      <c r="M207" s="309"/>
      <c r="N207" s="309"/>
      <c r="O207" s="309"/>
      <c r="P207" s="309"/>
      <c r="Q207" s="309"/>
      <c r="R207" s="309"/>
      <c r="S207" s="309"/>
      <c r="T207" s="309"/>
      <c r="U207" s="309"/>
      <c r="V207" s="309"/>
      <c r="W207" s="309"/>
      <c r="X207" s="309"/>
    </row>
    <row r="208" hidden="1">
      <c r="A208" s="348"/>
      <c r="B208" s="488"/>
      <c r="C208" s="309"/>
      <c r="D208" s="309"/>
      <c r="E208" s="489"/>
      <c r="F208" s="309"/>
      <c r="G208" s="407"/>
      <c r="H208" s="490"/>
      <c r="I208" s="491"/>
      <c r="J208" s="492"/>
      <c r="K208" s="493"/>
      <c r="L208" s="494"/>
      <c r="M208" s="309"/>
      <c r="N208" s="309"/>
      <c r="O208" s="309"/>
      <c r="P208" s="309"/>
      <c r="Q208" s="309"/>
      <c r="R208" s="309"/>
      <c r="S208" s="309"/>
      <c r="T208" s="309"/>
      <c r="U208" s="309"/>
      <c r="V208" s="309"/>
      <c r="W208" s="309"/>
      <c r="X208" s="309"/>
    </row>
    <row r="209" hidden="1">
      <c r="A209" s="348"/>
      <c r="B209" s="488"/>
      <c r="C209" s="309"/>
      <c r="D209" s="309"/>
      <c r="E209" s="489"/>
      <c r="F209" s="309"/>
      <c r="G209" s="407"/>
      <c r="H209" s="490"/>
      <c r="I209" s="491"/>
      <c r="J209" s="492"/>
      <c r="K209" s="493"/>
      <c r="L209" s="494"/>
      <c r="M209" s="309"/>
      <c r="N209" s="309"/>
      <c r="O209" s="309"/>
      <c r="P209" s="309"/>
      <c r="Q209" s="309"/>
      <c r="R209" s="309"/>
      <c r="S209" s="309"/>
      <c r="T209" s="309"/>
      <c r="U209" s="309"/>
      <c r="V209" s="309"/>
      <c r="W209" s="309"/>
      <c r="X209" s="309"/>
    </row>
    <row r="210" hidden="1">
      <c r="A210" s="348"/>
      <c r="B210" s="488"/>
      <c r="C210" s="309"/>
      <c r="D210" s="309"/>
      <c r="E210" s="489"/>
      <c r="F210" s="309"/>
      <c r="G210" s="407"/>
      <c r="H210" s="490"/>
      <c r="I210" s="491"/>
      <c r="J210" s="492"/>
      <c r="K210" s="493"/>
      <c r="L210" s="494"/>
      <c r="M210" s="309"/>
      <c r="N210" s="309"/>
      <c r="O210" s="309"/>
      <c r="P210" s="309"/>
      <c r="Q210" s="309"/>
      <c r="R210" s="309"/>
      <c r="S210" s="309"/>
      <c r="T210" s="309"/>
      <c r="U210" s="309"/>
      <c r="V210" s="309"/>
      <c r="W210" s="309"/>
      <c r="X210" s="309"/>
    </row>
    <row r="211" hidden="1">
      <c r="A211" s="348"/>
      <c r="B211" s="488"/>
      <c r="C211" s="309"/>
      <c r="D211" s="309"/>
      <c r="E211" s="489"/>
      <c r="F211" s="309"/>
      <c r="G211" s="407"/>
      <c r="H211" s="490"/>
      <c r="I211" s="491"/>
      <c r="J211" s="492"/>
      <c r="K211" s="493"/>
      <c r="L211" s="494"/>
      <c r="M211" s="309"/>
      <c r="N211" s="309"/>
      <c r="O211" s="309"/>
      <c r="P211" s="309"/>
      <c r="Q211" s="309"/>
      <c r="R211" s="309"/>
      <c r="S211" s="309"/>
      <c r="T211" s="309"/>
      <c r="U211" s="309"/>
      <c r="V211" s="309"/>
      <c r="W211" s="309"/>
      <c r="X211" s="309"/>
    </row>
    <row r="212" hidden="1">
      <c r="A212" s="348"/>
      <c r="B212" s="488"/>
      <c r="C212" s="309"/>
      <c r="D212" s="309"/>
      <c r="E212" s="489"/>
      <c r="F212" s="309"/>
      <c r="G212" s="407"/>
      <c r="H212" s="490"/>
      <c r="I212" s="491"/>
      <c r="J212" s="492"/>
      <c r="K212" s="493"/>
      <c r="L212" s="494"/>
      <c r="M212" s="309"/>
      <c r="N212" s="309"/>
      <c r="O212" s="309"/>
      <c r="P212" s="309"/>
      <c r="Q212" s="309"/>
      <c r="R212" s="309"/>
      <c r="S212" s="309"/>
      <c r="T212" s="309"/>
      <c r="U212" s="309"/>
      <c r="V212" s="309"/>
      <c r="W212" s="309"/>
      <c r="X212" s="309"/>
    </row>
    <row r="213" hidden="1">
      <c r="A213" s="348"/>
      <c r="B213" s="488"/>
      <c r="C213" s="309"/>
      <c r="D213" s="309"/>
      <c r="E213" s="489"/>
      <c r="F213" s="309"/>
      <c r="G213" s="407"/>
      <c r="H213" s="490"/>
      <c r="I213" s="491"/>
      <c r="J213" s="492"/>
      <c r="K213" s="493"/>
      <c r="L213" s="494"/>
      <c r="M213" s="309"/>
      <c r="N213" s="309"/>
      <c r="O213" s="309"/>
      <c r="P213" s="309"/>
      <c r="Q213" s="309"/>
      <c r="R213" s="309"/>
      <c r="S213" s="309"/>
      <c r="T213" s="309"/>
      <c r="U213" s="309"/>
      <c r="V213" s="309"/>
      <c r="W213" s="309"/>
      <c r="X213" s="309"/>
    </row>
    <row r="214" hidden="1">
      <c r="A214" s="348"/>
      <c r="B214" s="488"/>
      <c r="C214" s="309"/>
      <c r="D214" s="309"/>
      <c r="E214" s="489"/>
      <c r="F214" s="309"/>
      <c r="G214" s="407"/>
      <c r="H214" s="490"/>
      <c r="I214" s="491"/>
      <c r="J214" s="492"/>
      <c r="K214" s="493"/>
      <c r="L214" s="494"/>
      <c r="M214" s="309"/>
      <c r="N214" s="309"/>
      <c r="O214" s="309"/>
      <c r="P214" s="309"/>
      <c r="Q214" s="309"/>
      <c r="R214" s="309"/>
      <c r="S214" s="309"/>
      <c r="T214" s="309"/>
      <c r="U214" s="309"/>
      <c r="V214" s="309"/>
      <c r="W214" s="309"/>
      <c r="X214" s="309"/>
    </row>
    <row r="215" hidden="1">
      <c r="A215" s="348"/>
      <c r="B215" s="488"/>
      <c r="C215" s="309"/>
      <c r="D215" s="309"/>
      <c r="E215" s="489"/>
      <c r="F215" s="309"/>
      <c r="G215" s="407"/>
      <c r="H215" s="490"/>
      <c r="I215" s="491"/>
      <c r="J215" s="492"/>
      <c r="K215" s="493"/>
      <c r="L215" s="494"/>
      <c r="M215" s="309"/>
      <c r="N215" s="309"/>
      <c r="O215" s="309"/>
      <c r="P215" s="309"/>
      <c r="Q215" s="309"/>
      <c r="R215" s="309"/>
      <c r="S215" s="309"/>
      <c r="T215" s="309"/>
      <c r="U215" s="309"/>
      <c r="V215" s="309"/>
      <c r="W215" s="309"/>
      <c r="X215" s="309"/>
    </row>
    <row r="216" hidden="1">
      <c r="A216" s="348"/>
      <c r="B216" s="488"/>
      <c r="C216" s="309"/>
      <c r="D216" s="309"/>
      <c r="E216" s="489"/>
      <c r="F216" s="309"/>
      <c r="G216" s="407"/>
      <c r="H216" s="490"/>
      <c r="I216" s="491"/>
      <c r="J216" s="492"/>
      <c r="K216" s="493"/>
      <c r="L216" s="494"/>
      <c r="M216" s="309"/>
      <c r="N216" s="309"/>
      <c r="O216" s="309"/>
      <c r="P216" s="309"/>
      <c r="Q216" s="309"/>
      <c r="R216" s="309"/>
      <c r="S216" s="309"/>
      <c r="T216" s="309"/>
      <c r="U216" s="309"/>
      <c r="V216" s="309"/>
      <c r="W216" s="309"/>
      <c r="X216" s="309"/>
    </row>
    <row r="217" hidden="1">
      <c r="A217" s="348"/>
      <c r="B217" s="488"/>
      <c r="C217" s="309"/>
      <c r="D217" s="309"/>
      <c r="E217" s="489"/>
      <c r="F217" s="309"/>
      <c r="G217" s="407"/>
      <c r="H217" s="490"/>
      <c r="I217" s="491"/>
      <c r="J217" s="492"/>
      <c r="K217" s="493"/>
      <c r="L217" s="494"/>
      <c r="M217" s="309"/>
      <c r="N217" s="309"/>
      <c r="O217" s="309"/>
      <c r="P217" s="309"/>
      <c r="Q217" s="309"/>
      <c r="R217" s="309"/>
      <c r="S217" s="309"/>
      <c r="T217" s="309"/>
      <c r="U217" s="309"/>
      <c r="V217" s="309"/>
      <c r="W217" s="309"/>
      <c r="X217" s="309"/>
    </row>
    <row r="218" hidden="1">
      <c r="A218" s="348"/>
      <c r="B218" s="488"/>
      <c r="C218" s="309"/>
      <c r="D218" s="309"/>
      <c r="E218" s="489"/>
      <c r="F218" s="309"/>
      <c r="G218" s="407"/>
      <c r="H218" s="490"/>
      <c r="I218" s="491"/>
      <c r="J218" s="492"/>
      <c r="K218" s="493"/>
      <c r="L218" s="494"/>
      <c r="M218" s="309"/>
      <c r="N218" s="309"/>
      <c r="O218" s="309"/>
      <c r="P218" s="309"/>
      <c r="Q218" s="309"/>
      <c r="R218" s="309"/>
      <c r="S218" s="309"/>
      <c r="T218" s="309"/>
      <c r="U218" s="309"/>
      <c r="V218" s="309"/>
      <c r="W218" s="309"/>
      <c r="X218" s="309"/>
    </row>
    <row r="219" hidden="1">
      <c r="A219" s="348"/>
      <c r="B219" s="488"/>
      <c r="C219" s="309"/>
      <c r="D219" s="309"/>
      <c r="E219" s="489"/>
      <c r="F219" s="309"/>
      <c r="G219" s="407"/>
      <c r="H219" s="490"/>
      <c r="I219" s="491"/>
      <c r="J219" s="492"/>
      <c r="K219" s="493"/>
      <c r="L219" s="494"/>
      <c r="M219" s="309"/>
      <c r="N219" s="309"/>
      <c r="O219" s="309"/>
      <c r="P219" s="309"/>
      <c r="Q219" s="309"/>
      <c r="R219" s="309"/>
      <c r="S219" s="309"/>
      <c r="T219" s="309"/>
      <c r="U219" s="309"/>
      <c r="V219" s="309"/>
      <c r="W219" s="309"/>
      <c r="X219" s="309"/>
    </row>
    <row r="220" hidden="1">
      <c r="A220" s="348"/>
      <c r="B220" s="488"/>
      <c r="C220" s="309"/>
      <c r="D220" s="309"/>
      <c r="E220" s="489"/>
      <c r="F220" s="309"/>
      <c r="G220" s="407"/>
      <c r="H220" s="490"/>
      <c r="I220" s="491"/>
      <c r="J220" s="492"/>
      <c r="K220" s="493"/>
      <c r="L220" s="494"/>
      <c r="M220" s="309"/>
      <c r="N220" s="309"/>
      <c r="O220" s="309"/>
      <c r="P220" s="309"/>
      <c r="Q220" s="309"/>
      <c r="R220" s="309"/>
      <c r="S220" s="309"/>
      <c r="T220" s="309"/>
      <c r="U220" s="309"/>
      <c r="V220" s="309"/>
      <c r="W220" s="309"/>
      <c r="X220" s="309"/>
    </row>
    <row r="221" hidden="1">
      <c r="A221" s="348"/>
      <c r="B221" s="488"/>
      <c r="C221" s="309"/>
      <c r="D221" s="309"/>
      <c r="E221" s="489"/>
      <c r="F221" s="309"/>
      <c r="G221" s="407"/>
      <c r="H221" s="490"/>
      <c r="I221" s="491"/>
      <c r="J221" s="492"/>
      <c r="K221" s="493"/>
      <c r="L221" s="494"/>
      <c r="M221" s="309"/>
      <c r="N221" s="309"/>
      <c r="O221" s="309"/>
      <c r="P221" s="309"/>
      <c r="Q221" s="309"/>
      <c r="R221" s="309"/>
      <c r="S221" s="309"/>
      <c r="T221" s="309"/>
      <c r="U221" s="309"/>
      <c r="V221" s="309"/>
      <c r="W221" s="309"/>
      <c r="X221" s="309"/>
    </row>
    <row r="222" hidden="1">
      <c r="A222" s="348"/>
      <c r="B222" s="488"/>
      <c r="C222" s="309"/>
      <c r="D222" s="309"/>
      <c r="E222" s="489"/>
      <c r="F222" s="309"/>
      <c r="G222" s="407"/>
      <c r="H222" s="490"/>
      <c r="I222" s="491"/>
      <c r="J222" s="492"/>
      <c r="K222" s="493"/>
      <c r="L222" s="494"/>
      <c r="M222" s="309"/>
      <c r="N222" s="309"/>
      <c r="O222" s="309"/>
      <c r="P222" s="309"/>
      <c r="Q222" s="309"/>
      <c r="R222" s="309"/>
      <c r="S222" s="309"/>
      <c r="T222" s="309"/>
      <c r="U222" s="309"/>
      <c r="V222" s="309"/>
      <c r="W222" s="309"/>
      <c r="X222" s="309"/>
    </row>
    <row r="223" hidden="1">
      <c r="A223" s="348"/>
      <c r="B223" s="488"/>
      <c r="C223" s="309"/>
      <c r="D223" s="309"/>
      <c r="E223" s="489"/>
      <c r="F223" s="309"/>
      <c r="G223" s="407"/>
      <c r="H223" s="490"/>
      <c r="I223" s="491"/>
      <c r="J223" s="492"/>
      <c r="K223" s="493"/>
      <c r="L223" s="494"/>
      <c r="M223" s="309"/>
      <c r="N223" s="309"/>
      <c r="O223" s="309"/>
      <c r="P223" s="309"/>
      <c r="Q223" s="309"/>
      <c r="R223" s="309"/>
      <c r="S223" s="309"/>
      <c r="T223" s="309"/>
      <c r="U223" s="309"/>
      <c r="V223" s="309"/>
      <c r="W223" s="309"/>
      <c r="X223" s="309"/>
    </row>
    <row r="224" hidden="1">
      <c r="A224" s="348"/>
      <c r="B224" s="488"/>
      <c r="C224" s="309"/>
      <c r="D224" s="309"/>
      <c r="E224" s="489"/>
      <c r="F224" s="309"/>
      <c r="G224" s="407"/>
      <c r="H224" s="490"/>
      <c r="I224" s="491"/>
      <c r="J224" s="492"/>
      <c r="K224" s="493"/>
      <c r="L224" s="494"/>
      <c r="M224" s="309"/>
      <c r="N224" s="309"/>
      <c r="O224" s="309"/>
      <c r="P224" s="309"/>
      <c r="Q224" s="309"/>
      <c r="R224" s="309"/>
      <c r="S224" s="309"/>
      <c r="T224" s="309"/>
      <c r="U224" s="309"/>
      <c r="V224" s="309"/>
      <c r="W224" s="309"/>
      <c r="X224" s="309"/>
    </row>
    <row r="225" hidden="1">
      <c r="A225" s="348"/>
      <c r="B225" s="488"/>
      <c r="C225" s="309"/>
      <c r="D225" s="309"/>
      <c r="E225" s="489"/>
      <c r="F225" s="309"/>
      <c r="G225" s="407"/>
      <c r="H225" s="490"/>
      <c r="I225" s="491"/>
      <c r="J225" s="492"/>
      <c r="K225" s="493"/>
      <c r="L225" s="494"/>
      <c r="M225" s="309"/>
      <c r="N225" s="309"/>
      <c r="O225" s="309"/>
      <c r="P225" s="309"/>
      <c r="Q225" s="309"/>
      <c r="R225" s="309"/>
      <c r="S225" s="309"/>
      <c r="T225" s="309"/>
      <c r="U225" s="309"/>
      <c r="V225" s="309"/>
      <c r="W225" s="309"/>
      <c r="X225" s="309"/>
    </row>
    <row r="226" hidden="1">
      <c r="A226" s="348"/>
      <c r="B226" s="488"/>
      <c r="C226" s="309"/>
      <c r="D226" s="309"/>
      <c r="E226" s="489"/>
      <c r="F226" s="309"/>
      <c r="G226" s="407"/>
      <c r="H226" s="490"/>
      <c r="I226" s="491"/>
      <c r="J226" s="492"/>
      <c r="K226" s="493"/>
      <c r="L226" s="494"/>
      <c r="M226" s="309"/>
      <c r="N226" s="309"/>
      <c r="O226" s="309"/>
      <c r="P226" s="309"/>
      <c r="Q226" s="309"/>
      <c r="R226" s="309"/>
      <c r="S226" s="309"/>
      <c r="T226" s="309"/>
      <c r="U226" s="309"/>
      <c r="V226" s="309"/>
      <c r="W226" s="309"/>
      <c r="X226" s="309"/>
    </row>
    <row r="227" hidden="1">
      <c r="A227" s="348"/>
      <c r="B227" s="488"/>
      <c r="C227" s="309"/>
      <c r="D227" s="309"/>
      <c r="E227" s="489"/>
      <c r="F227" s="309"/>
      <c r="G227" s="407"/>
      <c r="H227" s="490"/>
      <c r="I227" s="491"/>
      <c r="J227" s="492"/>
      <c r="K227" s="493"/>
      <c r="L227" s="494"/>
      <c r="M227" s="309"/>
      <c r="N227" s="309"/>
      <c r="O227" s="309"/>
      <c r="P227" s="309"/>
      <c r="Q227" s="309"/>
      <c r="R227" s="309"/>
      <c r="S227" s="309"/>
      <c r="T227" s="309"/>
      <c r="U227" s="309"/>
      <c r="V227" s="309"/>
      <c r="W227" s="309"/>
      <c r="X227" s="309"/>
    </row>
    <row r="228" hidden="1">
      <c r="A228" s="348"/>
      <c r="B228" s="488"/>
      <c r="C228" s="309"/>
      <c r="D228" s="309"/>
      <c r="E228" s="489"/>
      <c r="F228" s="309"/>
      <c r="G228" s="407"/>
      <c r="H228" s="490"/>
      <c r="I228" s="491"/>
      <c r="J228" s="492"/>
      <c r="K228" s="493"/>
      <c r="L228" s="494"/>
      <c r="M228" s="309"/>
      <c r="N228" s="309"/>
      <c r="O228" s="309"/>
      <c r="P228" s="309"/>
      <c r="Q228" s="309"/>
      <c r="R228" s="309"/>
      <c r="S228" s="309"/>
      <c r="T228" s="309"/>
      <c r="U228" s="309"/>
      <c r="V228" s="309"/>
      <c r="W228" s="309"/>
      <c r="X228" s="309"/>
    </row>
    <row r="229" hidden="1">
      <c r="A229" s="348"/>
      <c r="B229" s="488"/>
      <c r="C229" s="309"/>
      <c r="D229" s="309"/>
      <c r="E229" s="489"/>
      <c r="F229" s="309"/>
      <c r="G229" s="407"/>
      <c r="H229" s="490"/>
      <c r="I229" s="491"/>
      <c r="J229" s="492"/>
      <c r="K229" s="493"/>
      <c r="L229" s="494"/>
      <c r="M229" s="309"/>
      <c r="N229" s="309"/>
      <c r="O229" s="309"/>
      <c r="P229" s="309"/>
      <c r="Q229" s="309"/>
      <c r="R229" s="309"/>
      <c r="S229" s="309"/>
      <c r="T229" s="309"/>
      <c r="U229" s="309"/>
      <c r="V229" s="309"/>
      <c r="W229" s="309"/>
      <c r="X229" s="309"/>
    </row>
    <row r="230" hidden="1">
      <c r="A230" s="348"/>
      <c r="B230" s="488"/>
      <c r="C230" s="309"/>
      <c r="D230" s="309"/>
      <c r="E230" s="489"/>
      <c r="F230" s="309"/>
      <c r="G230" s="407"/>
      <c r="H230" s="490"/>
      <c r="I230" s="491"/>
      <c r="J230" s="492"/>
      <c r="K230" s="493"/>
      <c r="L230" s="494"/>
      <c r="M230" s="309"/>
      <c r="N230" s="309"/>
      <c r="O230" s="309"/>
      <c r="P230" s="309"/>
      <c r="Q230" s="309"/>
      <c r="R230" s="309"/>
      <c r="S230" s="309"/>
      <c r="T230" s="309"/>
      <c r="U230" s="309"/>
      <c r="V230" s="309"/>
      <c r="W230" s="309"/>
      <c r="X230" s="309"/>
    </row>
    <row r="231" hidden="1">
      <c r="A231" s="348"/>
      <c r="B231" s="488"/>
      <c r="C231" s="309"/>
      <c r="D231" s="309"/>
      <c r="E231" s="489"/>
      <c r="F231" s="309"/>
      <c r="G231" s="407"/>
      <c r="H231" s="490"/>
      <c r="I231" s="491"/>
      <c r="J231" s="492"/>
      <c r="K231" s="493"/>
      <c r="L231" s="494"/>
      <c r="M231" s="309"/>
      <c r="N231" s="309"/>
      <c r="O231" s="309"/>
      <c r="P231" s="309"/>
      <c r="Q231" s="309"/>
      <c r="R231" s="309"/>
      <c r="S231" s="309"/>
      <c r="T231" s="309"/>
      <c r="U231" s="309"/>
      <c r="V231" s="309"/>
      <c r="W231" s="309"/>
      <c r="X231" s="309"/>
    </row>
    <row r="232" hidden="1">
      <c r="A232" s="348"/>
      <c r="B232" s="488"/>
      <c r="C232" s="309"/>
      <c r="D232" s="309"/>
      <c r="E232" s="489"/>
      <c r="F232" s="309"/>
      <c r="G232" s="407"/>
      <c r="H232" s="490"/>
      <c r="I232" s="491"/>
      <c r="J232" s="492"/>
      <c r="K232" s="493"/>
      <c r="L232" s="494"/>
      <c r="M232" s="309"/>
      <c r="N232" s="309"/>
      <c r="O232" s="309"/>
      <c r="P232" s="309"/>
      <c r="Q232" s="309"/>
      <c r="R232" s="309"/>
      <c r="S232" s="309"/>
      <c r="T232" s="309"/>
      <c r="U232" s="309"/>
      <c r="V232" s="309"/>
      <c r="W232" s="309"/>
      <c r="X232" s="309"/>
    </row>
    <row r="233" hidden="1">
      <c r="A233" s="348"/>
      <c r="B233" s="488"/>
      <c r="C233" s="309"/>
      <c r="D233" s="309"/>
      <c r="E233" s="489"/>
      <c r="F233" s="309"/>
      <c r="G233" s="407"/>
      <c r="H233" s="490"/>
      <c r="I233" s="491"/>
      <c r="J233" s="492"/>
      <c r="K233" s="493"/>
      <c r="L233" s="494"/>
      <c r="M233" s="309"/>
      <c r="N233" s="309"/>
      <c r="O233" s="309"/>
      <c r="P233" s="309"/>
      <c r="Q233" s="309"/>
      <c r="R233" s="309"/>
      <c r="S233" s="309"/>
      <c r="T233" s="309"/>
      <c r="U233" s="309"/>
      <c r="V233" s="309"/>
      <c r="W233" s="309"/>
      <c r="X233" s="309"/>
    </row>
    <row r="234" hidden="1">
      <c r="A234" s="348"/>
      <c r="B234" s="488"/>
      <c r="C234" s="309"/>
      <c r="D234" s="309"/>
      <c r="E234" s="489"/>
      <c r="F234" s="309"/>
      <c r="G234" s="407"/>
      <c r="H234" s="490"/>
      <c r="I234" s="491"/>
      <c r="J234" s="492"/>
      <c r="K234" s="493"/>
      <c r="L234" s="494"/>
      <c r="M234" s="309"/>
      <c r="N234" s="309"/>
      <c r="O234" s="309"/>
      <c r="P234" s="309"/>
      <c r="Q234" s="309"/>
      <c r="R234" s="309"/>
      <c r="S234" s="309"/>
      <c r="T234" s="309"/>
      <c r="U234" s="309"/>
      <c r="V234" s="309"/>
      <c r="W234" s="309"/>
      <c r="X234" s="309"/>
    </row>
    <row r="235" hidden="1">
      <c r="A235" s="348"/>
      <c r="B235" s="488"/>
      <c r="C235" s="309"/>
      <c r="D235" s="309"/>
      <c r="E235" s="489"/>
      <c r="F235" s="309"/>
      <c r="G235" s="407"/>
      <c r="H235" s="490"/>
      <c r="I235" s="491"/>
      <c r="J235" s="492"/>
      <c r="K235" s="493"/>
      <c r="L235" s="494"/>
      <c r="M235" s="309"/>
      <c r="N235" s="309"/>
      <c r="O235" s="309"/>
      <c r="P235" s="309"/>
      <c r="Q235" s="309"/>
      <c r="R235" s="309"/>
      <c r="S235" s="309"/>
      <c r="T235" s="309"/>
      <c r="U235" s="309"/>
      <c r="V235" s="309"/>
      <c r="W235" s="309"/>
      <c r="X235" s="309"/>
    </row>
    <row r="236" hidden="1">
      <c r="A236" s="348"/>
      <c r="B236" s="488"/>
      <c r="C236" s="309"/>
      <c r="D236" s="309"/>
      <c r="E236" s="489"/>
      <c r="F236" s="309"/>
      <c r="G236" s="407"/>
      <c r="H236" s="490"/>
      <c r="I236" s="491"/>
      <c r="J236" s="492"/>
      <c r="K236" s="493"/>
      <c r="L236" s="494"/>
      <c r="M236" s="309"/>
      <c r="N236" s="309"/>
      <c r="O236" s="309"/>
      <c r="P236" s="309"/>
      <c r="Q236" s="309"/>
      <c r="R236" s="309"/>
      <c r="S236" s="309"/>
      <c r="T236" s="309"/>
      <c r="U236" s="309"/>
      <c r="V236" s="309"/>
      <c r="W236" s="309"/>
      <c r="X236" s="309"/>
    </row>
    <row r="237" hidden="1">
      <c r="A237" s="348"/>
      <c r="B237" s="488"/>
      <c r="C237" s="309"/>
      <c r="D237" s="309"/>
      <c r="E237" s="489"/>
      <c r="F237" s="309"/>
      <c r="G237" s="407"/>
      <c r="H237" s="490"/>
      <c r="I237" s="491"/>
      <c r="J237" s="492"/>
      <c r="K237" s="493"/>
      <c r="L237" s="494"/>
      <c r="M237" s="309"/>
      <c r="N237" s="309"/>
      <c r="O237" s="309"/>
      <c r="P237" s="309"/>
      <c r="Q237" s="309"/>
      <c r="R237" s="309"/>
      <c r="S237" s="309"/>
      <c r="T237" s="309"/>
      <c r="U237" s="309"/>
      <c r="V237" s="309"/>
      <c r="W237" s="309"/>
      <c r="X237" s="309"/>
    </row>
    <row r="238" hidden="1">
      <c r="A238" s="348"/>
      <c r="B238" s="488"/>
      <c r="C238" s="309"/>
      <c r="D238" s="309"/>
      <c r="E238" s="489"/>
      <c r="F238" s="309"/>
      <c r="G238" s="407"/>
      <c r="H238" s="490"/>
      <c r="I238" s="491"/>
      <c r="J238" s="492"/>
      <c r="K238" s="493"/>
      <c r="L238" s="494"/>
      <c r="M238" s="309"/>
      <c r="N238" s="309"/>
      <c r="O238" s="309"/>
      <c r="P238" s="309"/>
      <c r="Q238" s="309"/>
      <c r="R238" s="309"/>
      <c r="S238" s="309"/>
      <c r="T238" s="309"/>
      <c r="U238" s="309"/>
      <c r="V238" s="309"/>
      <c r="W238" s="309"/>
      <c r="X238" s="309"/>
    </row>
    <row r="239" hidden="1">
      <c r="A239" s="348"/>
      <c r="B239" s="488"/>
      <c r="C239" s="309"/>
      <c r="D239" s="309"/>
      <c r="E239" s="489"/>
      <c r="F239" s="309"/>
      <c r="G239" s="407"/>
      <c r="H239" s="490"/>
      <c r="I239" s="491"/>
      <c r="J239" s="492"/>
      <c r="K239" s="493"/>
      <c r="L239" s="494"/>
      <c r="M239" s="309"/>
      <c r="N239" s="309"/>
      <c r="O239" s="309"/>
      <c r="P239" s="309"/>
      <c r="Q239" s="309"/>
      <c r="R239" s="309"/>
      <c r="S239" s="309"/>
      <c r="T239" s="309"/>
      <c r="U239" s="309"/>
      <c r="V239" s="309"/>
      <c r="W239" s="309"/>
      <c r="X239" s="309"/>
    </row>
    <row r="240" hidden="1">
      <c r="A240" s="348"/>
      <c r="B240" s="488"/>
      <c r="C240" s="309"/>
      <c r="D240" s="309"/>
      <c r="E240" s="489"/>
      <c r="F240" s="309"/>
      <c r="G240" s="407"/>
      <c r="H240" s="490"/>
      <c r="I240" s="491"/>
      <c r="J240" s="492"/>
      <c r="K240" s="493"/>
      <c r="L240" s="494"/>
      <c r="M240" s="309"/>
      <c r="N240" s="309"/>
      <c r="O240" s="309"/>
      <c r="P240" s="309"/>
      <c r="Q240" s="309"/>
      <c r="R240" s="309"/>
      <c r="S240" s="309"/>
      <c r="T240" s="309"/>
      <c r="U240" s="309"/>
      <c r="V240" s="309"/>
      <c r="W240" s="309"/>
      <c r="X240" s="309"/>
    </row>
    <row r="241" hidden="1">
      <c r="A241" s="348"/>
      <c r="B241" s="488"/>
      <c r="C241" s="309"/>
      <c r="D241" s="309"/>
      <c r="E241" s="489"/>
      <c r="F241" s="309"/>
      <c r="G241" s="407"/>
      <c r="H241" s="490"/>
      <c r="I241" s="491"/>
      <c r="J241" s="492"/>
      <c r="K241" s="493"/>
      <c r="L241" s="494"/>
      <c r="M241" s="309"/>
      <c r="N241" s="309"/>
      <c r="O241" s="309"/>
      <c r="P241" s="309"/>
      <c r="Q241" s="309"/>
      <c r="R241" s="309"/>
      <c r="S241" s="309"/>
      <c r="T241" s="309"/>
      <c r="U241" s="309"/>
      <c r="V241" s="309"/>
      <c r="W241" s="309"/>
      <c r="X241" s="309"/>
    </row>
    <row r="242" hidden="1">
      <c r="A242" s="348"/>
      <c r="B242" s="488"/>
      <c r="C242" s="309"/>
      <c r="D242" s="309"/>
      <c r="E242" s="489"/>
      <c r="F242" s="309"/>
      <c r="G242" s="407"/>
      <c r="H242" s="490"/>
      <c r="I242" s="491"/>
      <c r="J242" s="492"/>
      <c r="K242" s="493"/>
      <c r="L242" s="494"/>
      <c r="M242" s="309"/>
      <c r="N242" s="309"/>
      <c r="O242" s="309"/>
      <c r="P242" s="309"/>
      <c r="Q242" s="309"/>
      <c r="R242" s="309"/>
      <c r="S242" s="309"/>
      <c r="T242" s="309"/>
      <c r="U242" s="309"/>
      <c r="V242" s="309"/>
      <c r="W242" s="309"/>
      <c r="X242" s="309"/>
    </row>
    <row r="243" hidden="1">
      <c r="A243" s="348"/>
      <c r="B243" s="488"/>
      <c r="C243" s="309"/>
      <c r="D243" s="309"/>
      <c r="E243" s="489"/>
      <c r="F243" s="309"/>
      <c r="G243" s="407"/>
      <c r="H243" s="490"/>
      <c r="I243" s="491"/>
      <c r="J243" s="492"/>
      <c r="K243" s="493"/>
      <c r="L243" s="494"/>
      <c r="M243" s="309"/>
      <c r="N243" s="309"/>
      <c r="O243" s="309"/>
      <c r="P243" s="309"/>
      <c r="Q243" s="309"/>
      <c r="R243" s="309"/>
      <c r="S243" s="309"/>
      <c r="T243" s="309"/>
      <c r="U243" s="309"/>
      <c r="V243" s="309"/>
      <c r="W243" s="309"/>
      <c r="X243" s="309"/>
    </row>
    <row r="244" hidden="1">
      <c r="A244" s="348"/>
      <c r="B244" s="488"/>
      <c r="C244" s="309"/>
      <c r="D244" s="309"/>
      <c r="E244" s="489"/>
      <c r="F244" s="309"/>
      <c r="G244" s="407"/>
      <c r="H244" s="490"/>
      <c r="I244" s="491"/>
      <c r="J244" s="492"/>
      <c r="K244" s="493"/>
      <c r="L244" s="494"/>
      <c r="M244" s="309"/>
      <c r="N244" s="309"/>
      <c r="O244" s="309"/>
      <c r="P244" s="309"/>
      <c r="Q244" s="309"/>
      <c r="R244" s="309"/>
      <c r="S244" s="309"/>
      <c r="T244" s="309"/>
      <c r="U244" s="309"/>
      <c r="V244" s="309"/>
      <c r="W244" s="309"/>
      <c r="X244" s="309"/>
    </row>
    <row r="245" hidden="1">
      <c r="A245" s="348"/>
      <c r="B245" s="488"/>
      <c r="C245" s="309"/>
      <c r="D245" s="309"/>
      <c r="E245" s="489"/>
      <c r="F245" s="309"/>
      <c r="G245" s="407"/>
      <c r="H245" s="490"/>
      <c r="I245" s="491"/>
      <c r="J245" s="492"/>
      <c r="K245" s="493"/>
      <c r="L245" s="494"/>
      <c r="M245" s="309"/>
      <c r="N245" s="309"/>
      <c r="O245" s="309"/>
      <c r="P245" s="309"/>
      <c r="Q245" s="309"/>
      <c r="R245" s="309"/>
      <c r="S245" s="309"/>
      <c r="T245" s="309"/>
      <c r="U245" s="309"/>
      <c r="V245" s="309"/>
      <c r="W245" s="309"/>
      <c r="X245" s="309"/>
    </row>
    <row r="246" hidden="1">
      <c r="A246" s="348"/>
      <c r="B246" s="488"/>
      <c r="C246" s="309"/>
      <c r="D246" s="309"/>
      <c r="E246" s="489"/>
      <c r="F246" s="309"/>
      <c r="G246" s="407"/>
      <c r="H246" s="490"/>
      <c r="I246" s="491"/>
      <c r="J246" s="492"/>
      <c r="K246" s="493"/>
      <c r="L246" s="494"/>
      <c r="M246" s="309"/>
      <c r="N246" s="309"/>
      <c r="O246" s="309"/>
      <c r="P246" s="309"/>
      <c r="Q246" s="309"/>
      <c r="R246" s="309"/>
      <c r="S246" s="309"/>
      <c r="T246" s="309"/>
      <c r="U246" s="309"/>
      <c r="V246" s="309"/>
      <c r="W246" s="309"/>
      <c r="X246" s="309"/>
    </row>
    <row r="247" hidden="1">
      <c r="A247" s="348"/>
      <c r="B247" s="488"/>
      <c r="C247" s="309"/>
      <c r="D247" s="309"/>
      <c r="E247" s="489"/>
      <c r="F247" s="309"/>
      <c r="G247" s="407"/>
      <c r="H247" s="490"/>
      <c r="I247" s="491"/>
      <c r="J247" s="492"/>
      <c r="K247" s="493"/>
      <c r="L247" s="494"/>
      <c r="M247" s="309"/>
      <c r="N247" s="309"/>
      <c r="O247" s="309"/>
      <c r="P247" s="309"/>
      <c r="Q247" s="309"/>
      <c r="R247" s="309"/>
      <c r="S247" s="309"/>
      <c r="T247" s="309"/>
      <c r="U247" s="309"/>
      <c r="V247" s="309"/>
      <c r="W247" s="309"/>
      <c r="X247" s="309"/>
    </row>
    <row r="248" hidden="1">
      <c r="A248" s="348"/>
      <c r="B248" s="488"/>
      <c r="C248" s="309"/>
      <c r="D248" s="309"/>
      <c r="E248" s="489"/>
      <c r="F248" s="309"/>
      <c r="G248" s="407"/>
      <c r="H248" s="490"/>
      <c r="I248" s="491"/>
      <c r="J248" s="492"/>
      <c r="K248" s="493"/>
      <c r="L248" s="494"/>
      <c r="M248" s="309"/>
      <c r="N248" s="309"/>
      <c r="O248" s="309"/>
      <c r="P248" s="309"/>
      <c r="Q248" s="309"/>
      <c r="R248" s="309"/>
      <c r="S248" s="309"/>
      <c r="T248" s="309"/>
      <c r="U248" s="309"/>
      <c r="V248" s="309"/>
      <c r="W248" s="309"/>
      <c r="X248" s="309"/>
    </row>
    <row r="249" hidden="1">
      <c r="A249" s="348"/>
      <c r="B249" s="488"/>
      <c r="C249" s="309"/>
      <c r="D249" s="309"/>
      <c r="E249" s="489"/>
      <c r="F249" s="309"/>
      <c r="G249" s="407"/>
      <c r="H249" s="490"/>
      <c r="I249" s="491"/>
      <c r="J249" s="492"/>
      <c r="K249" s="493"/>
      <c r="L249" s="494"/>
      <c r="M249" s="309"/>
      <c r="N249" s="309"/>
      <c r="O249" s="309"/>
      <c r="P249" s="309"/>
      <c r="Q249" s="309"/>
      <c r="R249" s="309"/>
      <c r="S249" s="309"/>
      <c r="T249" s="309"/>
      <c r="U249" s="309"/>
      <c r="V249" s="309"/>
      <c r="W249" s="309"/>
      <c r="X249" s="309"/>
    </row>
    <row r="250" hidden="1">
      <c r="A250" s="348"/>
      <c r="B250" s="488"/>
      <c r="C250" s="309"/>
      <c r="D250" s="309"/>
      <c r="E250" s="489"/>
      <c r="F250" s="309"/>
      <c r="G250" s="407"/>
      <c r="H250" s="490"/>
      <c r="I250" s="491"/>
      <c r="J250" s="492"/>
      <c r="K250" s="493"/>
      <c r="L250" s="494"/>
      <c r="M250" s="309"/>
      <c r="N250" s="309"/>
      <c r="O250" s="309"/>
      <c r="P250" s="309"/>
      <c r="Q250" s="309"/>
      <c r="R250" s="309"/>
      <c r="S250" s="309"/>
      <c r="T250" s="309"/>
      <c r="U250" s="309"/>
      <c r="V250" s="309"/>
      <c r="W250" s="309"/>
      <c r="X250" s="309"/>
    </row>
    <row r="251" hidden="1">
      <c r="A251" s="348"/>
      <c r="B251" s="488"/>
      <c r="C251" s="309"/>
      <c r="D251" s="309"/>
      <c r="E251" s="489"/>
      <c r="F251" s="309"/>
      <c r="G251" s="407"/>
      <c r="H251" s="490"/>
      <c r="I251" s="491"/>
      <c r="J251" s="492"/>
      <c r="K251" s="493"/>
      <c r="L251" s="494"/>
      <c r="M251" s="309"/>
      <c r="N251" s="309"/>
      <c r="O251" s="309"/>
      <c r="P251" s="309"/>
      <c r="Q251" s="309"/>
      <c r="R251" s="309"/>
      <c r="S251" s="309"/>
      <c r="T251" s="309"/>
      <c r="U251" s="309"/>
      <c r="V251" s="309"/>
      <c r="W251" s="309"/>
      <c r="X251" s="309"/>
    </row>
    <row r="252" hidden="1">
      <c r="A252" s="348"/>
      <c r="B252" s="488"/>
      <c r="C252" s="309"/>
      <c r="D252" s="309"/>
      <c r="E252" s="489"/>
      <c r="F252" s="309"/>
      <c r="G252" s="407"/>
      <c r="H252" s="490"/>
      <c r="I252" s="491"/>
      <c r="J252" s="492"/>
      <c r="K252" s="493"/>
      <c r="L252" s="494"/>
      <c r="M252" s="309"/>
      <c r="N252" s="309"/>
      <c r="O252" s="309"/>
      <c r="P252" s="309"/>
      <c r="Q252" s="309"/>
      <c r="R252" s="309"/>
      <c r="S252" s="309"/>
      <c r="T252" s="309"/>
      <c r="U252" s="309"/>
      <c r="V252" s="309"/>
      <c r="W252" s="309"/>
      <c r="X252" s="309"/>
    </row>
    <row r="253" hidden="1">
      <c r="A253" s="348"/>
      <c r="B253" s="488"/>
      <c r="C253" s="309"/>
      <c r="D253" s="309"/>
      <c r="E253" s="489"/>
      <c r="F253" s="309"/>
      <c r="G253" s="407"/>
      <c r="H253" s="490"/>
      <c r="I253" s="491"/>
      <c r="J253" s="492"/>
      <c r="K253" s="493"/>
      <c r="L253" s="494"/>
      <c r="M253" s="309"/>
      <c r="N253" s="309"/>
      <c r="O253" s="309"/>
      <c r="P253" s="309"/>
      <c r="Q253" s="309"/>
      <c r="R253" s="309"/>
      <c r="S253" s="309"/>
      <c r="T253" s="309"/>
      <c r="U253" s="309"/>
      <c r="V253" s="309"/>
      <c r="W253" s="309"/>
      <c r="X253" s="309"/>
    </row>
    <row r="254" hidden="1">
      <c r="A254" s="348"/>
      <c r="B254" s="488"/>
      <c r="C254" s="309"/>
      <c r="D254" s="309"/>
      <c r="E254" s="489"/>
      <c r="F254" s="309"/>
      <c r="G254" s="407"/>
      <c r="H254" s="490"/>
      <c r="I254" s="491"/>
      <c r="J254" s="492"/>
      <c r="K254" s="493"/>
      <c r="L254" s="494"/>
      <c r="M254" s="309"/>
      <c r="N254" s="309"/>
      <c r="O254" s="309"/>
      <c r="P254" s="309"/>
      <c r="Q254" s="309"/>
      <c r="R254" s="309"/>
      <c r="S254" s="309"/>
      <c r="T254" s="309"/>
      <c r="U254" s="309"/>
      <c r="V254" s="309"/>
      <c r="W254" s="309"/>
      <c r="X254" s="309"/>
    </row>
    <row r="255" hidden="1">
      <c r="A255" s="348"/>
      <c r="B255" s="488"/>
      <c r="C255" s="309"/>
      <c r="D255" s="309"/>
      <c r="E255" s="489"/>
      <c r="F255" s="309"/>
      <c r="G255" s="407"/>
      <c r="H255" s="490"/>
      <c r="I255" s="491"/>
      <c r="J255" s="492"/>
      <c r="K255" s="493"/>
      <c r="L255" s="494"/>
      <c r="M255" s="309"/>
      <c r="N255" s="309"/>
      <c r="O255" s="309"/>
      <c r="P255" s="309"/>
      <c r="Q255" s="309"/>
      <c r="R255" s="309"/>
      <c r="S255" s="309"/>
      <c r="T255" s="309"/>
      <c r="U255" s="309"/>
      <c r="V255" s="309"/>
      <c r="W255" s="309"/>
      <c r="X255" s="309"/>
    </row>
    <row r="256" hidden="1">
      <c r="A256" s="348"/>
      <c r="B256" s="488"/>
      <c r="C256" s="309"/>
      <c r="D256" s="309"/>
      <c r="E256" s="489"/>
      <c r="F256" s="309"/>
      <c r="G256" s="407"/>
      <c r="H256" s="490"/>
      <c r="I256" s="491"/>
      <c r="J256" s="492"/>
      <c r="K256" s="493"/>
      <c r="L256" s="494"/>
      <c r="M256" s="309"/>
      <c r="N256" s="309"/>
      <c r="O256" s="309"/>
      <c r="P256" s="309"/>
      <c r="Q256" s="309"/>
      <c r="R256" s="309"/>
      <c r="S256" s="309"/>
      <c r="T256" s="309"/>
      <c r="U256" s="309"/>
      <c r="V256" s="309"/>
      <c r="W256" s="309"/>
      <c r="X256" s="309"/>
    </row>
    <row r="257" hidden="1">
      <c r="A257" s="348"/>
      <c r="B257" s="488"/>
      <c r="C257" s="309"/>
      <c r="D257" s="309"/>
      <c r="E257" s="489"/>
      <c r="F257" s="309"/>
      <c r="G257" s="407"/>
      <c r="H257" s="490"/>
      <c r="I257" s="491"/>
      <c r="J257" s="492"/>
      <c r="K257" s="493"/>
      <c r="L257" s="494"/>
      <c r="M257" s="309"/>
      <c r="N257" s="309"/>
      <c r="O257" s="309"/>
      <c r="P257" s="309"/>
      <c r="Q257" s="309"/>
      <c r="R257" s="309"/>
      <c r="S257" s="309"/>
      <c r="T257" s="309"/>
      <c r="U257" s="309"/>
      <c r="V257" s="309"/>
      <c r="W257" s="309"/>
      <c r="X257" s="309"/>
    </row>
    <row r="258" hidden="1">
      <c r="A258" s="348"/>
      <c r="B258" s="488"/>
      <c r="C258" s="309"/>
      <c r="D258" s="309"/>
      <c r="E258" s="489"/>
      <c r="F258" s="309"/>
      <c r="G258" s="407"/>
      <c r="H258" s="490"/>
      <c r="I258" s="491"/>
      <c r="J258" s="492"/>
      <c r="K258" s="493"/>
      <c r="L258" s="494"/>
      <c r="M258" s="309"/>
      <c r="N258" s="309"/>
      <c r="O258" s="309"/>
      <c r="P258" s="309"/>
      <c r="Q258" s="309"/>
      <c r="R258" s="309"/>
      <c r="S258" s="309"/>
      <c r="T258" s="309"/>
      <c r="U258" s="309"/>
      <c r="V258" s="309"/>
      <c r="W258" s="309"/>
      <c r="X258" s="309"/>
    </row>
    <row r="259" hidden="1">
      <c r="A259" s="348"/>
      <c r="B259" s="488"/>
      <c r="C259" s="309"/>
      <c r="D259" s="309"/>
      <c r="E259" s="489"/>
      <c r="F259" s="309"/>
      <c r="G259" s="407"/>
      <c r="H259" s="490"/>
      <c r="I259" s="491"/>
      <c r="J259" s="492"/>
      <c r="K259" s="493"/>
      <c r="L259" s="494"/>
      <c r="M259" s="309"/>
      <c r="N259" s="309"/>
      <c r="O259" s="309"/>
      <c r="P259" s="309"/>
      <c r="Q259" s="309"/>
      <c r="R259" s="309"/>
      <c r="S259" s="309"/>
      <c r="T259" s="309"/>
      <c r="U259" s="309"/>
      <c r="V259" s="309"/>
      <c r="W259" s="309"/>
      <c r="X259" s="309"/>
    </row>
    <row r="260" hidden="1">
      <c r="A260" s="348"/>
      <c r="B260" s="488"/>
      <c r="C260" s="309"/>
      <c r="D260" s="309"/>
      <c r="E260" s="489"/>
      <c r="F260" s="309"/>
      <c r="G260" s="407"/>
      <c r="H260" s="490"/>
      <c r="I260" s="491"/>
      <c r="J260" s="492"/>
      <c r="K260" s="493"/>
      <c r="L260" s="494"/>
      <c r="M260" s="309"/>
      <c r="N260" s="309"/>
      <c r="O260" s="309"/>
      <c r="P260" s="309"/>
      <c r="Q260" s="309"/>
      <c r="R260" s="309"/>
      <c r="S260" s="309"/>
      <c r="T260" s="309"/>
      <c r="U260" s="309"/>
      <c r="V260" s="309"/>
      <c r="W260" s="309"/>
      <c r="X260" s="309"/>
    </row>
    <row r="261" hidden="1">
      <c r="A261" s="348"/>
      <c r="B261" s="488"/>
      <c r="C261" s="309"/>
      <c r="D261" s="309"/>
      <c r="E261" s="489"/>
      <c r="F261" s="309"/>
      <c r="G261" s="407"/>
      <c r="H261" s="490"/>
      <c r="I261" s="491"/>
      <c r="J261" s="492"/>
      <c r="K261" s="493"/>
      <c r="L261" s="494"/>
      <c r="M261" s="309"/>
      <c r="N261" s="309"/>
      <c r="O261" s="309"/>
      <c r="P261" s="309"/>
      <c r="Q261" s="309"/>
      <c r="R261" s="309"/>
      <c r="S261" s="309"/>
      <c r="T261" s="309"/>
      <c r="U261" s="309"/>
      <c r="V261" s="309"/>
      <c r="W261" s="309"/>
      <c r="X261" s="309"/>
    </row>
    <row r="262" hidden="1">
      <c r="A262" s="348"/>
      <c r="B262" s="488"/>
      <c r="C262" s="309"/>
      <c r="D262" s="309"/>
      <c r="E262" s="489"/>
      <c r="F262" s="309"/>
      <c r="G262" s="407"/>
      <c r="H262" s="490"/>
      <c r="I262" s="491"/>
      <c r="J262" s="492"/>
      <c r="K262" s="493"/>
      <c r="L262" s="494"/>
      <c r="M262" s="309"/>
      <c r="N262" s="309"/>
      <c r="O262" s="309"/>
      <c r="P262" s="309"/>
      <c r="Q262" s="309"/>
      <c r="R262" s="309"/>
      <c r="S262" s="309"/>
      <c r="T262" s="309"/>
      <c r="U262" s="309"/>
      <c r="V262" s="309"/>
      <c r="W262" s="309"/>
      <c r="X262" s="309"/>
    </row>
    <row r="263" hidden="1">
      <c r="A263" s="348"/>
      <c r="B263" s="488"/>
      <c r="C263" s="309"/>
      <c r="D263" s="309"/>
      <c r="E263" s="489"/>
      <c r="F263" s="309"/>
      <c r="G263" s="407"/>
      <c r="H263" s="490"/>
      <c r="I263" s="491"/>
      <c r="J263" s="492"/>
      <c r="K263" s="493"/>
      <c r="L263" s="494"/>
      <c r="M263" s="309"/>
      <c r="N263" s="309"/>
      <c r="O263" s="309"/>
      <c r="P263" s="309"/>
      <c r="Q263" s="309"/>
      <c r="R263" s="309"/>
      <c r="S263" s="309"/>
      <c r="T263" s="309"/>
      <c r="U263" s="309"/>
      <c r="V263" s="309"/>
      <c r="W263" s="309"/>
      <c r="X263" s="309"/>
    </row>
    <row r="264" hidden="1">
      <c r="A264" s="348"/>
      <c r="B264" s="488"/>
      <c r="C264" s="309"/>
      <c r="D264" s="309"/>
      <c r="E264" s="489"/>
      <c r="F264" s="309"/>
      <c r="G264" s="407"/>
      <c r="H264" s="490"/>
      <c r="I264" s="491"/>
      <c r="J264" s="492"/>
      <c r="K264" s="493"/>
      <c r="L264" s="494"/>
      <c r="M264" s="309"/>
      <c r="N264" s="309"/>
      <c r="O264" s="309"/>
      <c r="P264" s="309"/>
      <c r="Q264" s="309"/>
      <c r="R264" s="309"/>
      <c r="S264" s="309"/>
      <c r="T264" s="309"/>
      <c r="U264" s="309"/>
      <c r="V264" s="309"/>
      <c r="W264" s="309"/>
      <c r="X264" s="309"/>
    </row>
    <row r="265" hidden="1">
      <c r="A265" s="348"/>
      <c r="B265" s="488"/>
      <c r="C265" s="309"/>
      <c r="D265" s="309"/>
      <c r="E265" s="489"/>
      <c r="F265" s="309"/>
      <c r="G265" s="407"/>
      <c r="H265" s="490"/>
      <c r="I265" s="491"/>
      <c r="J265" s="492"/>
      <c r="K265" s="493"/>
      <c r="L265" s="494"/>
      <c r="M265" s="309"/>
      <c r="N265" s="309"/>
      <c r="O265" s="309"/>
      <c r="P265" s="309"/>
      <c r="Q265" s="309"/>
      <c r="R265" s="309"/>
      <c r="S265" s="309"/>
      <c r="T265" s="309"/>
      <c r="U265" s="309"/>
      <c r="V265" s="309"/>
      <c r="W265" s="309"/>
      <c r="X265" s="309"/>
    </row>
    <row r="266" hidden="1">
      <c r="A266" s="348"/>
      <c r="B266" s="488"/>
      <c r="C266" s="309"/>
      <c r="D266" s="309"/>
      <c r="E266" s="489"/>
      <c r="F266" s="309"/>
      <c r="G266" s="407"/>
      <c r="H266" s="490"/>
      <c r="I266" s="491"/>
      <c r="J266" s="492"/>
      <c r="K266" s="493"/>
      <c r="L266" s="494"/>
      <c r="M266" s="309"/>
      <c r="N266" s="309"/>
      <c r="O266" s="309"/>
      <c r="P266" s="309"/>
      <c r="Q266" s="309"/>
      <c r="R266" s="309"/>
      <c r="S266" s="309"/>
      <c r="T266" s="309"/>
      <c r="U266" s="309"/>
      <c r="V266" s="309"/>
      <c r="W266" s="309"/>
      <c r="X266" s="309"/>
    </row>
    <row r="267" hidden="1">
      <c r="A267" s="348"/>
      <c r="B267" s="488"/>
      <c r="C267" s="309"/>
      <c r="D267" s="309"/>
      <c r="E267" s="489"/>
      <c r="F267" s="309"/>
      <c r="G267" s="407"/>
      <c r="H267" s="490"/>
      <c r="I267" s="491"/>
      <c r="J267" s="492"/>
      <c r="K267" s="493"/>
      <c r="L267" s="494"/>
      <c r="M267" s="309"/>
      <c r="N267" s="309"/>
      <c r="O267" s="309"/>
      <c r="P267" s="309"/>
      <c r="Q267" s="309"/>
      <c r="R267" s="309"/>
      <c r="S267" s="309"/>
      <c r="T267" s="309"/>
      <c r="U267" s="309"/>
      <c r="V267" s="309"/>
      <c r="W267" s="309"/>
      <c r="X267" s="309"/>
    </row>
    <row r="268" hidden="1">
      <c r="A268" s="348"/>
      <c r="B268" s="488"/>
      <c r="C268" s="309"/>
      <c r="D268" s="309"/>
      <c r="E268" s="489"/>
      <c r="F268" s="309"/>
      <c r="G268" s="407"/>
      <c r="H268" s="490"/>
      <c r="I268" s="491"/>
      <c r="J268" s="492"/>
      <c r="K268" s="493"/>
      <c r="L268" s="494"/>
      <c r="M268" s="309"/>
      <c r="N268" s="309"/>
      <c r="O268" s="309"/>
      <c r="P268" s="309"/>
      <c r="Q268" s="309"/>
      <c r="R268" s="309"/>
      <c r="S268" s="309"/>
      <c r="T268" s="309"/>
      <c r="U268" s="309"/>
      <c r="V268" s="309"/>
      <c r="W268" s="309"/>
      <c r="X268" s="309"/>
    </row>
    <row r="269" hidden="1">
      <c r="A269" s="348"/>
      <c r="B269" s="488"/>
      <c r="C269" s="309"/>
      <c r="D269" s="309"/>
      <c r="E269" s="489"/>
      <c r="F269" s="309"/>
      <c r="G269" s="407"/>
      <c r="H269" s="490"/>
      <c r="I269" s="491"/>
      <c r="J269" s="492"/>
      <c r="K269" s="493"/>
      <c r="L269" s="494"/>
      <c r="M269" s="309"/>
      <c r="N269" s="309"/>
      <c r="O269" s="309"/>
      <c r="P269" s="309"/>
      <c r="Q269" s="309"/>
      <c r="R269" s="309"/>
      <c r="S269" s="309"/>
      <c r="T269" s="309"/>
      <c r="U269" s="309"/>
      <c r="V269" s="309"/>
      <c r="W269" s="309"/>
      <c r="X269" s="309"/>
    </row>
    <row r="270" hidden="1">
      <c r="A270" s="348"/>
      <c r="B270" s="488"/>
      <c r="C270" s="309"/>
      <c r="D270" s="309"/>
      <c r="E270" s="489"/>
      <c r="F270" s="309"/>
      <c r="G270" s="407"/>
      <c r="H270" s="490"/>
      <c r="I270" s="491"/>
      <c r="J270" s="492"/>
      <c r="K270" s="493"/>
      <c r="L270" s="494"/>
      <c r="M270" s="309"/>
      <c r="N270" s="309"/>
      <c r="O270" s="309"/>
      <c r="P270" s="309"/>
      <c r="Q270" s="309"/>
      <c r="R270" s="309"/>
      <c r="S270" s="309"/>
      <c r="T270" s="309"/>
      <c r="U270" s="309"/>
      <c r="V270" s="309"/>
      <c r="W270" s="309"/>
      <c r="X270" s="309"/>
    </row>
    <row r="271" hidden="1">
      <c r="A271" s="348"/>
      <c r="B271" s="488"/>
      <c r="C271" s="309"/>
      <c r="D271" s="309"/>
      <c r="E271" s="489"/>
      <c r="F271" s="309"/>
      <c r="G271" s="407"/>
      <c r="H271" s="490"/>
      <c r="I271" s="491"/>
      <c r="J271" s="492"/>
      <c r="K271" s="493"/>
      <c r="L271" s="494"/>
      <c r="M271" s="309"/>
      <c r="N271" s="309"/>
      <c r="O271" s="309"/>
      <c r="P271" s="309"/>
      <c r="Q271" s="309"/>
      <c r="R271" s="309"/>
      <c r="S271" s="309"/>
      <c r="T271" s="309"/>
      <c r="U271" s="309"/>
      <c r="V271" s="309"/>
      <c r="W271" s="309"/>
      <c r="X271" s="309"/>
    </row>
    <row r="272" hidden="1">
      <c r="A272" s="348"/>
      <c r="B272" s="488"/>
      <c r="C272" s="309"/>
      <c r="D272" s="309"/>
      <c r="E272" s="489"/>
      <c r="F272" s="309"/>
      <c r="G272" s="407"/>
      <c r="H272" s="490"/>
      <c r="I272" s="491"/>
      <c r="J272" s="492"/>
      <c r="K272" s="493"/>
      <c r="L272" s="494"/>
      <c r="M272" s="309"/>
      <c r="N272" s="309"/>
      <c r="O272" s="309"/>
      <c r="P272" s="309"/>
      <c r="Q272" s="309"/>
      <c r="R272" s="309"/>
      <c r="S272" s="309"/>
      <c r="T272" s="309"/>
      <c r="U272" s="309"/>
      <c r="V272" s="309"/>
      <c r="W272" s="309"/>
      <c r="X272" s="309"/>
    </row>
    <row r="273" hidden="1">
      <c r="A273" s="348"/>
      <c r="B273" s="488"/>
      <c r="C273" s="309"/>
      <c r="D273" s="309"/>
      <c r="E273" s="489"/>
      <c r="F273" s="309"/>
      <c r="G273" s="407"/>
      <c r="H273" s="490"/>
      <c r="I273" s="491"/>
      <c r="J273" s="492"/>
      <c r="K273" s="493"/>
      <c r="L273" s="494"/>
      <c r="M273" s="309"/>
      <c r="N273" s="309"/>
      <c r="O273" s="309"/>
      <c r="P273" s="309"/>
      <c r="Q273" s="309"/>
      <c r="R273" s="309"/>
      <c r="S273" s="309"/>
      <c r="T273" s="309"/>
      <c r="U273" s="309"/>
      <c r="V273" s="309"/>
      <c r="W273" s="309"/>
      <c r="X273" s="309"/>
    </row>
    <row r="274" hidden="1">
      <c r="A274" s="348"/>
      <c r="B274" s="488"/>
      <c r="C274" s="309"/>
      <c r="D274" s="309"/>
      <c r="E274" s="489"/>
      <c r="F274" s="309"/>
      <c r="G274" s="407"/>
      <c r="H274" s="490"/>
      <c r="I274" s="491"/>
      <c r="J274" s="492"/>
      <c r="K274" s="493"/>
      <c r="L274" s="494"/>
      <c r="M274" s="309"/>
      <c r="N274" s="309"/>
      <c r="O274" s="309"/>
      <c r="P274" s="309"/>
      <c r="Q274" s="309"/>
      <c r="R274" s="309"/>
      <c r="S274" s="309"/>
      <c r="T274" s="309"/>
      <c r="U274" s="309"/>
      <c r="V274" s="309"/>
      <c r="W274" s="309"/>
      <c r="X274" s="309"/>
    </row>
    <row r="275" hidden="1">
      <c r="A275" s="348"/>
      <c r="B275" s="488"/>
      <c r="C275" s="309"/>
      <c r="D275" s="309"/>
      <c r="E275" s="489"/>
      <c r="F275" s="309"/>
      <c r="G275" s="407"/>
      <c r="H275" s="490"/>
      <c r="I275" s="491"/>
      <c r="J275" s="492"/>
      <c r="K275" s="493"/>
      <c r="L275" s="494"/>
      <c r="M275" s="309"/>
      <c r="N275" s="309"/>
      <c r="O275" s="309"/>
      <c r="P275" s="309"/>
      <c r="Q275" s="309"/>
      <c r="R275" s="309"/>
      <c r="S275" s="309"/>
      <c r="T275" s="309"/>
      <c r="U275" s="309"/>
      <c r="V275" s="309"/>
      <c r="W275" s="309"/>
      <c r="X275" s="309"/>
    </row>
    <row r="276" hidden="1">
      <c r="A276" s="348"/>
      <c r="B276" s="488"/>
      <c r="C276" s="309"/>
      <c r="D276" s="309"/>
      <c r="E276" s="489"/>
      <c r="F276" s="309"/>
      <c r="G276" s="407"/>
      <c r="H276" s="490"/>
      <c r="I276" s="491"/>
      <c r="J276" s="492"/>
      <c r="K276" s="493"/>
      <c r="L276" s="494"/>
      <c r="M276" s="309"/>
      <c r="N276" s="309"/>
      <c r="O276" s="309"/>
      <c r="P276" s="309"/>
      <c r="Q276" s="309"/>
      <c r="R276" s="309"/>
      <c r="S276" s="309"/>
      <c r="T276" s="309"/>
      <c r="U276" s="309"/>
      <c r="V276" s="309"/>
      <c r="W276" s="309"/>
      <c r="X276" s="309"/>
    </row>
    <row r="277" hidden="1">
      <c r="A277" s="348"/>
      <c r="B277" s="488"/>
      <c r="C277" s="309"/>
      <c r="D277" s="309"/>
      <c r="E277" s="489"/>
      <c r="F277" s="309"/>
      <c r="G277" s="407"/>
      <c r="H277" s="490"/>
      <c r="I277" s="491"/>
      <c r="J277" s="492"/>
      <c r="K277" s="493"/>
      <c r="L277" s="494"/>
      <c r="M277" s="309"/>
      <c r="N277" s="309"/>
      <c r="O277" s="309"/>
      <c r="P277" s="309"/>
      <c r="Q277" s="309"/>
      <c r="R277" s="309"/>
      <c r="S277" s="309"/>
      <c r="T277" s="309"/>
      <c r="U277" s="309"/>
      <c r="V277" s="309"/>
      <c r="W277" s="309"/>
      <c r="X277" s="309"/>
    </row>
    <row r="278" hidden="1">
      <c r="A278" s="348"/>
      <c r="B278" s="488"/>
      <c r="C278" s="309"/>
      <c r="D278" s="309"/>
      <c r="E278" s="489"/>
      <c r="F278" s="309"/>
      <c r="G278" s="407"/>
      <c r="H278" s="490"/>
      <c r="I278" s="491"/>
      <c r="J278" s="492"/>
      <c r="K278" s="493"/>
      <c r="L278" s="494"/>
      <c r="M278" s="309"/>
      <c r="N278" s="309"/>
      <c r="O278" s="309"/>
      <c r="P278" s="309"/>
      <c r="Q278" s="309"/>
      <c r="R278" s="309"/>
      <c r="S278" s="309"/>
      <c r="T278" s="309"/>
      <c r="U278" s="309"/>
      <c r="V278" s="309"/>
      <c r="W278" s="309"/>
      <c r="X278" s="309"/>
    </row>
    <row r="279" hidden="1">
      <c r="A279" s="348"/>
      <c r="B279" s="488"/>
      <c r="C279" s="309"/>
      <c r="D279" s="309"/>
      <c r="E279" s="489"/>
      <c r="F279" s="309"/>
      <c r="G279" s="407"/>
      <c r="H279" s="490"/>
      <c r="I279" s="491"/>
      <c r="J279" s="492"/>
      <c r="K279" s="493"/>
      <c r="L279" s="494"/>
      <c r="M279" s="309"/>
      <c r="N279" s="309"/>
      <c r="O279" s="309"/>
      <c r="P279" s="309"/>
      <c r="Q279" s="309"/>
      <c r="R279" s="309"/>
      <c r="S279" s="309"/>
      <c r="T279" s="309"/>
      <c r="U279" s="309"/>
      <c r="V279" s="309"/>
      <c r="W279" s="309"/>
      <c r="X279" s="309"/>
    </row>
    <row r="280" hidden="1">
      <c r="A280" s="348"/>
      <c r="B280" s="488"/>
      <c r="C280" s="309"/>
      <c r="D280" s="309"/>
      <c r="E280" s="489"/>
      <c r="F280" s="309"/>
      <c r="G280" s="407"/>
      <c r="H280" s="490"/>
      <c r="I280" s="491"/>
      <c r="J280" s="492"/>
      <c r="K280" s="493"/>
      <c r="L280" s="494"/>
      <c r="M280" s="309"/>
      <c r="N280" s="309"/>
      <c r="O280" s="309"/>
      <c r="P280" s="309"/>
      <c r="Q280" s="309"/>
      <c r="R280" s="309"/>
      <c r="S280" s="309"/>
      <c r="T280" s="309"/>
      <c r="U280" s="309"/>
      <c r="V280" s="309"/>
      <c r="W280" s="309"/>
      <c r="X280" s="309"/>
    </row>
    <row r="281" hidden="1">
      <c r="A281" s="348"/>
      <c r="B281" s="488"/>
      <c r="C281" s="309"/>
      <c r="D281" s="309"/>
      <c r="E281" s="489"/>
      <c r="F281" s="309"/>
      <c r="G281" s="407"/>
      <c r="H281" s="490"/>
      <c r="I281" s="491"/>
      <c r="J281" s="492"/>
      <c r="K281" s="493"/>
      <c r="L281" s="494"/>
      <c r="M281" s="309"/>
      <c r="N281" s="309"/>
      <c r="O281" s="309"/>
      <c r="P281" s="309"/>
      <c r="Q281" s="309"/>
      <c r="R281" s="309"/>
      <c r="S281" s="309"/>
      <c r="T281" s="309"/>
      <c r="U281" s="309"/>
      <c r="V281" s="309"/>
      <c r="W281" s="309"/>
      <c r="X281" s="309"/>
    </row>
    <row r="282" hidden="1">
      <c r="A282" s="348"/>
      <c r="B282" s="488"/>
      <c r="C282" s="309"/>
      <c r="D282" s="309"/>
      <c r="E282" s="489"/>
      <c r="F282" s="309"/>
      <c r="G282" s="407"/>
      <c r="H282" s="490"/>
      <c r="I282" s="491"/>
      <c r="J282" s="492"/>
      <c r="K282" s="493"/>
      <c r="L282" s="494"/>
      <c r="M282" s="309"/>
      <c r="N282" s="309"/>
      <c r="O282" s="309"/>
      <c r="P282" s="309"/>
      <c r="Q282" s="309"/>
      <c r="R282" s="309"/>
      <c r="S282" s="309"/>
      <c r="T282" s="309"/>
      <c r="U282" s="309"/>
      <c r="V282" s="309"/>
      <c r="W282" s="309"/>
      <c r="X282" s="309"/>
    </row>
    <row r="283" hidden="1">
      <c r="A283" s="348"/>
      <c r="B283" s="488"/>
      <c r="C283" s="309"/>
      <c r="D283" s="309"/>
      <c r="E283" s="489"/>
      <c r="F283" s="309"/>
      <c r="G283" s="407"/>
      <c r="H283" s="490"/>
      <c r="I283" s="491"/>
      <c r="J283" s="492"/>
      <c r="K283" s="493"/>
      <c r="L283" s="494"/>
      <c r="M283" s="309"/>
      <c r="N283" s="309"/>
      <c r="O283" s="309"/>
      <c r="P283" s="309"/>
      <c r="Q283" s="309"/>
      <c r="R283" s="309"/>
      <c r="S283" s="309"/>
      <c r="T283" s="309"/>
      <c r="U283" s="309"/>
      <c r="V283" s="309"/>
      <c r="W283" s="309"/>
      <c r="X283" s="309"/>
    </row>
    <row r="284" hidden="1">
      <c r="A284" s="348"/>
      <c r="B284" s="488"/>
      <c r="C284" s="309"/>
      <c r="D284" s="309"/>
      <c r="E284" s="489"/>
      <c r="F284" s="309"/>
      <c r="G284" s="407"/>
      <c r="H284" s="490"/>
      <c r="I284" s="491"/>
      <c r="J284" s="492"/>
      <c r="K284" s="493"/>
      <c r="L284" s="494"/>
      <c r="M284" s="309"/>
      <c r="N284" s="309"/>
      <c r="O284" s="309"/>
      <c r="P284" s="309"/>
      <c r="Q284" s="309"/>
      <c r="R284" s="309"/>
      <c r="S284" s="309"/>
      <c r="T284" s="309"/>
      <c r="U284" s="309"/>
      <c r="V284" s="309"/>
      <c r="W284" s="309"/>
      <c r="X284" s="309"/>
    </row>
    <row r="285" hidden="1">
      <c r="A285" s="348"/>
      <c r="B285" s="488"/>
      <c r="C285" s="309"/>
      <c r="D285" s="309"/>
      <c r="E285" s="489"/>
      <c r="F285" s="309"/>
      <c r="G285" s="407"/>
      <c r="H285" s="490"/>
      <c r="I285" s="491"/>
      <c r="J285" s="492"/>
      <c r="K285" s="493"/>
      <c r="L285" s="494"/>
      <c r="M285" s="309"/>
      <c r="N285" s="309"/>
      <c r="O285" s="309"/>
      <c r="P285" s="309"/>
      <c r="Q285" s="309"/>
      <c r="R285" s="309"/>
      <c r="S285" s="309"/>
      <c r="T285" s="309"/>
      <c r="U285" s="309"/>
      <c r="V285" s="309"/>
      <c r="W285" s="309"/>
      <c r="X285" s="309"/>
    </row>
    <row r="286" hidden="1">
      <c r="A286" s="348"/>
      <c r="B286" s="488"/>
      <c r="C286" s="309"/>
      <c r="D286" s="309"/>
      <c r="E286" s="489"/>
      <c r="F286" s="309"/>
      <c r="G286" s="407"/>
      <c r="H286" s="490"/>
      <c r="I286" s="491"/>
      <c r="J286" s="492"/>
      <c r="K286" s="493"/>
      <c r="L286" s="494"/>
      <c r="M286" s="309"/>
      <c r="N286" s="309"/>
      <c r="O286" s="309"/>
      <c r="P286" s="309"/>
      <c r="Q286" s="309"/>
      <c r="R286" s="309"/>
      <c r="S286" s="309"/>
      <c r="T286" s="309"/>
      <c r="U286" s="309"/>
      <c r="V286" s="309"/>
      <c r="W286" s="309"/>
      <c r="X286" s="309"/>
    </row>
    <row r="287" hidden="1">
      <c r="A287" s="348"/>
      <c r="B287" s="488"/>
      <c r="C287" s="309"/>
      <c r="D287" s="309"/>
      <c r="E287" s="489"/>
      <c r="F287" s="309"/>
      <c r="G287" s="407"/>
      <c r="H287" s="490"/>
      <c r="I287" s="491"/>
      <c r="J287" s="492"/>
      <c r="K287" s="493"/>
      <c r="L287" s="494"/>
      <c r="M287" s="309"/>
      <c r="N287" s="309"/>
      <c r="O287" s="309"/>
      <c r="P287" s="309"/>
      <c r="Q287" s="309"/>
      <c r="R287" s="309"/>
      <c r="S287" s="309"/>
      <c r="T287" s="309"/>
      <c r="U287" s="309"/>
      <c r="V287" s="309"/>
      <c r="W287" s="309"/>
      <c r="X287" s="309"/>
    </row>
    <row r="288" hidden="1">
      <c r="A288" s="348"/>
      <c r="B288" s="488"/>
      <c r="C288" s="309"/>
      <c r="D288" s="309"/>
      <c r="E288" s="489"/>
      <c r="F288" s="309"/>
      <c r="G288" s="407"/>
      <c r="H288" s="490"/>
      <c r="I288" s="491"/>
      <c r="J288" s="492"/>
      <c r="K288" s="493"/>
      <c r="L288" s="494"/>
      <c r="M288" s="309"/>
      <c r="N288" s="309"/>
      <c r="O288" s="309"/>
      <c r="P288" s="309"/>
      <c r="Q288" s="309"/>
      <c r="R288" s="309"/>
      <c r="S288" s="309"/>
      <c r="T288" s="309"/>
      <c r="U288" s="309"/>
      <c r="V288" s="309"/>
      <c r="W288" s="309"/>
      <c r="X288" s="309"/>
    </row>
    <row r="289" hidden="1">
      <c r="A289" s="348"/>
      <c r="B289" s="488"/>
      <c r="C289" s="309"/>
      <c r="D289" s="309"/>
      <c r="E289" s="489"/>
      <c r="F289" s="309"/>
      <c r="G289" s="407"/>
      <c r="H289" s="490"/>
      <c r="I289" s="491"/>
      <c r="J289" s="492"/>
      <c r="K289" s="493"/>
      <c r="L289" s="494"/>
      <c r="M289" s="309"/>
      <c r="N289" s="309"/>
      <c r="O289" s="309"/>
      <c r="P289" s="309"/>
      <c r="Q289" s="309"/>
      <c r="R289" s="309"/>
      <c r="S289" s="309"/>
      <c r="T289" s="309"/>
      <c r="U289" s="309"/>
      <c r="V289" s="309"/>
      <c r="W289" s="309"/>
      <c r="X289" s="309"/>
    </row>
    <row r="290" hidden="1">
      <c r="A290" s="348"/>
      <c r="B290" s="488"/>
      <c r="C290" s="309"/>
      <c r="D290" s="309"/>
      <c r="E290" s="489"/>
      <c r="F290" s="309"/>
      <c r="G290" s="407"/>
      <c r="H290" s="490"/>
      <c r="I290" s="491"/>
      <c r="J290" s="492"/>
      <c r="K290" s="493"/>
      <c r="L290" s="494"/>
      <c r="M290" s="309"/>
      <c r="N290" s="309"/>
      <c r="O290" s="309"/>
      <c r="P290" s="309"/>
      <c r="Q290" s="309"/>
      <c r="R290" s="309"/>
      <c r="S290" s="309"/>
      <c r="T290" s="309"/>
      <c r="U290" s="309"/>
      <c r="V290" s="309"/>
      <c r="W290" s="309"/>
      <c r="X290" s="309"/>
    </row>
    <row r="291" hidden="1">
      <c r="A291" s="348"/>
      <c r="B291" s="488"/>
      <c r="C291" s="309"/>
      <c r="D291" s="309"/>
      <c r="E291" s="489"/>
      <c r="F291" s="309"/>
      <c r="G291" s="407"/>
      <c r="H291" s="490"/>
      <c r="I291" s="491"/>
      <c r="J291" s="492"/>
      <c r="K291" s="493"/>
      <c r="L291" s="494"/>
      <c r="M291" s="309"/>
      <c r="N291" s="309"/>
      <c r="O291" s="309"/>
      <c r="P291" s="309"/>
      <c r="Q291" s="309"/>
      <c r="R291" s="309"/>
      <c r="S291" s="309"/>
      <c r="T291" s="309"/>
      <c r="U291" s="309"/>
      <c r="V291" s="309"/>
      <c r="W291" s="309"/>
      <c r="X291" s="309"/>
    </row>
    <row r="292" hidden="1">
      <c r="A292" s="348"/>
      <c r="B292" s="488"/>
      <c r="C292" s="309"/>
      <c r="D292" s="309"/>
      <c r="E292" s="489"/>
      <c r="F292" s="309"/>
      <c r="G292" s="407"/>
      <c r="H292" s="490"/>
      <c r="I292" s="491"/>
      <c r="J292" s="492"/>
      <c r="K292" s="493"/>
      <c r="L292" s="494"/>
      <c r="M292" s="309"/>
      <c r="N292" s="309"/>
      <c r="O292" s="309"/>
      <c r="P292" s="309"/>
      <c r="Q292" s="309"/>
      <c r="R292" s="309"/>
      <c r="S292" s="309"/>
      <c r="T292" s="309"/>
      <c r="U292" s="309"/>
      <c r="V292" s="309"/>
      <c r="W292" s="309"/>
      <c r="X292" s="309"/>
    </row>
    <row r="293" hidden="1">
      <c r="A293" s="348"/>
      <c r="B293" s="488"/>
      <c r="C293" s="309"/>
      <c r="D293" s="309"/>
      <c r="E293" s="489"/>
      <c r="F293" s="309"/>
      <c r="G293" s="407"/>
      <c r="H293" s="490"/>
      <c r="I293" s="491"/>
      <c r="J293" s="492"/>
      <c r="K293" s="493"/>
      <c r="L293" s="494"/>
      <c r="M293" s="309"/>
      <c r="N293" s="309"/>
      <c r="O293" s="309"/>
      <c r="P293" s="309"/>
      <c r="Q293" s="309"/>
      <c r="R293" s="309"/>
      <c r="S293" s="309"/>
      <c r="T293" s="309"/>
      <c r="U293" s="309"/>
      <c r="V293" s="309"/>
      <c r="W293" s="309"/>
      <c r="X293" s="309"/>
    </row>
    <row r="294" hidden="1">
      <c r="A294" s="348"/>
      <c r="B294" s="488"/>
      <c r="C294" s="309"/>
      <c r="D294" s="309"/>
      <c r="E294" s="489"/>
      <c r="F294" s="309"/>
      <c r="G294" s="407"/>
      <c r="H294" s="490"/>
      <c r="I294" s="491"/>
      <c r="J294" s="492"/>
      <c r="K294" s="493"/>
      <c r="L294" s="494"/>
      <c r="M294" s="309"/>
      <c r="N294" s="309"/>
      <c r="O294" s="309"/>
      <c r="P294" s="309"/>
      <c r="Q294" s="309"/>
      <c r="R294" s="309"/>
      <c r="S294" s="309"/>
      <c r="T294" s="309"/>
      <c r="U294" s="309"/>
      <c r="V294" s="309"/>
      <c r="W294" s="309"/>
      <c r="X294" s="309"/>
    </row>
    <row r="295" hidden="1">
      <c r="A295" s="348"/>
      <c r="B295" s="488"/>
      <c r="C295" s="309"/>
      <c r="D295" s="309"/>
      <c r="E295" s="489"/>
      <c r="F295" s="309"/>
      <c r="G295" s="407"/>
      <c r="H295" s="490"/>
      <c r="I295" s="491"/>
      <c r="J295" s="492"/>
      <c r="K295" s="493"/>
      <c r="L295" s="494"/>
      <c r="M295" s="309"/>
      <c r="N295" s="309"/>
      <c r="O295" s="309"/>
      <c r="P295" s="309"/>
      <c r="Q295" s="309"/>
      <c r="R295" s="309"/>
      <c r="S295" s="309"/>
      <c r="T295" s="309"/>
      <c r="U295" s="309"/>
      <c r="V295" s="309"/>
      <c r="W295" s="309"/>
      <c r="X295" s="309"/>
    </row>
    <row r="296" hidden="1">
      <c r="A296" s="348"/>
      <c r="B296" s="488"/>
      <c r="C296" s="309"/>
      <c r="D296" s="309"/>
      <c r="E296" s="489"/>
      <c r="F296" s="309"/>
      <c r="G296" s="407"/>
      <c r="H296" s="490"/>
      <c r="I296" s="491"/>
      <c r="J296" s="492"/>
      <c r="K296" s="493"/>
      <c r="L296" s="494"/>
      <c r="M296" s="309"/>
      <c r="N296" s="309"/>
      <c r="O296" s="309"/>
      <c r="P296" s="309"/>
      <c r="Q296" s="309"/>
      <c r="R296" s="309"/>
      <c r="S296" s="309"/>
      <c r="T296" s="309"/>
      <c r="U296" s="309"/>
      <c r="V296" s="309"/>
      <c r="W296" s="309"/>
      <c r="X296" s="309"/>
    </row>
    <row r="297" hidden="1">
      <c r="A297" s="348"/>
      <c r="B297" s="488"/>
      <c r="C297" s="309"/>
      <c r="D297" s="309"/>
      <c r="E297" s="489"/>
      <c r="F297" s="309"/>
      <c r="G297" s="407"/>
      <c r="H297" s="490"/>
      <c r="I297" s="491"/>
      <c r="J297" s="492"/>
      <c r="K297" s="493"/>
      <c r="L297" s="494"/>
      <c r="M297" s="309"/>
      <c r="N297" s="309"/>
      <c r="O297" s="309"/>
      <c r="P297" s="309"/>
      <c r="Q297" s="309"/>
      <c r="R297" s="309"/>
      <c r="S297" s="309"/>
      <c r="T297" s="309"/>
      <c r="U297" s="309"/>
      <c r="V297" s="309"/>
      <c r="W297" s="309"/>
      <c r="X297" s="309"/>
    </row>
    <row r="298" hidden="1">
      <c r="A298" s="348"/>
      <c r="B298" s="488"/>
      <c r="C298" s="309"/>
      <c r="D298" s="309"/>
      <c r="E298" s="489"/>
      <c r="F298" s="309"/>
      <c r="G298" s="407"/>
      <c r="H298" s="490"/>
      <c r="I298" s="491"/>
      <c r="J298" s="492"/>
      <c r="K298" s="493"/>
      <c r="L298" s="494"/>
      <c r="M298" s="309"/>
      <c r="N298" s="309"/>
      <c r="O298" s="309"/>
      <c r="P298" s="309"/>
      <c r="Q298" s="309"/>
      <c r="R298" s="309"/>
      <c r="S298" s="309"/>
      <c r="T298" s="309"/>
      <c r="U298" s="309"/>
      <c r="V298" s="309"/>
      <c r="W298" s="309"/>
      <c r="X298" s="309"/>
    </row>
    <row r="299" hidden="1">
      <c r="A299" s="348"/>
      <c r="B299" s="488"/>
      <c r="C299" s="309"/>
      <c r="D299" s="309"/>
      <c r="E299" s="489"/>
      <c r="F299" s="309"/>
      <c r="G299" s="407"/>
      <c r="H299" s="490"/>
      <c r="I299" s="491"/>
      <c r="J299" s="492"/>
      <c r="K299" s="493"/>
      <c r="L299" s="494"/>
      <c r="M299" s="309"/>
      <c r="N299" s="309"/>
      <c r="O299" s="309"/>
      <c r="P299" s="309"/>
      <c r="Q299" s="309"/>
      <c r="R299" s="309"/>
      <c r="S299" s="309"/>
      <c r="T299" s="309"/>
      <c r="U299" s="309"/>
      <c r="V299" s="309"/>
      <c r="W299" s="309"/>
      <c r="X299" s="309"/>
    </row>
    <row r="300" hidden="1">
      <c r="A300" s="348"/>
      <c r="B300" s="488"/>
      <c r="C300" s="309"/>
      <c r="D300" s="309"/>
      <c r="E300" s="489"/>
      <c r="F300" s="309"/>
      <c r="G300" s="407"/>
      <c r="H300" s="490"/>
      <c r="I300" s="491"/>
      <c r="J300" s="492"/>
      <c r="K300" s="493"/>
      <c r="L300" s="494"/>
      <c r="M300" s="309"/>
      <c r="N300" s="309"/>
      <c r="O300" s="309"/>
      <c r="P300" s="309"/>
      <c r="Q300" s="309"/>
      <c r="R300" s="309"/>
      <c r="S300" s="309"/>
      <c r="T300" s="309"/>
      <c r="U300" s="309"/>
      <c r="V300" s="309"/>
      <c r="W300" s="309"/>
      <c r="X300" s="309"/>
    </row>
    <row r="301" hidden="1">
      <c r="A301" s="348"/>
      <c r="B301" s="488"/>
      <c r="C301" s="309"/>
      <c r="D301" s="309"/>
      <c r="E301" s="489"/>
      <c r="F301" s="309"/>
      <c r="G301" s="407"/>
      <c r="H301" s="490"/>
      <c r="I301" s="491"/>
      <c r="J301" s="492"/>
      <c r="K301" s="493"/>
      <c r="L301" s="494"/>
      <c r="M301" s="309"/>
      <c r="N301" s="309"/>
      <c r="O301" s="309"/>
      <c r="P301" s="309"/>
      <c r="Q301" s="309"/>
      <c r="R301" s="309"/>
      <c r="S301" s="309"/>
      <c r="T301" s="309"/>
      <c r="U301" s="309"/>
      <c r="V301" s="309"/>
      <c r="W301" s="309"/>
      <c r="X301" s="309"/>
    </row>
    <row r="302" hidden="1">
      <c r="A302" s="348"/>
      <c r="B302" s="488"/>
      <c r="C302" s="309"/>
      <c r="D302" s="309"/>
      <c r="E302" s="489"/>
      <c r="F302" s="309"/>
      <c r="G302" s="407"/>
      <c r="H302" s="490"/>
      <c r="I302" s="491"/>
      <c r="J302" s="492"/>
      <c r="K302" s="493"/>
      <c r="L302" s="494"/>
      <c r="M302" s="309"/>
      <c r="N302" s="309"/>
      <c r="O302" s="309"/>
      <c r="P302" s="309"/>
      <c r="Q302" s="309"/>
      <c r="R302" s="309"/>
      <c r="S302" s="309"/>
      <c r="T302" s="309"/>
      <c r="U302" s="309"/>
      <c r="V302" s="309"/>
      <c r="W302" s="309"/>
      <c r="X302" s="309"/>
    </row>
    <row r="303" hidden="1">
      <c r="A303" s="348"/>
      <c r="B303" s="488"/>
      <c r="C303" s="309"/>
      <c r="D303" s="309"/>
      <c r="E303" s="489"/>
      <c r="F303" s="309"/>
      <c r="G303" s="407"/>
      <c r="H303" s="490"/>
      <c r="I303" s="491"/>
      <c r="J303" s="492"/>
      <c r="K303" s="493"/>
      <c r="L303" s="494"/>
      <c r="M303" s="309"/>
      <c r="N303" s="309"/>
      <c r="O303" s="309"/>
      <c r="P303" s="309"/>
      <c r="Q303" s="309"/>
      <c r="R303" s="309"/>
      <c r="S303" s="309"/>
      <c r="T303" s="309"/>
      <c r="U303" s="309"/>
      <c r="V303" s="309"/>
      <c r="W303" s="309"/>
      <c r="X303" s="309"/>
    </row>
    <row r="304" hidden="1">
      <c r="A304" s="348"/>
      <c r="B304" s="488"/>
      <c r="C304" s="309"/>
      <c r="D304" s="309"/>
      <c r="E304" s="489"/>
      <c r="F304" s="309"/>
      <c r="G304" s="407"/>
      <c r="H304" s="490"/>
      <c r="I304" s="491"/>
      <c r="J304" s="492"/>
      <c r="K304" s="493"/>
      <c r="L304" s="494"/>
      <c r="M304" s="309"/>
      <c r="N304" s="309"/>
      <c r="O304" s="309"/>
      <c r="P304" s="309"/>
      <c r="Q304" s="309"/>
      <c r="R304" s="309"/>
      <c r="S304" s="309"/>
      <c r="T304" s="309"/>
      <c r="U304" s="309"/>
      <c r="V304" s="309"/>
      <c r="W304" s="309"/>
      <c r="X304" s="309"/>
    </row>
    <row r="305" hidden="1">
      <c r="A305" s="348"/>
      <c r="B305" s="488"/>
      <c r="C305" s="309"/>
      <c r="D305" s="309"/>
      <c r="E305" s="489"/>
      <c r="F305" s="309"/>
      <c r="G305" s="407"/>
      <c r="H305" s="490"/>
      <c r="I305" s="491"/>
      <c r="J305" s="492"/>
      <c r="K305" s="493"/>
      <c r="L305" s="494"/>
      <c r="M305" s="309"/>
      <c r="N305" s="309"/>
      <c r="O305" s="309"/>
      <c r="P305" s="309"/>
      <c r="Q305" s="309"/>
      <c r="R305" s="309"/>
      <c r="S305" s="309"/>
      <c r="T305" s="309"/>
      <c r="U305" s="309"/>
      <c r="V305" s="309"/>
      <c r="W305" s="309"/>
      <c r="X305" s="309"/>
    </row>
    <row r="306" hidden="1">
      <c r="A306" s="348"/>
      <c r="B306" s="488"/>
      <c r="C306" s="309"/>
      <c r="D306" s="309"/>
      <c r="E306" s="489"/>
      <c r="F306" s="309"/>
      <c r="G306" s="407"/>
      <c r="H306" s="490"/>
      <c r="I306" s="491"/>
      <c r="J306" s="492"/>
      <c r="K306" s="493"/>
      <c r="L306" s="494"/>
      <c r="M306" s="309"/>
      <c r="N306" s="309"/>
      <c r="O306" s="309"/>
      <c r="P306" s="309"/>
      <c r="Q306" s="309"/>
      <c r="R306" s="309"/>
      <c r="S306" s="309"/>
      <c r="T306" s="309"/>
      <c r="U306" s="309"/>
      <c r="V306" s="309"/>
      <c r="W306" s="309"/>
      <c r="X306" s="309"/>
    </row>
    <row r="307" hidden="1">
      <c r="A307" s="348"/>
      <c r="B307" s="488"/>
      <c r="C307" s="309"/>
      <c r="D307" s="309"/>
      <c r="E307" s="489"/>
      <c r="F307" s="309"/>
      <c r="G307" s="407"/>
      <c r="H307" s="490"/>
      <c r="I307" s="491"/>
      <c r="J307" s="492"/>
      <c r="K307" s="493"/>
      <c r="L307" s="494"/>
      <c r="M307" s="309"/>
      <c r="N307" s="309"/>
      <c r="O307" s="309"/>
      <c r="P307" s="309"/>
      <c r="Q307" s="309"/>
      <c r="R307" s="309"/>
      <c r="S307" s="309"/>
      <c r="T307" s="309"/>
      <c r="U307" s="309"/>
      <c r="V307" s="309"/>
      <c r="W307" s="309"/>
      <c r="X307" s="309"/>
    </row>
    <row r="308" hidden="1">
      <c r="A308" s="348"/>
      <c r="B308" s="488"/>
      <c r="C308" s="309"/>
      <c r="D308" s="309"/>
      <c r="E308" s="489"/>
      <c r="F308" s="309"/>
      <c r="G308" s="407"/>
      <c r="H308" s="490"/>
      <c r="I308" s="491"/>
      <c r="J308" s="492"/>
      <c r="K308" s="493"/>
      <c r="L308" s="494"/>
      <c r="M308" s="309"/>
      <c r="N308" s="309"/>
      <c r="O308" s="309"/>
      <c r="P308" s="309"/>
      <c r="Q308" s="309"/>
      <c r="R308" s="309"/>
      <c r="S308" s="309"/>
      <c r="T308" s="309"/>
      <c r="U308" s="309"/>
      <c r="V308" s="309"/>
      <c r="W308" s="309"/>
      <c r="X308" s="309"/>
    </row>
    <row r="309" hidden="1">
      <c r="A309" s="348"/>
      <c r="B309" s="488"/>
      <c r="C309" s="309"/>
      <c r="D309" s="309"/>
      <c r="E309" s="489"/>
      <c r="F309" s="309"/>
      <c r="G309" s="407"/>
      <c r="H309" s="490"/>
      <c r="I309" s="491"/>
      <c r="J309" s="492"/>
      <c r="K309" s="493"/>
      <c r="L309" s="494"/>
      <c r="M309" s="309"/>
      <c r="N309" s="309"/>
      <c r="O309" s="309"/>
      <c r="P309" s="309"/>
      <c r="Q309" s="309"/>
      <c r="R309" s="309"/>
      <c r="S309" s="309"/>
      <c r="T309" s="309"/>
      <c r="U309" s="309"/>
      <c r="V309" s="309"/>
      <c r="W309" s="309"/>
      <c r="X309" s="309"/>
    </row>
    <row r="310" hidden="1">
      <c r="A310" s="348"/>
      <c r="B310" s="488"/>
      <c r="C310" s="309"/>
      <c r="D310" s="309"/>
      <c r="E310" s="489"/>
      <c r="F310" s="309"/>
      <c r="G310" s="407"/>
      <c r="H310" s="490"/>
      <c r="I310" s="491"/>
      <c r="J310" s="492"/>
      <c r="K310" s="493"/>
      <c r="L310" s="494"/>
      <c r="M310" s="309"/>
      <c r="N310" s="309"/>
      <c r="O310" s="309"/>
      <c r="P310" s="309"/>
      <c r="Q310" s="309"/>
      <c r="R310" s="309"/>
      <c r="S310" s="309"/>
      <c r="T310" s="309"/>
      <c r="U310" s="309"/>
      <c r="V310" s="309"/>
      <c r="W310" s="309"/>
      <c r="X310" s="309"/>
    </row>
    <row r="311" hidden="1">
      <c r="A311" s="348"/>
      <c r="B311" s="488"/>
      <c r="C311" s="309"/>
      <c r="D311" s="309"/>
      <c r="E311" s="489"/>
      <c r="F311" s="309"/>
      <c r="G311" s="407"/>
      <c r="H311" s="490"/>
      <c r="I311" s="491"/>
      <c r="J311" s="492"/>
      <c r="K311" s="493"/>
      <c r="L311" s="494"/>
      <c r="M311" s="309"/>
      <c r="N311" s="309"/>
      <c r="O311" s="309"/>
      <c r="P311" s="309"/>
      <c r="Q311" s="309"/>
      <c r="R311" s="309"/>
      <c r="S311" s="309"/>
      <c r="T311" s="309"/>
      <c r="U311" s="309"/>
      <c r="V311" s="309"/>
      <c r="W311" s="309"/>
      <c r="X311" s="309"/>
    </row>
    <row r="312" hidden="1">
      <c r="A312" s="348"/>
      <c r="B312" s="488"/>
      <c r="C312" s="309"/>
      <c r="D312" s="309"/>
      <c r="E312" s="489"/>
      <c r="F312" s="309"/>
      <c r="G312" s="407"/>
      <c r="H312" s="490"/>
      <c r="I312" s="491"/>
      <c r="J312" s="492"/>
      <c r="K312" s="493"/>
      <c r="L312" s="494"/>
      <c r="M312" s="309"/>
      <c r="N312" s="309"/>
      <c r="O312" s="309"/>
      <c r="P312" s="309"/>
      <c r="Q312" s="309"/>
      <c r="R312" s="309"/>
      <c r="S312" s="309"/>
      <c r="T312" s="309"/>
      <c r="U312" s="309"/>
      <c r="V312" s="309"/>
      <c r="W312" s="309"/>
      <c r="X312" s="309"/>
    </row>
    <row r="313" hidden="1">
      <c r="A313" s="348"/>
      <c r="B313" s="488"/>
      <c r="C313" s="309"/>
      <c r="D313" s="309"/>
      <c r="E313" s="489"/>
      <c r="F313" s="309"/>
      <c r="G313" s="407"/>
      <c r="H313" s="490"/>
      <c r="I313" s="491"/>
      <c r="J313" s="492"/>
      <c r="K313" s="493"/>
      <c r="L313" s="494"/>
      <c r="M313" s="309"/>
      <c r="N313" s="309"/>
      <c r="O313" s="309"/>
      <c r="P313" s="309"/>
      <c r="Q313" s="309"/>
      <c r="R313" s="309"/>
      <c r="S313" s="309"/>
      <c r="T313" s="309"/>
      <c r="U313" s="309"/>
      <c r="V313" s="309"/>
      <c r="W313" s="309"/>
      <c r="X313" s="309"/>
    </row>
    <row r="314" hidden="1">
      <c r="A314" s="348"/>
      <c r="B314" s="488"/>
      <c r="C314" s="309"/>
      <c r="D314" s="309"/>
      <c r="E314" s="489"/>
      <c r="F314" s="309"/>
      <c r="G314" s="407"/>
      <c r="H314" s="490"/>
      <c r="I314" s="491"/>
      <c r="J314" s="492"/>
      <c r="K314" s="493"/>
      <c r="L314" s="494"/>
      <c r="M314" s="309"/>
      <c r="N314" s="309"/>
      <c r="O314" s="309"/>
      <c r="P314" s="309"/>
      <c r="Q314" s="309"/>
      <c r="R314" s="309"/>
      <c r="S314" s="309"/>
      <c r="T314" s="309"/>
      <c r="U314" s="309"/>
      <c r="V314" s="309"/>
      <c r="W314" s="309"/>
      <c r="X314" s="309"/>
    </row>
    <row r="315" hidden="1">
      <c r="A315" s="348"/>
      <c r="B315" s="488"/>
      <c r="C315" s="309"/>
      <c r="D315" s="309"/>
      <c r="E315" s="489"/>
      <c r="F315" s="309"/>
      <c r="G315" s="407"/>
      <c r="H315" s="490"/>
      <c r="I315" s="491"/>
      <c r="J315" s="492"/>
      <c r="K315" s="493"/>
      <c r="L315" s="494"/>
      <c r="M315" s="309"/>
      <c r="N315" s="309"/>
      <c r="O315" s="309"/>
      <c r="P315" s="309"/>
      <c r="Q315" s="309"/>
      <c r="R315" s="309"/>
      <c r="S315" s="309"/>
      <c r="T315" s="309"/>
      <c r="U315" s="309"/>
      <c r="V315" s="309"/>
      <c r="W315" s="309"/>
      <c r="X315" s="309"/>
    </row>
    <row r="316" hidden="1">
      <c r="A316" s="348"/>
      <c r="B316" s="488"/>
      <c r="C316" s="309"/>
      <c r="D316" s="309"/>
      <c r="E316" s="489"/>
      <c r="F316" s="309"/>
      <c r="G316" s="407"/>
      <c r="H316" s="490"/>
      <c r="I316" s="491"/>
      <c r="J316" s="492"/>
      <c r="K316" s="493"/>
      <c r="L316" s="494"/>
      <c r="M316" s="309"/>
      <c r="N316" s="309"/>
      <c r="O316" s="309"/>
      <c r="P316" s="309"/>
      <c r="Q316" s="309"/>
      <c r="R316" s="309"/>
      <c r="S316" s="309"/>
      <c r="T316" s="309"/>
      <c r="U316" s="309"/>
      <c r="V316" s="309"/>
      <c r="W316" s="309"/>
      <c r="X316" s="309"/>
    </row>
    <row r="317" hidden="1">
      <c r="A317" s="348"/>
      <c r="B317" s="488"/>
      <c r="C317" s="309"/>
      <c r="D317" s="309"/>
      <c r="E317" s="489"/>
      <c r="F317" s="309"/>
      <c r="G317" s="407"/>
      <c r="H317" s="490"/>
      <c r="I317" s="491"/>
      <c r="J317" s="492"/>
      <c r="K317" s="493"/>
      <c r="L317" s="494"/>
      <c r="M317" s="309"/>
      <c r="N317" s="309"/>
      <c r="O317" s="309"/>
      <c r="P317" s="309"/>
      <c r="Q317" s="309"/>
      <c r="R317" s="309"/>
      <c r="S317" s="309"/>
      <c r="T317" s="309"/>
      <c r="U317" s="309"/>
      <c r="V317" s="309"/>
      <c r="W317" s="309"/>
      <c r="X317" s="309"/>
    </row>
    <row r="318" hidden="1">
      <c r="A318" s="348"/>
      <c r="B318" s="488"/>
      <c r="C318" s="309"/>
      <c r="D318" s="309"/>
      <c r="E318" s="489"/>
      <c r="F318" s="309"/>
      <c r="G318" s="407"/>
      <c r="H318" s="490"/>
      <c r="I318" s="491"/>
      <c r="J318" s="492"/>
      <c r="K318" s="493"/>
      <c r="L318" s="494"/>
      <c r="M318" s="309"/>
      <c r="N318" s="309"/>
      <c r="O318" s="309"/>
      <c r="P318" s="309"/>
      <c r="Q318" s="309"/>
      <c r="R318" s="309"/>
      <c r="S318" s="309"/>
      <c r="T318" s="309"/>
      <c r="U318" s="309"/>
      <c r="V318" s="309"/>
      <c r="W318" s="309"/>
      <c r="X318" s="309"/>
    </row>
    <row r="319" hidden="1">
      <c r="A319" s="348"/>
      <c r="B319" s="488"/>
      <c r="C319" s="309"/>
      <c r="D319" s="309"/>
      <c r="E319" s="489"/>
      <c r="F319" s="309"/>
      <c r="G319" s="407"/>
      <c r="H319" s="490"/>
      <c r="I319" s="491"/>
      <c r="J319" s="492"/>
      <c r="K319" s="493"/>
      <c r="L319" s="494"/>
      <c r="M319" s="309"/>
      <c r="N319" s="309"/>
      <c r="O319" s="309"/>
      <c r="P319" s="309"/>
      <c r="Q319" s="309"/>
      <c r="R319" s="309"/>
      <c r="S319" s="309"/>
      <c r="T319" s="309"/>
      <c r="U319" s="309"/>
      <c r="V319" s="309"/>
      <c r="W319" s="309"/>
      <c r="X319" s="309"/>
    </row>
    <row r="320" hidden="1">
      <c r="A320" s="348"/>
      <c r="B320" s="488"/>
      <c r="C320" s="309"/>
      <c r="D320" s="309"/>
      <c r="E320" s="489"/>
      <c r="F320" s="309"/>
      <c r="G320" s="407"/>
      <c r="H320" s="490"/>
      <c r="I320" s="491"/>
      <c r="J320" s="492"/>
      <c r="K320" s="493"/>
      <c r="L320" s="494"/>
      <c r="M320" s="309"/>
      <c r="N320" s="309"/>
      <c r="O320" s="309"/>
      <c r="P320" s="309"/>
      <c r="Q320" s="309"/>
      <c r="R320" s="309"/>
      <c r="S320" s="309"/>
      <c r="T320" s="309"/>
      <c r="U320" s="309"/>
      <c r="V320" s="309"/>
      <c r="W320" s="309"/>
      <c r="X320" s="309"/>
    </row>
    <row r="321" hidden="1">
      <c r="A321" s="348"/>
      <c r="B321" s="488"/>
      <c r="C321" s="309"/>
      <c r="D321" s="309"/>
      <c r="E321" s="489"/>
      <c r="F321" s="309"/>
      <c r="G321" s="407"/>
      <c r="H321" s="490"/>
      <c r="I321" s="491"/>
      <c r="J321" s="492"/>
      <c r="K321" s="493"/>
      <c r="L321" s="494"/>
      <c r="M321" s="309"/>
      <c r="N321" s="309"/>
      <c r="O321" s="309"/>
      <c r="P321" s="309"/>
      <c r="Q321" s="309"/>
      <c r="R321" s="309"/>
      <c r="S321" s="309"/>
      <c r="T321" s="309"/>
      <c r="U321" s="309"/>
      <c r="V321" s="309"/>
      <c r="W321" s="309"/>
      <c r="X321" s="309"/>
    </row>
    <row r="322" hidden="1">
      <c r="A322" s="348"/>
      <c r="B322" s="488"/>
      <c r="C322" s="309"/>
      <c r="D322" s="309"/>
      <c r="E322" s="489"/>
      <c r="F322" s="309"/>
      <c r="G322" s="407"/>
      <c r="H322" s="490"/>
      <c r="I322" s="491"/>
      <c r="J322" s="492"/>
      <c r="K322" s="493"/>
      <c r="L322" s="494"/>
      <c r="M322" s="309"/>
      <c r="N322" s="309"/>
      <c r="O322" s="309"/>
      <c r="P322" s="309"/>
      <c r="Q322" s="309"/>
      <c r="R322" s="309"/>
      <c r="S322" s="309"/>
      <c r="T322" s="309"/>
      <c r="U322" s="309"/>
      <c r="V322" s="309"/>
      <c r="W322" s="309"/>
      <c r="X322" s="309"/>
    </row>
    <row r="323" hidden="1">
      <c r="A323" s="348"/>
      <c r="B323" s="488"/>
      <c r="C323" s="309"/>
      <c r="D323" s="309"/>
      <c r="E323" s="489"/>
      <c r="F323" s="309"/>
      <c r="G323" s="407"/>
      <c r="H323" s="490"/>
      <c r="I323" s="491"/>
      <c r="J323" s="492"/>
      <c r="K323" s="493"/>
      <c r="L323" s="494"/>
      <c r="M323" s="309"/>
      <c r="N323" s="309"/>
      <c r="O323" s="309"/>
      <c r="P323" s="309"/>
      <c r="Q323" s="309"/>
      <c r="R323" s="309"/>
      <c r="S323" s="309"/>
      <c r="T323" s="309"/>
      <c r="U323" s="309"/>
      <c r="V323" s="309"/>
      <c r="W323" s="309"/>
      <c r="X323" s="309"/>
    </row>
    <row r="324" hidden="1">
      <c r="A324" s="348"/>
      <c r="B324" s="488"/>
      <c r="C324" s="309"/>
      <c r="D324" s="309"/>
      <c r="E324" s="489"/>
      <c r="F324" s="309"/>
      <c r="G324" s="407"/>
      <c r="H324" s="490"/>
      <c r="I324" s="491"/>
      <c r="J324" s="492"/>
      <c r="K324" s="493"/>
      <c r="L324" s="494"/>
      <c r="M324" s="309"/>
      <c r="N324" s="309"/>
      <c r="O324" s="309"/>
      <c r="P324" s="309"/>
      <c r="Q324" s="309"/>
      <c r="R324" s="309"/>
      <c r="S324" s="309"/>
      <c r="T324" s="309"/>
      <c r="U324" s="309"/>
      <c r="V324" s="309"/>
      <c r="W324" s="309"/>
      <c r="X324" s="309"/>
    </row>
    <row r="325" hidden="1">
      <c r="A325" s="348"/>
      <c r="B325" s="488"/>
      <c r="C325" s="309"/>
      <c r="D325" s="309"/>
      <c r="E325" s="489"/>
      <c r="F325" s="309"/>
      <c r="G325" s="407"/>
      <c r="H325" s="490"/>
      <c r="I325" s="491"/>
      <c r="J325" s="492"/>
      <c r="K325" s="493"/>
      <c r="L325" s="494"/>
      <c r="M325" s="309"/>
      <c r="N325" s="309"/>
      <c r="O325" s="309"/>
      <c r="P325" s="309"/>
      <c r="Q325" s="309"/>
      <c r="R325" s="309"/>
      <c r="S325" s="309"/>
      <c r="T325" s="309"/>
      <c r="U325" s="309"/>
      <c r="V325" s="309"/>
      <c r="W325" s="309"/>
      <c r="X325" s="309"/>
    </row>
    <row r="326" hidden="1">
      <c r="A326" s="348"/>
      <c r="B326" s="488"/>
      <c r="C326" s="309"/>
      <c r="D326" s="309"/>
      <c r="E326" s="489"/>
      <c r="F326" s="309"/>
      <c r="G326" s="407"/>
      <c r="H326" s="490"/>
      <c r="I326" s="491"/>
      <c r="J326" s="492"/>
      <c r="K326" s="493"/>
      <c r="L326" s="494"/>
      <c r="M326" s="309"/>
      <c r="N326" s="309"/>
      <c r="O326" s="309"/>
      <c r="P326" s="309"/>
      <c r="Q326" s="309"/>
      <c r="R326" s="309"/>
      <c r="S326" s="309"/>
      <c r="T326" s="309"/>
      <c r="U326" s="309"/>
      <c r="V326" s="309"/>
      <c r="W326" s="309"/>
      <c r="X326" s="309"/>
    </row>
    <row r="327" hidden="1">
      <c r="A327" s="348"/>
      <c r="B327" s="488"/>
      <c r="C327" s="309"/>
      <c r="D327" s="309"/>
      <c r="E327" s="489"/>
      <c r="F327" s="309"/>
      <c r="G327" s="407"/>
      <c r="H327" s="490"/>
      <c r="I327" s="491"/>
      <c r="J327" s="492"/>
      <c r="K327" s="493"/>
      <c r="L327" s="494"/>
      <c r="M327" s="309"/>
      <c r="N327" s="309"/>
      <c r="O327" s="309"/>
      <c r="P327" s="309"/>
      <c r="Q327" s="309"/>
      <c r="R327" s="309"/>
      <c r="S327" s="309"/>
      <c r="T327" s="309"/>
      <c r="U327" s="309"/>
      <c r="V327" s="309"/>
      <c r="W327" s="309"/>
      <c r="X327" s="309"/>
    </row>
    <row r="328" hidden="1">
      <c r="A328" s="348"/>
      <c r="B328" s="488"/>
      <c r="C328" s="309"/>
      <c r="D328" s="309"/>
      <c r="E328" s="489"/>
      <c r="F328" s="309"/>
      <c r="G328" s="407"/>
      <c r="H328" s="490"/>
      <c r="I328" s="491"/>
      <c r="J328" s="492"/>
      <c r="K328" s="493"/>
      <c r="L328" s="494"/>
      <c r="M328" s="309"/>
      <c r="N328" s="309"/>
      <c r="O328" s="309"/>
      <c r="P328" s="309"/>
      <c r="Q328" s="309"/>
      <c r="R328" s="309"/>
      <c r="S328" s="309"/>
      <c r="T328" s="309"/>
      <c r="U328" s="309"/>
      <c r="V328" s="309"/>
      <c r="W328" s="309"/>
      <c r="X328" s="309"/>
    </row>
    <row r="329" hidden="1">
      <c r="A329" s="348"/>
      <c r="B329" s="488"/>
      <c r="C329" s="309"/>
      <c r="D329" s="309"/>
      <c r="E329" s="489"/>
      <c r="F329" s="309"/>
      <c r="G329" s="407"/>
      <c r="H329" s="490"/>
      <c r="I329" s="491"/>
      <c r="J329" s="492"/>
      <c r="K329" s="493"/>
      <c r="L329" s="494"/>
      <c r="M329" s="309"/>
      <c r="N329" s="309"/>
      <c r="O329" s="309"/>
      <c r="P329" s="309"/>
      <c r="Q329" s="309"/>
      <c r="R329" s="309"/>
      <c r="S329" s="309"/>
      <c r="T329" s="309"/>
      <c r="U329" s="309"/>
      <c r="V329" s="309"/>
      <c r="W329" s="309"/>
      <c r="X329" s="309"/>
    </row>
    <row r="330" hidden="1">
      <c r="A330" s="348"/>
      <c r="B330" s="488"/>
      <c r="C330" s="309"/>
      <c r="D330" s="309"/>
      <c r="E330" s="489"/>
      <c r="F330" s="309"/>
      <c r="G330" s="407"/>
      <c r="H330" s="490"/>
      <c r="I330" s="491"/>
      <c r="J330" s="492"/>
      <c r="K330" s="493"/>
      <c r="L330" s="494"/>
      <c r="M330" s="309"/>
      <c r="N330" s="309"/>
      <c r="O330" s="309"/>
      <c r="P330" s="309"/>
      <c r="Q330" s="309"/>
      <c r="R330" s="309"/>
      <c r="S330" s="309"/>
      <c r="T330" s="309"/>
      <c r="U330" s="309"/>
      <c r="V330" s="309"/>
      <c r="W330" s="309"/>
      <c r="X330" s="309"/>
    </row>
    <row r="331" hidden="1">
      <c r="A331" s="348"/>
      <c r="B331" s="488"/>
      <c r="C331" s="309"/>
      <c r="D331" s="309"/>
      <c r="E331" s="489"/>
      <c r="F331" s="309"/>
      <c r="G331" s="407"/>
      <c r="H331" s="490"/>
      <c r="I331" s="491"/>
      <c r="J331" s="492"/>
      <c r="K331" s="493"/>
      <c r="L331" s="494"/>
      <c r="M331" s="309"/>
      <c r="N331" s="309"/>
      <c r="O331" s="309"/>
      <c r="P331" s="309"/>
      <c r="Q331" s="309"/>
      <c r="R331" s="309"/>
      <c r="S331" s="309"/>
      <c r="T331" s="309"/>
      <c r="U331" s="309"/>
      <c r="V331" s="309"/>
      <c r="W331" s="309"/>
      <c r="X331" s="309"/>
    </row>
    <row r="332" hidden="1">
      <c r="A332" s="348"/>
      <c r="B332" s="488"/>
      <c r="C332" s="309"/>
      <c r="D332" s="309"/>
      <c r="E332" s="489"/>
      <c r="F332" s="309"/>
      <c r="G332" s="407"/>
      <c r="H332" s="490"/>
      <c r="I332" s="491"/>
      <c r="J332" s="492"/>
      <c r="K332" s="493"/>
      <c r="L332" s="494"/>
      <c r="M332" s="309"/>
      <c r="N332" s="309"/>
      <c r="O332" s="309"/>
      <c r="P332" s="309"/>
      <c r="Q332" s="309"/>
      <c r="R332" s="309"/>
      <c r="S332" s="309"/>
      <c r="T332" s="309"/>
      <c r="U332" s="309"/>
      <c r="V332" s="309"/>
      <c r="W332" s="309"/>
      <c r="X332" s="309"/>
    </row>
    <row r="333" hidden="1">
      <c r="A333" s="348"/>
      <c r="B333" s="488"/>
      <c r="C333" s="309"/>
      <c r="D333" s="309"/>
      <c r="E333" s="489"/>
      <c r="F333" s="309"/>
      <c r="G333" s="407"/>
      <c r="H333" s="490"/>
      <c r="I333" s="491"/>
      <c r="J333" s="492"/>
      <c r="K333" s="493"/>
      <c r="L333" s="494"/>
      <c r="M333" s="309"/>
      <c r="N333" s="309"/>
      <c r="O333" s="309"/>
      <c r="P333" s="309"/>
      <c r="Q333" s="309"/>
      <c r="R333" s="309"/>
      <c r="S333" s="309"/>
      <c r="T333" s="309"/>
      <c r="U333" s="309"/>
      <c r="V333" s="309"/>
      <c r="W333" s="309"/>
      <c r="X333" s="309"/>
    </row>
    <row r="334" hidden="1">
      <c r="A334" s="348"/>
      <c r="B334" s="488"/>
      <c r="C334" s="309"/>
      <c r="D334" s="309"/>
      <c r="E334" s="489"/>
      <c r="F334" s="309"/>
      <c r="G334" s="407"/>
      <c r="H334" s="490"/>
      <c r="I334" s="491"/>
      <c r="J334" s="492"/>
      <c r="K334" s="493"/>
      <c r="L334" s="494"/>
      <c r="M334" s="309"/>
      <c r="N334" s="309"/>
      <c r="O334" s="309"/>
      <c r="P334" s="309"/>
      <c r="Q334" s="309"/>
      <c r="R334" s="309"/>
      <c r="S334" s="309"/>
      <c r="T334" s="309"/>
      <c r="U334" s="309"/>
      <c r="V334" s="309"/>
      <c r="W334" s="309"/>
      <c r="X334" s="309"/>
    </row>
    <row r="335" hidden="1">
      <c r="A335" s="348"/>
      <c r="B335" s="488"/>
      <c r="C335" s="309"/>
      <c r="D335" s="309"/>
      <c r="E335" s="489"/>
      <c r="F335" s="309"/>
      <c r="G335" s="407"/>
      <c r="H335" s="490"/>
      <c r="I335" s="491"/>
      <c r="J335" s="492"/>
      <c r="K335" s="493"/>
      <c r="L335" s="494"/>
      <c r="M335" s="309"/>
      <c r="N335" s="309"/>
      <c r="O335" s="309"/>
      <c r="P335" s="309"/>
      <c r="Q335" s="309"/>
      <c r="R335" s="309"/>
      <c r="S335" s="309"/>
      <c r="T335" s="309"/>
      <c r="U335" s="309"/>
      <c r="V335" s="309"/>
      <c r="W335" s="309"/>
      <c r="X335" s="309"/>
    </row>
    <row r="336" hidden="1">
      <c r="A336" s="348"/>
      <c r="B336" s="488"/>
      <c r="C336" s="309"/>
      <c r="D336" s="309"/>
      <c r="E336" s="489"/>
      <c r="F336" s="309"/>
      <c r="G336" s="407"/>
      <c r="H336" s="490"/>
      <c r="I336" s="491"/>
      <c r="J336" s="492"/>
      <c r="K336" s="493"/>
      <c r="L336" s="494"/>
      <c r="M336" s="309"/>
      <c r="N336" s="309"/>
      <c r="O336" s="309"/>
      <c r="P336" s="309"/>
      <c r="Q336" s="309"/>
      <c r="R336" s="309"/>
      <c r="S336" s="309"/>
      <c r="T336" s="309"/>
      <c r="U336" s="309"/>
      <c r="V336" s="309"/>
      <c r="W336" s="309"/>
      <c r="X336" s="309"/>
    </row>
    <row r="337" hidden="1">
      <c r="A337" s="348"/>
      <c r="B337" s="488"/>
      <c r="C337" s="309"/>
      <c r="D337" s="309"/>
      <c r="E337" s="489"/>
      <c r="F337" s="309"/>
      <c r="G337" s="407"/>
      <c r="H337" s="490"/>
      <c r="I337" s="491"/>
      <c r="J337" s="492"/>
      <c r="K337" s="493"/>
      <c r="L337" s="494"/>
      <c r="M337" s="309"/>
      <c r="N337" s="309"/>
      <c r="O337" s="309"/>
      <c r="P337" s="309"/>
      <c r="Q337" s="309"/>
      <c r="R337" s="309"/>
      <c r="S337" s="309"/>
      <c r="T337" s="309"/>
      <c r="U337" s="309"/>
      <c r="V337" s="309"/>
      <c r="W337" s="309"/>
      <c r="X337" s="309"/>
    </row>
    <row r="338" hidden="1">
      <c r="A338" s="348"/>
      <c r="B338" s="488"/>
      <c r="C338" s="309"/>
      <c r="D338" s="309"/>
      <c r="E338" s="489"/>
      <c r="F338" s="309"/>
      <c r="G338" s="407"/>
      <c r="H338" s="490"/>
      <c r="I338" s="491"/>
      <c r="J338" s="492"/>
      <c r="K338" s="493"/>
      <c r="L338" s="494"/>
      <c r="M338" s="309"/>
      <c r="N338" s="309"/>
      <c r="O338" s="309"/>
      <c r="P338" s="309"/>
      <c r="Q338" s="309"/>
      <c r="R338" s="309"/>
      <c r="S338" s="309"/>
      <c r="T338" s="309"/>
      <c r="U338" s="309"/>
      <c r="V338" s="309"/>
      <c r="W338" s="309"/>
      <c r="X338" s="309"/>
    </row>
    <row r="339" hidden="1">
      <c r="A339" s="348"/>
      <c r="B339" s="488"/>
      <c r="C339" s="309"/>
      <c r="D339" s="309"/>
      <c r="E339" s="489"/>
      <c r="F339" s="309"/>
      <c r="G339" s="407"/>
      <c r="H339" s="490"/>
      <c r="I339" s="491"/>
      <c r="J339" s="492"/>
      <c r="K339" s="493"/>
      <c r="L339" s="494"/>
      <c r="M339" s="309"/>
      <c r="N339" s="309"/>
      <c r="O339" s="309"/>
      <c r="P339" s="309"/>
      <c r="Q339" s="309"/>
      <c r="R339" s="309"/>
      <c r="S339" s="309"/>
      <c r="T339" s="309"/>
      <c r="U339" s="309"/>
      <c r="V339" s="309"/>
      <c r="W339" s="309"/>
      <c r="X339" s="309"/>
    </row>
    <row r="340" hidden="1">
      <c r="A340" s="348"/>
      <c r="B340" s="488"/>
      <c r="C340" s="309"/>
      <c r="D340" s="309"/>
      <c r="E340" s="489"/>
      <c r="F340" s="309"/>
      <c r="G340" s="407"/>
      <c r="H340" s="490"/>
      <c r="I340" s="491"/>
      <c r="J340" s="492"/>
      <c r="K340" s="493"/>
      <c r="L340" s="494"/>
      <c r="M340" s="309"/>
      <c r="N340" s="309"/>
      <c r="O340" s="309"/>
      <c r="P340" s="309"/>
      <c r="Q340" s="309"/>
      <c r="R340" s="309"/>
      <c r="S340" s="309"/>
      <c r="T340" s="309"/>
      <c r="U340" s="309"/>
      <c r="V340" s="309"/>
      <c r="W340" s="309"/>
      <c r="X340" s="309"/>
    </row>
    <row r="341" hidden="1">
      <c r="A341" s="348"/>
      <c r="B341" s="488"/>
      <c r="C341" s="309"/>
      <c r="D341" s="309"/>
      <c r="E341" s="489"/>
      <c r="F341" s="309"/>
      <c r="G341" s="407"/>
      <c r="H341" s="490"/>
      <c r="I341" s="491"/>
      <c r="J341" s="492"/>
      <c r="K341" s="493"/>
      <c r="L341" s="494"/>
      <c r="M341" s="309"/>
      <c r="N341" s="309"/>
      <c r="O341" s="309"/>
      <c r="P341" s="309"/>
      <c r="Q341" s="309"/>
      <c r="R341" s="309"/>
      <c r="S341" s="309"/>
      <c r="T341" s="309"/>
      <c r="U341" s="309"/>
      <c r="V341" s="309"/>
      <c r="W341" s="309"/>
      <c r="X341" s="309"/>
    </row>
    <row r="342" hidden="1">
      <c r="A342" s="348"/>
      <c r="B342" s="488"/>
      <c r="C342" s="309"/>
      <c r="D342" s="309"/>
      <c r="E342" s="489"/>
      <c r="F342" s="309"/>
      <c r="G342" s="407"/>
      <c r="H342" s="490"/>
      <c r="I342" s="491"/>
      <c r="J342" s="492"/>
      <c r="K342" s="493"/>
      <c r="L342" s="494"/>
      <c r="M342" s="309"/>
      <c r="N342" s="309"/>
      <c r="O342" s="309"/>
      <c r="P342" s="309"/>
      <c r="Q342" s="309"/>
      <c r="R342" s="309"/>
      <c r="S342" s="309"/>
      <c r="T342" s="309"/>
      <c r="U342" s="309"/>
      <c r="V342" s="309"/>
      <c r="W342" s="309"/>
      <c r="X342" s="309"/>
    </row>
    <row r="343" hidden="1">
      <c r="A343" s="348"/>
      <c r="B343" s="488"/>
      <c r="C343" s="309"/>
      <c r="D343" s="309"/>
      <c r="E343" s="489"/>
      <c r="F343" s="309"/>
      <c r="G343" s="407"/>
      <c r="H343" s="490"/>
      <c r="I343" s="491"/>
      <c r="J343" s="492"/>
      <c r="K343" s="493"/>
      <c r="L343" s="494"/>
      <c r="M343" s="309"/>
      <c r="N343" s="309"/>
      <c r="O343" s="309"/>
      <c r="P343" s="309"/>
      <c r="Q343" s="309"/>
      <c r="R343" s="309"/>
      <c r="S343" s="309"/>
      <c r="T343" s="309"/>
      <c r="U343" s="309"/>
      <c r="V343" s="309"/>
      <c r="W343" s="309"/>
      <c r="X343" s="309"/>
    </row>
    <row r="344" hidden="1">
      <c r="A344" s="348"/>
      <c r="B344" s="488"/>
      <c r="C344" s="309"/>
      <c r="D344" s="309"/>
      <c r="E344" s="489"/>
      <c r="F344" s="309"/>
      <c r="G344" s="407"/>
      <c r="H344" s="490"/>
      <c r="I344" s="491"/>
      <c r="J344" s="492"/>
      <c r="K344" s="493"/>
      <c r="L344" s="494"/>
      <c r="M344" s="309"/>
      <c r="N344" s="309"/>
      <c r="O344" s="309"/>
      <c r="P344" s="309"/>
      <c r="Q344" s="309"/>
      <c r="R344" s="309"/>
      <c r="S344" s="309"/>
      <c r="T344" s="309"/>
      <c r="U344" s="309"/>
      <c r="V344" s="309"/>
      <c r="W344" s="309"/>
      <c r="X344" s="309"/>
    </row>
    <row r="345" hidden="1">
      <c r="A345" s="348"/>
      <c r="B345" s="488"/>
      <c r="C345" s="309"/>
      <c r="D345" s="309"/>
      <c r="E345" s="489"/>
      <c r="F345" s="309"/>
      <c r="G345" s="407"/>
      <c r="H345" s="490"/>
      <c r="I345" s="491"/>
      <c r="J345" s="492"/>
      <c r="K345" s="493"/>
      <c r="L345" s="494"/>
      <c r="M345" s="309"/>
      <c r="N345" s="309"/>
      <c r="O345" s="309"/>
      <c r="P345" s="309"/>
      <c r="Q345" s="309"/>
      <c r="R345" s="309"/>
      <c r="S345" s="309"/>
      <c r="T345" s="309"/>
      <c r="U345" s="309"/>
      <c r="V345" s="309"/>
      <c r="W345" s="309"/>
      <c r="X345" s="309"/>
    </row>
    <row r="346" hidden="1">
      <c r="A346" s="348"/>
      <c r="B346" s="488"/>
      <c r="C346" s="309"/>
      <c r="D346" s="309"/>
      <c r="E346" s="489"/>
      <c r="F346" s="309"/>
      <c r="G346" s="407"/>
      <c r="H346" s="490"/>
      <c r="I346" s="491"/>
      <c r="J346" s="492"/>
      <c r="K346" s="493"/>
      <c r="L346" s="494"/>
      <c r="M346" s="309"/>
      <c r="N346" s="309"/>
      <c r="O346" s="309"/>
      <c r="P346" s="309"/>
      <c r="Q346" s="309"/>
      <c r="R346" s="309"/>
      <c r="S346" s="309"/>
      <c r="T346" s="309"/>
      <c r="U346" s="309"/>
      <c r="V346" s="309"/>
      <c r="W346" s="309"/>
      <c r="X346" s="309"/>
    </row>
    <row r="347" hidden="1">
      <c r="A347" s="348"/>
      <c r="B347" s="488"/>
      <c r="C347" s="309"/>
      <c r="D347" s="309"/>
      <c r="E347" s="489"/>
      <c r="F347" s="309"/>
      <c r="G347" s="407"/>
      <c r="H347" s="490"/>
      <c r="I347" s="491"/>
      <c r="J347" s="492"/>
      <c r="K347" s="493"/>
      <c r="L347" s="494"/>
      <c r="M347" s="309"/>
      <c r="N347" s="309"/>
      <c r="O347" s="309"/>
      <c r="P347" s="309"/>
      <c r="Q347" s="309"/>
      <c r="R347" s="309"/>
      <c r="S347" s="309"/>
      <c r="T347" s="309"/>
      <c r="U347" s="309"/>
      <c r="V347" s="309"/>
      <c r="W347" s="309"/>
      <c r="X347" s="309"/>
    </row>
    <row r="348" hidden="1">
      <c r="A348" s="348"/>
      <c r="B348" s="488"/>
      <c r="C348" s="309"/>
      <c r="D348" s="309"/>
      <c r="E348" s="489"/>
      <c r="F348" s="309"/>
      <c r="G348" s="407"/>
      <c r="H348" s="490"/>
      <c r="I348" s="491"/>
      <c r="J348" s="492"/>
      <c r="K348" s="493"/>
      <c r="L348" s="494"/>
      <c r="M348" s="309"/>
      <c r="N348" s="309"/>
      <c r="O348" s="309"/>
      <c r="P348" s="309"/>
      <c r="Q348" s="309"/>
      <c r="R348" s="309"/>
      <c r="S348" s="309"/>
      <c r="T348" s="309"/>
      <c r="U348" s="309"/>
      <c r="V348" s="309"/>
      <c r="W348" s="309"/>
      <c r="X348" s="309"/>
    </row>
    <row r="349" hidden="1">
      <c r="A349" s="348"/>
      <c r="B349" s="488"/>
      <c r="C349" s="309"/>
      <c r="D349" s="309"/>
      <c r="E349" s="489"/>
      <c r="F349" s="309"/>
      <c r="G349" s="407"/>
      <c r="H349" s="490"/>
      <c r="I349" s="491"/>
      <c r="J349" s="492"/>
      <c r="K349" s="493"/>
      <c r="L349" s="494"/>
      <c r="M349" s="309"/>
      <c r="N349" s="309"/>
      <c r="O349" s="309"/>
      <c r="P349" s="309"/>
      <c r="Q349" s="309"/>
      <c r="R349" s="309"/>
      <c r="S349" s="309"/>
      <c r="T349" s="309"/>
      <c r="U349" s="309"/>
      <c r="V349" s="309"/>
      <c r="W349" s="309"/>
      <c r="X349" s="309"/>
    </row>
    <row r="350" hidden="1">
      <c r="A350" s="348"/>
      <c r="B350" s="488"/>
      <c r="C350" s="309"/>
      <c r="D350" s="309"/>
      <c r="E350" s="489"/>
      <c r="F350" s="309"/>
      <c r="G350" s="407"/>
      <c r="H350" s="490"/>
      <c r="I350" s="491"/>
      <c r="J350" s="492"/>
      <c r="K350" s="493"/>
      <c r="L350" s="494"/>
      <c r="M350" s="309"/>
      <c r="N350" s="309"/>
      <c r="O350" s="309"/>
      <c r="P350" s="309"/>
      <c r="Q350" s="309"/>
      <c r="R350" s="309"/>
      <c r="S350" s="309"/>
      <c r="T350" s="309"/>
      <c r="U350" s="309"/>
      <c r="V350" s="309"/>
      <c r="W350" s="309"/>
      <c r="X350" s="309"/>
    </row>
    <row r="351" hidden="1">
      <c r="A351" s="348"/>
      <c r="B351" s="488"/>
      <c r="C351" s="309"/>
      <c r="D351" s="309"/>
      <c r="E351" s="489"/>
      <c r="F351" s="309"/>
      <c r="G351" s="407"/>
      <c r="H351" s="490"/>
      <c r="I351" s="491"/>
      <c r="J351" s="492"/>
      <c r="K351" s="493"/>
      <c r="L351" s="494"/>
      <c r="M351" s="309"/>
      <c r="N351" s="309"/>
      <c r="O351" s="309"/>
      <c r="P351" s="309"/>
      <c r="Q351" s="309"/>
      <c r="R351" s="309"/>
      <c r="S351" s="309"/>
      <c r="T351" s="309"/>
      <c r="U351" s="309"/>
      <c r="V351" s="309"/>
      <c r="W351" s="309"/>
      <c r="X351" s="309"/>
    </row>
    <row r="352" hidden="1">
      <c r="A352" s="348"/>
      <c r="B352" s="488"/>
      <c r="C352" s="309"/>
      <c r="D352" s="309"/>
      <c r="E352" s="489"/>
      <c r="F352" s="309"/>
      <c r="G352" s="407"/>
      <c r="H352" s="490"/>
      <c r="I352" s="491"/>
      <c r="J352" s="492"/>
      <c r="K352" s="493"/>
      <c r="L352" s="494"/>
      <c r="M352" s="309"/>
      <c r="N352" s="309"/>
      <c r="O352" s="309"/>
      <c r="P352" s="309"/>
      <c r="Q352" s="309"/>
      <c r="R352" s="309"/>
      <c r="S352" s="309"/>
      <c r="T352" s="309"/>
      <c r="U352" s="309"/>
      <c r="V352" s="309"/>
      <c r="W352" s="309"/>
      <c r="X352" s="309"/>
    </row>
    <row r="353" hidden="1">
      <c r="A353" s="348"/>
      <c r="B353" s="488"/>
      <c r="C353" s="309"/>
      <c r="D353" s="309"/>
      <c r="E353" s="489"/>
      <c r="F353" s="309"/>
      <c r="G353" s="407"/>
      <c r="H353" s="490"/>
      <c r="I353" s="491"/>
      <c r="J353" s="492"/>
      <c r="K353" s="493"/>
      <c r="L353" s="494"/>
      <c r="M353" s="309"/>
      <c r="N353" s="309"/>
      <c r="O353" s="309"/>
      <c r="P353" s="309"/>
      <c r="Q353" s="309"/>
      <c r="R353" s="309"/>
      <c r="S353" s="309"/>
      <c r="T353" s="309"/>
      <c r="U353" s="309"/>
      <c r="V353" s="309"/>
      <c r="W353" s="309"/>
      <c r="X353" s="309"/>
    </row>
    <row r="354" hidden="1">
      <c r="A354" s="348"/>
      <c r="B354" s="488"/>
      <c r="C354" s="309"/>
      <c r="D354" s="309"/>
      <c r="E354" s="489"/>
      <c r="F354" s="309"/>
      <c r="G354" s="407"/>
      <c r="H354" s="490"/>
      <c r="I354" s="491"/>
      <c r="J354" s="492"/>
      <c r="K354" s="493"/>
      <c r="L354" s="494"/>
      <c r="M354" s="309"/>
      <c r="N354" s="309"/>
      <c r="O354" s="309"/>
      <c r="P354" s="309"/>
      <c r="Q354" s="309"/>
      <c r="R354" s="309"/>
      <c r="S354" s="309"/>
      <c r="T354" s="309"/>
      <c r="U354" s="309"/>
      <c r="V354" s="309"/>
      <c r="W354" s="309"/>
      <c r="X354" s="309"/>
    </row>
    <row r="355" hidden="1">
      <c r="A355" s="348"/>
      <c r="B355" s="488"/>
      <c r="C355" s="309"/>
      <c r="D355" s="309"/>
      <c r="E355" s="489"/>
      <c r="F355" s="309"/>
      <c r="G355" s="407"/>
      <c r="H355" s="490"/>
      <c r="I355" s="491"/>
      <c r="J355" s="492"/>
      <c r="K355" s="493"/>
      <c r="L355" s="494"/>
      <c r="M355" s="309"/>
      <c r="N355" s="309"/>
      <c r="O355" s="309"/>
      <c r="P355" s="309"/>
      <c r="Q355" s="309"/>
      <c r="R355" s="309"/>
      <c r="S355" s="309"/>
      <c r="T355" s="309"/>
      <c r="U355" s="309"/>
      <c r="V355" s="309"/>
      <c r="W355" s="309"/>
      <c r="X355" s="309"/>
    </row>
    <row r="356" hidden="1">
      <c r="A356" s="348"/>
      <c r="B356" s="488"/>
      <c r="C356" s="309"/>
      <c r="D356" s="309"/>
      <c r="E356" s="489"/>
      <c r="F356" s="309"/>
      <c r="G356" s="407"/>
      <c r="H356" s="490"/>
      <c r="I356" s="491"/>
      <c r="J356" s="492"/>
      <c r="K356" s="493"/>
      <c r="L356" s="494"/>
      <c r="M356" s="309"/>
      <c r="N356" s="309"/>
      <c r="O356" s="309"/>
      <c r="P356" s="309"/>
      <c r="Q356" s="309"/>
      <c r="R356" s="309"/>
      <c r="S356" s="309"/>
      <c r="T356" s="309"/>
      <c r="U356" s="309"/>
      <c r="V356" s="309"/>
      <c r="W356" s="309"/>
      <c r="X356" s="309"/>
    </row>
    <row r="357" hidden="1">
      <c r="A357" s="348"/>
      <c r="B357" s="488"/>
      <c r="C357" s="309"/>
      <c r="D357" s="309"/>
      <c r="E357" s="489"/>
      <c r="F357" s="309"/>
      <c r="G357" s="407"/>
      <c r="H357" s="490"/>
      <c r="I357" s="491"/>
      <c r="J357" s="492"/>
      <c r="K357" s="493"/>
      <c r="L357" s="494"/>
      <c r="M357" s="309"/>
      <c r="N357" s="309"/>
      <c r="O357" s="309"/>
      <c r="P357" s="309"/>
      <c r="Q357" s="309"/>
      <c r="R357" s="309"/>
      <c r="S357" s="309"/>
      <c r="T357" s="309"/>
      <c r="U357" s="309"/>
      <c r="V357" s="309"/>
      <c r="W357" s="309"/>
      <c r="X357" s="309"/>
    </row>
    <row r="358" hidden="1">
      <c r="A358" s="348"/>
      <c r="B358" s="488"/>
      <c r="C358" s="309"/>
      <c r="D358" s="309"/>
      <c r="E358" s="489"/>
      <c r="F358" s="309"/>
      <c r="G358" s="407"/>
      <c r="H358" s="490"/>
      <c r="I358" s="491"/>
      <c r="J358" s="492"/>
      <c r="K358" s="493"/>
      <c r="L358" s="494"/>
      <c r="M358" s="309"/>
      <c r="N358" s="309"/>
      <c r="O358" s="309"/>
      <c r="P358" s="309"/>
      <c r="Q358" s="309"/>
      <c r="R358" s="309"/>
      <c r="S358" s="309"/>
      <c r="T358" s="309"/>
      <c r="U358" s="309"/>
      <c r="V358" s="309"/>
      <c r="W358" s="309"/>
      <c r="X358" s="309"/>
    </row>
    <row r="359" hidden="1">
      <c r="A359" s="348"/>
      <c r="B359" s="488"/>
      <c r="C359" s="309"/>
      <c r="D359" s="309"/>
      <c r="E359" s="489"/>
      <c r="F359" s="309"/>
      <c r="G359" s="407"/>
      <c r="H359" s="490"/>
      <c r="I359" s="491"/>
      <c r="J359" s="492"/>
      <c r="K359" s="493"/>
      <c r="L359" s="494"/>
      <c r="M359" s="309"/>
      <c r="N359" s="309"/>
      <c r="O359" s="309"/>
      <c r="P359" s="309"/>
      <c r="Q359" s="309"/>
      <c r="R359" s="309"/>
      <c r="S359" s="309"/>
      <c r="T359" s="309"/>
      <c r="U359" s="309"/>
      <c r="V359" s="309"/>
      <c r="W359" s="309"/>
      <c r="X359" s="309"/>
    </row>
    <row r="360" hidden="1">
      <c r="A360" s="348"/>
      <c r="B360" s="488"/>
      <c r="C360" s="309"/>
      <c r="D360" s="309"/>
      <c r="E360" s="489"/>
      <c r="F360" s="309"/>
      <c r="G360" s="407"/>
      <c r="H360" s="490"/>
      <c r="I360" s="491"/>
      <c r="J360" s="492"/>
      <c r="K360" s="493"/>
      <c r="L360" s="494"/>
      <c r="M360" s="309"/>
      <c r="N360" s="309"/>
      <c r="O360" s="309"/>
      <c r="P360" s="309"/>
      <c r="Q360" s="309"/>
      <c r="R360" s="309"/>
      <c r="S360" s="309"/>
      <c r="T360" s="309"/>
      <c r="U360" s="309"/>
      <c r="V360" s="309"/>
      <c r="W360" s="309"/>
      <c r="X360" s="309"/>
    </row>
    <row r="361" hidden="1">
      <c r="A361" s="348"/>
      <c r="B361" s="488"/>
      <c r="C361" s="309"/>
      <c r="D361" s="309"/>
      <c r="E361" s="489"/>
      <c r="F361" s="309"/>
      <c r="G361" s="407"/>
      <c r="H361" s="490"/>
      <c r="I361" s="491"/>
      <c r="J361" s="492"/>
      <c r="K361" s="493"/>
      <c r="L361" s="494"/>
      <c r="M361" s="309"/>
      <c r="N361" s="309"/>
      <c r="O361" s="309"/>
      <c r="P361" s="309"/>
      <c r="Q361" s="309"/>
      <c r="R361" s="309"/>
      <c r="S361" s="309"/>
      <c r="T361" s="309"/>
      <c r="U361" s="309"/>
      <c r="V361" s="309"/>
      <c r="W361" s="309"/>
      <c r="X361" s="309"/>
    </row>
    <row r="362" hidden="1">
      <c r="A362" s="348"/>
      <c r="B362" s="488"/>
      <c r="C362" s="309"/>
      <c r="D362" s="309"/>
      <c r="E362" s="489"/>
      <c r="F362" s="309"/>
      <c r="G362" s="407"/>
      <c r="H362" s="490"/>
      <c r="I362" s="491"/>
      <c r="J362" s="492"/>
      <c r="K362" s="493"/>
      <c r="L362" s="494"/>
      <c r="M362" s="309"/>
      <c r="N362" s="309"/>
      <c r="O362" s="309"/>
      <c r="P362" s="309"/>
      <c r="Q362" s="309"/>
      <c r="R362" s="309"/>
      <c r="S362" s="309"/>
      <c r="T362" s="309"/>
      <c r="U362" s="309"/>
      <c r="V362" s="309"/>
      <c r="W362" s="309"/>
      <c r="X362" s="309"/>
    </row>
    <row r="363" hidden="1">
      <c r="A363" s="348"/>
      <c r="B363" s="488"/>
      <c r="C363" s="309"/>
      <c r="D363" s="309"/>
      <c r="E363" s="489"/>
      <c r="F363" s="309"/>
      <c r="G363" s="407"/>
      <c r="H363" s="490"/>
      <c r="I363" s="491"/>
      <c r="J363" s="492"/>
      <c r="K363" s="493"/>
      <c r="L363" s="494"/>
      <c r="M363" s="309"/>
      <c r="N363" s="309"/>
      <c r="O363" s="309"/>
      <c r="P363" s="309"/>
      <c r="Q363" s="309"/>
      <c r="R363" s="309"/>
      <c r="S363" s="309"/>
      <c r="T363" s="309"/>
      <c r="U363" s="309"/>
      <c r="V363" s="309"/>
      <c r="W363" s="309"/>
      <c r="X363" s="309"/>
    </row>
    <row r="364" hidden="1">
      <c r="A364" s="348"/>
      <c r="B364" s="488"/>
      <c r="C364" s="309"/>
      <c r="D364" s="309"/>
      <c r="E364" s="489"/>
      <c r="F364" s="309"/>
      <c r="G364" s="407"/>
      <c r="H364" s="490"/>
      <c r="I364" s="491"/>
      <c r="J364" s="492"/>
      <c r="K364" s="493"/>
      <c r="L364" s="494"/>
      <c r="M364" s="309"/>
      <c r="N364" s="309"/>
      <c r="O364" s="309"/>
      <c r="P364" s="309"/>
      <c r="Q364" s="309"/>
      <c r="R364" s="309"/>
      <c r="S364" s="309"/>
      <c r="T364" s="309"/>
      <c r="U364" s="309"/>
      <c r="V364" s="309"/>
      <c r="W364" s="309"/>
      <c r="X364" s="309"/>
    </row>
    <row r="365" hidden="1">
      <c r="A365" s="348"/>
      <c r="B365" s="488"/>
      <c r="C365" s="309"/>
      <c r="D365" s="309"/>
      <c r="E365" s="489"/>
      <c r="F365" s="309"/>
      <c r="G365" s="407"/>
      <c r="H365" s="490"/>
      <c r="I365" s="491"/>
      <c r="J365" s="492"/>
      <c r="K365" s="493"/>
      <c r="L365" s="494"/>
      <c r="M365" s="309"/>
      <c r="N365" s="309"/>
      <c r="O365" s="309"/>
      <c r="P365" s="309"/>
      <c r="Q365" s="309"/>
      <c r="R365" s="309"/>
      <c r="S365" s="309"/>
      <c r="T365" s="309"/>
      <c r="U365" s="309"/>
      <c r="V365" s="309"/>
      <c r="W365" s="309"/>
      <c r="X365" s="309"/>
    </row>
    <row r="366" hidden="1">
      <c r="A366" s="348"/>
      <c r="B366" s="488"/>
      <c r="C366" s="309"/>
      <c r="D366" s="309"/>
      <c r="E366" s="489"/>
      <c r="F366" s="309"/>
      <c r="G366" s="407"/>
      <c r="H366" s="490"/>
      <c r="I366" s="491"/>
      <c r="J366" s="492"/>
      <c r="K366" s="493"/>
      <c r="L366" s="494"/>
      <c r="M366" s="309"/>
      <c r="N366" s="309"/>
      <c r="O366" s="309"/>
      <c r="P366" s="309"/>
      <c r="Q366" s="309"/>
      <c r="R366" s="309"/>
      <c r="S366" s="309"/>
      <c r="T366" s="309"/>
      <c r="U366" s="309"/>
      <c r="V366" s="309"/>
      <c r="W366" s="309"/>
      <c r="X366" s="309"/>
    </row>
    <row r="367" hidden="1">
      <c r="A367" s="348"/>
      <c r="B367" s="488"/>
      <c r="C367" s="309"/>
      <c r="D367" s="309"/>
      <c r="E367" s="489"/>
      <c r="F367" s="309"/>
      <c r="G367" s="407"/>
      <c r="H367" s="490"/>
      <c r="I367" s="491"/>
      <c r="J367" s="492"/>
      <c r="K367" s="493"/>
      <c r="L367" s="494"/>
      <c r="M367" s="309"/>
      <c r="N367" s="309"/>
      <c r="O367" s="309"/>
      <c r="P367" s="309"/>
      <c r="Q367" s="309"/>
      <c r="R367" s="309"/>
      <c r="S367" s="309"/>
      <c r="T367" s="309"/>
      <c r="U367" s="309"/>
      <c r="V367" s="309"/>
      <c r="W367" s="309"/>
      <c r="X367" s="309"/>
    </row>
    <row r="368" hidden="1">
      <c r="A368" s="348"/>
      <c r="B368" s="488"/>
      <c r="C368" s="309"/>
      <c r="D368" s="309"/>
      <c r="E368" s="489"/>
      <c r="F368" s="309"/>
      <c r="G368" s="407"/>
      <c r="H368" s="490"/>
      <c r="I368" s="491"/>
      <c r="J368" s="492"/>
      <c r="K368" s="493"/>
      <c r="L368" s="494"/>
      <c r="M368" s="309"/>
      <c r="N368" s="309"/>
      <c r="O368" s="309"/>
      <c r="P368" s="309"/>
      <c r="Q368" s="309"/>
      <c r="R368" s="309"/>
      <c r="S368" s="309"/>
      <c r="T368" s="309"/>
      <c r="U368" s="309"/>
      <c r="V368" s="309"/>
      <c r="W368" s="309"/>
      <c r="X368" s="309"/>
    </row>
    <row r="369" hidden="1">
      <c r="A369" s="348"/>
      <c r="B369" s="488"/>
      <c r="C369" s="309"/>
      <c r="D369" s="309"/>
      <c r="E369" s="489"/>
      <c r="F369" s="309"/>
      <c r="G369" s="407"/>
      <c r="H369" s="490"/>
      <c r="I369" s="491"/>
      <c r="J369" s="492"/>
      <c r="K369" s="493"/>
      <c r="L369" s="494"/>
      <c r="M369" s="309"/>
      <c r="N369" s="309"/>
      <c r="O369" s="309"/>
      <c r="P369" s="309"/>
      <c r="Q369" s="309"/>
      <c r="R369" s="309"/>
      <c r="S369" s="309"/>
      <c r="T369" s="309"/>
      <c r="U369" s="309"/>
      <c r="V369" s="309"/>
      <c r="W369" s="309"/>
      <c r="X369" s="309"/>
    </row>
    <row r="370" hidden="1">
      <c r="A370" s="348"/>
      <c r="B370" s="488"/>
      <c r="C370" s="309"/>
      <c r="D370" s="309"/>
      <c r="E370" s="489"/>
      <c r="F370" s="309"/>
      <c r="G370" s="407"/>
      <c r="H370" s="490"/>
      <c r="I370" s="491"/>
      <c r="J370" s="492"/>
      <c r="K370" s="493"/>
      <c r="L370" s="494"/>
      <c r="M370" s="309"/>
      <c r="N370" s="309"/>
      <c r="O370" s="309"/>
      <c r="P370" s="309"/>
      <c r="Q370" s="309"/>
      <c r="R370" s="309"/>
      <c r="S370" s="309"/>
      <c r="T370" s="309"/>
      <c r="U370" s="309"/>
      <c r="V370" s="309"/>
      <c r="W370" s="309"/>
      <c r="X370" s="309"/>
    </row>
    <row r="371" hidden="1">
      <c r="A371" s="348"/>
      <c r="B371" s="488"/>
      <c r="C371" s="309"/>
      <c r="D371" s="309"/>
      <c r="E371" s="489"/>
      <c r="F371" s="309"/>
      <c r="G371" s="407"/>
      <c r="H371" s="490"/>
      <c r="I371" s="491"/>
      <c r="J371" s="492"/>
      <c r="K371" s="493"/>
      <c r="L371" s="494"/>
      <c r="M371" s="309"/>
      <c r="N371" s="309"/>
      <c r="O371" s="309"/>
      <c r="P371" s="309"/>
      <c r="Q371" s="309"/>
      <c r="R371" s="309"/>
      <c r="S371" s="309"/>
      <c r="T371" s="309"/>
      <c r="U371" s="309"/>
      <c r="V371" s="309"/>
      <c r="W371" s="309"/>
      <c r="X371" s="309"/>
    </row>
    <row r="372" hidden="1">
      <c r="A372" s="348"/>
      <c r="B372" s="488"/>
      <c r="C372" s="309"/>
      <c r="D372" s="309"/>
      <c r="E372" s="489"/>
      <c r="F372" s="309"/>
      <c r="G372" s="407"/>
      <c r="H372" s="490"/>
      <c r="I372" s="491"/>
      <c r="J372" s="492"/>
      <c r="K372" s="493"/>
      <c r="L372" s="494"/>
      <c r="M372" s="309"/>
      <c r="N372" s="309"/>
      <c r="O372" s="309"/>
      <c r="P372" s="309"/>
      <c r="Q372" s="309"/>
      <c r="R372" s="309"/>
      <c r="S372" s="309"/>
      <c r="T372" s="309"/>
      <c r="U372" s="309"/>
      <c r="V372" s="309"/>
      <c r="W372" s="309"/>
      <c r="X372" s="309"/>
    </row>
    <row r="373" hidden="1">
      <c r="A373" s="348"/>
      <c r="B373" s="488"/>
      <c r="C373" s="309"/>
      <c r="D373" s="309"/>
      <c r="E373" s="489"/>
      <c r="F373" s="309"/>
      <c r="G373" s="407"/>
      <c r="H373" s="490"/>
      <c r="I373" s="491"/>
      <c r="J373" s="492"/>
      <c r="K373" s="493"/>
      <c r="L373" s="494"/>
      <c r="M373" s="309"/>
      <c r="N373" s="309"/>
      <c r="O373" s="309"/>
      <c r="P373" s="309"/>
      <c r="Q373" s="309"/>
      <c r="R373" s="309"/>
      <c r="S373" s="309"/>
      <c r="T373" s="309"/>
      <c r="U373" s="309"/>
      <c r="V373" s="309"/>
      <c r="W373" s="309"/>
      <c r="X373" s="309"/>
    </row>
    <row r="374" hidden="1">
      <c r="A374" s="348"/>
      <c r="B374" s="488"/>
      <c r="C374" s="309"/>
      <c r="D374" s="309"/>
      <c r="E374" s="489"/>
      <c r="F374" s="309"/>
      <c r="G374" s="407"/>
      <c r="H374" s="490"/>
      <c r="I374" s="491"/>
      <c r="J374" s="492"/>
      <c r="K374" s="493"/>
      <c r="L374" s="494"/>
      <c r="M374" s="309"/>
      <c r="N374" s="309"/>
      <c r="O374" s="309"/>
      <c r="P374" s="309"/>
      <c r="Q374" s="309"/>
      <c r="R374" s="309"/>
      <c r="S374" s="309"/>
      <c r="T374" s="309"/>
      <c r="U374" s="309"/>
      <c r="V374" s="309"/>
      <c r="W374" s="309"/>
      <c r="X374" s="309"/>
    </row>
    <row r="375" hidden="1">
      <c r="A375" s="348"/>
      <c r="B375" s="488"/>
      <c r="C375" s="309"/>
      <c r="D375" s="309"/>
      <c r="E375" s="489"/>
      <c r="F375" s="309"/>
      <c r="G375" s="407"/>
      <c r="H375" s="490"/>
      <c r="I375" s="491"/>
      <c r="J375" s="492"/>
      <c r="K375" s="493"/>
      <c r="L375" s="494"/>
      <c r="M375" s="309"/>
      <c r="N375" s="309"/>
      <c r="O375" s="309"/>
      <c r="P375" s="309"/>
      <c r="Q375" s="309"/>
      <c r="R375" s="309"/>
      <c r="S375" s="309"/>
      <c r="T375" s="309"/>
      <c r="U375" s="309"/>
      <c r="V375" s="309"/>
      <c r="W375" s="309"/>
      <c r="X375" s="309"/>
    </row>
    <row r="376" hidden="1">
      <c r="A376" s="348"/>
      <c r="B376" s="488"/>
      <c r="C376" s="309"/>
      <c r="D376" s="309"/>
      <c r="E376" s="489"/>
      <c r="F376" s="309"/>
      <c r="G376" s="407"/>
      <c r="H376" s="490"/>
      <c r="I376" s="491"/>
      <c r="J376" s="492"/>
      <c r="K376" s="493"/>
      <c r="L376" s="494"/>
      <c r="M376" s="309"/>
      <c r="N376" s="309"/>
      <c r="O376" s="309"/>
      <c r="P376" s="309"/>
      <c r="Q376" s="309"/>
      <c r="R376" s="309"/>
      <c r="S376" s="309"/>
      <c r="T376" s="309"/>
      <c r="U376" s="309"/>
      <c r="V376" s="309"/>
      <c r="W376" s="309"/>
      <c r="X376" s="309"/>
    </row>
    <row r="377" hidden="1">
      <c r="A377" s="348"/>
      <c r="B377" s="488"/>
      <c r="C377" s="309"/>
      <c r="D377" s="309"/>
      <c r="E377" s="489"/>
      <c r="F377" s="309"/>
      <c r="G377" s="407"/>
      <c r="H377" s="490"/>
      <c r="I377" s="491"/>
      <c r="J377" s="492"/>
      <c r="K377" s="493"/>
      <c r="L377" s="494"/>
      <c r="M377" s="309"/>
      <c r="N377" s="309"/>
      <c r="O377" s="309"/>
      <c r="P377" s="309"/>
      <c r="Q377" s="309"/>
      <c r="R377" s="309"/>
      <c r="S377" s="309"/>
      <c r="T377" s="309"/>
      <c r="U377" s="309"/>
      <c r="V377" s="309"/>
      <c r="W377" s="309"/>
      <c r="X377" s="309"/>
    </row>
    <row r="378" hidden="1">
      <c r="A378" s="348"/>
      <c r="B378" s="488"/>
      <c r="C378" s="309"/>
      <c r="D378" s="309"/>
      <c r="E378" s="489"/>
      <c r="F378" s="309"/>
      <c r="G378" s="407"/>
      <c r="H378" s="490"/>
      <c r="I378" s="491"/>
      <c r="J378" s="492"/>
      <c r="K378" s="493"/>
      <c r="L378" s="494"/>
      <c r="M378" s="309"/>
      <c r="N378" s="309"/>
      <c r="O378" s="309"/>
      <c r="P378" s="309"/>
      <c r="Q378" s="309"/>
      <c r="R378" s="309"/>
      <c r="S378" s="309"/>
      <c r="T378" s="309"/>
      <c r="U378" s="309"/>
      <c r="V378" s="309"/>
      <c r="W378" s="309"/>
      <c r="X378" s="309"/>
    </row>
    <row r="379" hidden="1">
      <c r="A379" s="348"/>
      <c r="B379" s="488"/>
      <c r="C379" s="309"/>
      <c r="D379" s="309"/>
      <c r="E379" s="489"/>
      <c r="F379" s="309"/>
      <c r="G379" s="407"/>
      <c r="H379" s="490"/>
      <c r="I379" s="491"/>
      <c r="J379" s="492"/>
      <c r="K379" s="493"/>
      <c r="L379" s="494"/>
      <c r="M379" s="309"/>
      <c r="N379" s="309"/>
      <c r="O379" s="309"/>
      <c r="P379" s="309"/>
      <c r="Q379" s="309"/>
      <c r="R379" s="309"/>
      <c r="S379" s="309"/>
      <c r="T379" s="309"/>
      <c r="U379" s="309"/>
      <c r="V379" s="309"/>
      <c r="W379" s="309"/>
      <c r="X379" s="309"/>
    </row>
    <row r="380" hidden="1">
      <c r="A380" s="348"/>
      <c r="B380" s="488"/>
      <c r="C380" s="309"/>
      <c r="D380" s="309"/>
      <c r="E380" s="489"/>
      <c r="F380" s="309"/>
      <c r="G380" s="407"/>
      <c r="H380" s="490"/>
      <c r="I380" s="491"/>
      <c r="J380" s="492"/>
      <c r="K380" s="493"/>
      <c r="L380" s="494"/>
      <c r="M380" s="309"/>
      <c r="N380" s="309"/>
      <c r="O380" s="309"/>
      <c r="P380" s="309"/>
      <c r="Q380" s="309"/>
      <c r="R380" s="309"/>
      <c r="S380" s="309"/>
      <c r="T380" s="309"/>
      <c r="U380" s="309"/>
      <c r="V380" s="309"/>
      <c r="W380" s="309"/>
      <c r="X380" s="309"/>
    </row>
    <row r="381" hidden="1">
      <c r="A381" s="348"/>
      <c r="B381" s="488"/>
      <c r="C381" s="309"/>
      <c r="D381" s="309"/>
      <c r="E381" s="489"/>
      <c r="F381" s="309"/>
      <c r="G381" s="407"/>
      <c r="H381" s="490"/>
      <c r="I381" s="491"/>
      <c r="J381" s="492"/>
      <c r="K381" s="493"/>
      <c r="L381" s="494"/>
      <c r="M381" s="309"/>
      <c r="N381" s="309"/>
      <c r="O381" s="309"/>
      <c r="P381" s="309"/>
      <c r="Q381" s="309"/>
      <c r="R381" s="309"/>
      <c r="S381" s="309"/>
      <c r="T381" s="309"/>
      <c r="U381" s="309"/>
      <c r="V381" s="309"/>
      <c r="W381" s="309"/>
      <c r="X381" s="309"/>
    </row>
    <row r="382" hidden="1">
      <c r="A382" s="348"/>
      <c r="B382" s="488"/>
      <c r="C382" s="309"/>
      <c r="D382" s="309"/>
      <c r="E382" s="489"/>
      <c r="F382" s="309"/>
      <c r="G382" s="407"/>
      <c r="H382" s="490"/>
      <c r="I382" s="491"/>
      <c r="J382" s="492"/>
      <c r="K382" s="493"/>
      <c r="L382" s="494"/>
      <c r="M382" s="309"/>
      <c r="N382" s="309"/>
      <c r="O382" s="309"/>
      <c r="P382" s="309"/>
      <c r="Q382" s="309"/>
      <c r="R382" s="309"/>
      <c r="S382" s="309"/>
      <c r="T382" s="309"/>
      <c r="U382" s="309"/>
      <c r="V382" s="309"/>
      <c r="W382" s="309"/>
      <c r="X382" s="309"/>
    </row>
    <row r="383" hidden="1">
      <c r="A383" s="348"/>
      <c r="B383" s="488"/>
      <c r="C383" s="309"/>
      <c r="D383" s="309"/>
      <c r="E383" s="489"/>
      <c r="F383" s="309"/>
      <c r="G383" s="407"/>
      <c r="H383" s="490"/>
      <c r="I383" s="491"/>
      <c r="J383" s="492"/>
      <c r="K383" s="493"/>
      <c r="L383" s="494"/>
      <c r="M383" s="309"/>
      <c r="N383" s="309"/>
      <c r="O383" s="309"/>
      <c r="P383" s="309"/>
      <c r="Q383" s="309"/>
      <c r="R383" s="309"/>
      <c r="S383" s="309"/>
      <c r="T383" s="309"/>
      <c r="U383" s="309"/>
      <c r="V383" s="309"/>
      <c r="W383" s="309"/>
      <c r="X383" s="309"/>
    </row>
    <row r="384" hidden="1">
      <c r="A384" s="348"/>
      <c r="B384" s="488"/>
      <c r="C384" s="309"/>
      <c r="D384" s="309"/>
      <c r="E384" s="489"/>
      <c r="F384" s="309"/>
      <c r="G384" s="407"/>
      <c r="H384" s="490"/>
      <c r="I384" s="491"/>
      <c r="J384" s="492"/>
      <c r="K384" s="493"/>
      <c r="L384" s="494"/>
      <c r="M384" s="309"/>
      <c r="N384" s="309"/>
      <c r="O384" s="309"/>
      <c r="P384" s="309"/>
      <c r="Q384" s="309"/>
      <c r="R384" s="309"/>
      <c r="S384" s="309"/>
      <c r="T384" s="309"/>
      <c r="U384" s="309"/>
      <c r="V384" s="309"/>
      <c r="W384" s="309"/>
      <c r="X384" s="309"/>
    </row>
    <row r="385" hidden="1">
      <c r="A385" s="348"/>
      <c r="B385" s="488"/>
      <c r="C385" s="309"/>
      <c r="D385" s="309"/>
      <c r="E385" s="489"/>
      <c r="F385" s="309"/>
      <c r="G385" s="407"/>
      <c r="H385" s="490"/>
      <c r="I385" s="491"/>
      <c r="J385" s="492"/>
      <c r="K385" s="493"/>
      <c r="L385" s="494"/>
      <c r="M385" s="309"/>
      <c r="N385" s="309"/>
      <c r="O385" s="309"/>
      <c r="P385" s="309"/>
      <c r="Q385" s="309"/>
      <c r="R385" s="309"/>
      <c r="S385" s="309"/>
      <c r="T385" s="309"/>
      <c r="U385" s="309"/>
      <c r="V385" s="309"/>
      <c r="W385" s="309"/>
      <c r="X385" s="309"/>
    </row>
    <row r="386" hidden="1">
      <c r="A386" s="348"/>
      <c r="B386" s="488"/>
      <c r="C386" s="309"/>
      <c r="D386" s="309"/>
      <c r="E386" s="489"/>
      <c r="F386" s="309"/>
      <c r="G386" s="407"/>
      <c r="H386" s="490"/>
      <c r="I386" s="491"/>
      <c r="J386" s="492"/>
      <c r="K386" s="493"/>
      <c r="L386" s="494"/>
      <c r="M386" s="309"/>
      <c r="N386" s="309"/>
      <c r="O386" s="309"/>
      <c r="P386" s="309"/>
      <c r="Q386" s="309"/>
      <c r="R386" s="309"/>
      <c r="S386" s="309"/>
      <c r="T386" s="309"/>
      <c r="U386" s="309"/>
      <c r="V386" s="309"/>
      <c r="W386" s="309"/>
      <c r="X386" s="309"/>
    </row>
    <row r="387" hidden="1">
      <c r="A387" s="348"/>
      <c r="B387" s="488"/>
      <c r="C387" s="309"/>
      <c r="D387" s="309"/>
      <c r="E387" s="489"/>
      <c r="F387" s="309"/>
      <c r="G387" s="407"/>
      <c r="H387" s="490"/>
      <c r="I387" s="491"/>
      <c r="J387" s="492"/>
      <c r="K387" s="493"/>
      <c r="L387" s="494"/>
      <c r="M387" s="309"/>
      <c r="N387" s="309"/>
      <c r="O387" s="309"/>
      <c r="P387" s="309"/>
      <c r="Q387" s="309"/>
      <c r="R387" s="309"/>
      <c r="S387" s="309"/>
      <c r="T387" s="309"/>
      <c r="U387" s="309"/>
      <c r="V387" s="309"/>
      <c r="W387" s="309"/>
      <c r="X387" s="309"/>
    </row>
    <row r="388" hidden="1">
      <c r="A388" s="348"/>
      <c r="B388" s="488"/>
      <c r="C388" s="309"/>
      <c r="D388" s="309"/>
      <c r="E388" s="489"/>
      <c r="F388" s="309"/>
      <c r="G388" s="407"/>
      <c r="H388" s="490"/>
      <c r="I388" s="491"/>
      <c r="J388" s="492"/>
      <c r="K388" s="493"/>
      <c r="L388" s="494"/>
      <c r="M388" s="309"/>
      <c r="N388" s="309"/>
      <c r="O388" s="309"/>
      <c r="P388" s="309"/>
      <c r="Q388" s="309"/>
      <c r="R388" s="309"/>
      <c r="S388" s="309"/>
      <c r="T388" s="309"/>
      <c r="U388" s="309"/>
      <c r="V388" s="309"/>
      <c r="W388" s="309"/>
      <c r="X388" s="309"/>
    </row>
    <row r="389" hidden="1">
      <c r="A389" s="348"/>
      <c r="B389" s="488"/>
      <c r="C389" s="309"/>
      <c r="D389" s="309"/>
      <c r="E389" s="489"/>
      <c r="F389" s="309"/>
      <c r="G389" s="407"/>
      <c r="H389" s="490"/>
      <c r="I389" s="491"/>
      <c r="J389" s="492"/>
      <c r="K389" s="493"/>
      <c r="L389" s="494"/>
      <c r="M389" s="309"/>
      <c r="N389" s="309"/>
      <c r="O389" s="309"/>
      <c r="P389" s="309"/>
      <c r="Q389" s="309"/>
      <c r="R389" s="309"/>
      <c r="S389" s="309"/>
      <c r="T389" s="309"/>
      <c r="U389" s="309"/>
      <c r="V389" s="309"/>
      <c r="W389" s="309"/>
      <c r="X389" s="309"/>
    </row>
    <row r="390" hidden="1">
      <c r="A390" s="348"/>
      <c r="B390" s="488"/>
      <c r="C390" s="309"/>
      <c r="D390" s="309"/>
      <c r="E390" s="489"/>
      <c r="F390" s="309"/>
      <c r="G390" s="407"/>
      <c r="H390" s="490"/>
      <c r="I390" s="491"/>
      <c r="J390" s="492"/>
      <c r="K390" s="493"/>
      <c r="L390" s="494"/>
      <c r="M390" s="309"/>
      <c r="N390" s="309"/>
      <c r="O390" s="309"/>
      <c r="P390" s="309"/>
      <c r="Q390" s="309"/>
      <c r="R390" s="309"/>
      <c r="S390" s="309"/>
      <c r="T390" s="309"/>
      <c r="U390" s="309"/>
      <c r="V390" s="309"/>
      <c r="W390" s="309"/>
      <c r="X390" s="309"/>
    </row>
    <row r="391" hidden="1">
      <c r="A391" s="348"/>
      <c r="B391" s="488"/>
      <c r="C391" s="309"/>
      <c r="D391" s="309"/>
      <c r="E391" s="489"/>
      <c r="F391" s="309"/>
      <c r="G391" s="407"/>
      <c r="H391" s="490"/>
      <c r="I391" s="491"/>
      <c r="J391" s="492"/>
      <c r="K391" s="493"/>
      <c r="L391" s="494"/>
      <c r="M391" s="309"/>
      <c r="N391" s="309"/>
      <c r="O391" s="309"/>
      <c r="P391" s="309"/>
      <c r="Q391" s="309"/>
      <c r="R391" s="309"/>
      <c r="S391" s="309"/>
      <c r="T391" s="309"/>
      <c r="U391" s="309"/>
      <c r="V391" s="309"/>
      <c r="W391" s="309"/>
      <c r="X391" s="309"/>
    </row>
    <row r="392" hidden="1">
      <c r="A392" s="348"/>
      <c r="B392" s="488"/>
      <c r="C392" s="309"/>
      <c r="D392" s="309"/>
      <c r="E392" s="489"/>
      <c r="F392" s="309"/>
      <c r="G392" s="407"/>
      <c r="H392" s="490"/>
      <c r="I392" s="491"/>
      <c r="J392" s="492"/>
      <c r="K392" s="493"/>
      <c r="L392" s="494"/>
      <c r="M392" s="309"/>
      <c r="N392" s="309"/>
      <c r="O392" s="309"/>
      <c r="P392" s="309"/>
      <c r="Q392" s="309"/>
      <c r="R392" s="309"/>
      <c r="S392" s="309"/>
      <c r="T392" s="309"/>
      <c r="U392" s="309"/>
      <c r="V392" s="309"/>
      <c r="W392" s="309"/>
      <c r="X392" s="309"/>
    </row>
    <row r="393" hidden="1">
      <c r="A393" s="348"/>
      <c r="B393" s="488"/>
      <c r="C393" s="309"/>
      <c r="D393" s="309"/>
      <c r="E393" s="489"/>
      <c r="F393" s="309"/>
      <c r="G393" s="407"/>
      <c r="H393" s="490"/>
      <c r="I393" s="491"/>
      <c r="J393" s="492"/>
      <c r="K393" s="493"/>
      <c r="L393" s="494"/>
      <c r="M393" s="309"/>
      <c r="N393" s="309"/>
      <c r="O393" s="309"/>
      <c r="P393" s="309"/>
      <c r="Q393" s="309"/>
      <c r="R393" s="309"/>
      <c r="S393" s="309"/>
      <c r="T393" s="309"/>
      <c r="U393" s="309"/>
      <c r="V393" s="309"/>
      <c r="W393" s="309"/>
      <c r="X393" s="309"/>
    </row>
    <row r="394" hidden="1">
      <c r="A394" s="348"/>
      <c r="B394" s="488"/>
      <c r="C394" s="309"/>
      <c r="D394" s="309"/>
      <c r="E394" s="489"/>
      <c r="F394" s="309"/>
      <c r="G394" s="407"/>
      <c r="H394" s="490"/>
      <c r="I394" s="491"/>
      <c r="J394" s="492"/>
      <c r="K394" s="493"/>
      <c r="L394" s="494"/>
      <c r="M394" s="309"/>
      <c r="N394" s="309"/>
      <c r="O394" s="309"/>
      <c r="P394" s="309"/>
      <c r="Q394" s="309"/>
      <c r="R394" s="309"/>
      <c r="S394" s="309"/>
      <c r="T394" s="309"/>
      <c r="U394" s="309"/>
      <c r="V394" s="309"/>
      <c r="W394" s="309"/>
      <c r="X394" s="309"/>
    </row>
    <row r="395" hidden="1">
      <c r="A395" s="348"/>
      <c r="B395" s="488"/>
      <c r="C395" s="309"/>
      <c r="D395" s="309"/>
      <c r="E395" s="489"/>
      <c r="F395" s="309"/>
      <c r="G395" s="407"/>
      <c r="H395" s="490"/>
      <c r="I395" s="491"/>
      <c r="J395" s="492"/>
      <c r="K395" s="493"/>
      <c r="L395" s="494"/>
      <c r="M395" s="309"/>
      <c r="N395" s="309"/>
      <c r="O395" s="309"/>
      <c r="P395" s="309"/>
      <c r="Q395" s="309"/>
      <c r="R395" s="309"/>
      <c r="S395" s="309"/>
      <c r="T395" s="309"/>
      <c r="U395" s="309"/>
      <c r="V395" s="309"/>
      <c r="W395" s="309"/>
      <c r="X395" s="309"/>
    </row>
    <row r="396" hidden="1">
      <c r="A396" s="348"/>
      <c r="B396" s="488"/>
      <c r="C396" s="309"/>
      <c r="D396" s="309"/>
      <c r="E396" s="489"/>
      <c r="F396" s="309"/>
      <c r="G396" s="407"/>
      <c r="H396" s="490"/>
      <c r="I396" s="491"/>
      <c r="J396" s="492"/>
      <c r="K396" s="493"/>
      <c r="L396" s="494"/>
      <c r="M396" s="309"/>
      <c r="N396" s="309"/>
      <c r="O396" s="309"/>
      <c r="P396" s="309"/>
      <c r="Q396" s="309"/>
      <c r="R396" s="309"/>
      <c r="S396" s="309"/>
      <c r="T396" s="309"/>
      <c r="U396" s="309"/>
      <c r="V396" s="309"/>
      <c r="W396" s="309"/>
      <c r="X396" s="309"/>
    </row>
    <row r="397" hidden="1">
      <c r="A397" s="348"/>
      <c r="B397" s="488"/>
      <c r="C397" s="309"/>
      <c r="D397" s="309"/>
      <c r="E397" s="489"/>
      <c r="F397" s="309"/>
      <c r="G397" s="407"/>
      <c r="H397" s="490"/>
      <c r="I397" s="491"/>
      <c r="J397" s="492"/>
      <c r="K397" s="493"/>
      <c r="L397" s="494"/>
      <c r="M397" s="309"/>
      <c r="N397" s="309"/>
      <c r="O397" s="309"/>
      <c r="P397" s="309"/>
      <c r="Q397" s="309"/>
      <c r="R397" s="309"/>
      <c r="S397" s="309"/>
      <c r="T397" s="309"/>
      <c r="U397" s="309"/>
      <c r="V397" s="309"/>
      <c r="W397" s="309"/>
      <c r="X397" s="309"/>
    </row>
    <row r="398" hidden="1">
      <c r="A398" s="348"/>
      <c r="B398" s="488"/>
      <c r="C398" s="309"/>
      <c r="D398" s="309"/>
      <c r="E398" s="489"/>
      <c r="F398" s="309"/>
      <c r="G398" s="407"/>
      <c r="H398" s="490"/>
      <c r="I398" s="491"/>
      <c r="J398" s="492"/>
      <c r="K398" s="493"/>
      <c r="L398" s="494"/>
      <c r="M398" s="309"/>
      <c r="N398" s="309"/>
      <c r="O398" s="309"/>
      <c r="P398" s="309"/>
      <c r="Q398" s="309"/>
      <c r="R398" s="309"/>
      <c r="S398" s="309"/>
      <c r="T398" s="309"/>
      <c r="U398" s="309"/>
      <c r="V398" s="309"/>
      <c r="W398" s="309"/>
      <c r="X398" s="309"/>
    </row>
    <row r="399" hidden="1">
      <c r="A399" s="348"/>
      <c r="B399" s="488"/>
      <c r="C399" s="309"/>
      <c r="D399" s="309"/>
      <c r="E399" s="489"/>
      <c r="F399" s="309"/>
      <c r="G399" s="407"/>
      <c r="H399" s="490"/>
      <c r="I399" s="491"/>
      <c r="J399" s="492"/>
      <c r="K399" s="493"/>
      <c r="L399" s="494"/>
      <c r="M399" s="309"/>
      <c r="N399" s="309"/>
      <c r="O399" s="309"/>
      <c r="P399" s="309"/>
      <c r="Q399" s="309"/>
      <c r="R399" s="309"/>
      <c r="S399" s="309"/>
      <c r="T399" s="309"/>
      <c r="U399" s="309"/>
      <c r="V399" s="309"/>
      <c r="W399" s="309"/>
      <c r="X399" s="309"/>
    </row>
    <row r="400" hidden="1">
      <c r="A400" s="348"/>
      <c r="B400" s="488"/>
      <c r="C400" s="309"/>
      <c r="D400" s="309"/>
      <c r="E400" s="489"/>
      <c r="F400" s="309"/>
      <c r="G400" s="407"/>
      <c r="H400" s="490"/>
      <c r="I400" s="491"/>
      <c r="J400" s="492"/>
      <c r="K400" s="493"/>
      <c r="L400" s="494"/>
      <c r="M400" s="309"/>
      <c r="N400" s="309"/>
      <c r="O400" s="309"/>
      <c r="P400" s="309"/>
      <c r="Q400" s="309"/>
      <c r="R400" s="309"/>
      <c r="S400" s="309"/>
      <c r="T400" s="309"/>
      <c r="U400" s="309"/>
      <c r="V400" s="309"/>
      <c r="W400" s="309"/>
      <c r="X400" s="309"/>
    </row>
    <row r="401" hidden="1">
      <c r="A401" s="348"/>
      <c r="B401" s="488"/>
      <c r="C401" s="309"/>
      <c r="D401" s="309"/>
      <c r="E401" s="489"/>
      <c r="F401" s="309"/>
      <c r="G401" s="407"/>
      <c r="H401" s="490"/>
      <c r="I401" s="491"/>
      <c r="J401" s="492"/>
      <c r="K401" s="493"/>
      <c r="L401" s="494"/>
      <c r="M401" s="309"/>
      <c r="N401" s="309"/>
      <c r="O401" s="309"/>
      <c r="P401" s="309"/>
      <c r="Q401" s="309"/>
      <c r="R401" s="309"/>
      <c r="S401" s="309"/>
      <c r="T401" s="309"/>
      <c r="U401" s="309"/>
      <c r="V401" s="309"/>
      <c r="W401" s="309"/>
      <c r="X401" s="309"/>
    </row>
    <row r="402" hidden="1">
      <c r="A402" s="348"/>
      <c r="B402" s="488"/>
      <c r="C402" s="309"/>
      <c r="D402" s="309"/>
      <c r="E402" s="489"/>
      <c r="F402" s="309"/>
      <c r="G402" s="407"/>
      <c r="H402" s="490"/>
      <c r="I402" s="491"/>
      <c r="J402" s="492"/>
      <c r="K402" s="493"/>
      <c r="L402" s="494"/>
      <c r="M402" s="309"/>
      <c r="N402" s="309"/>
      <c r="O402" s="309"/>
      <c r="P402" s="309"/>
      <c r="Q402" s="309"/>
      <c r="R402" s="309"/>
      <c r="S402" s="309"/>
      <c r="T402" s="309"/>
      <c r="U402" s="309"/>
      <c r="V402" s="309"/>
      <c r="W402" s="309"/>
      <c r="X402" s="309"/>
    </row>
    <row r="403" hidden="1">
      <c r="A403" s="348"/>
      <c r="B403" s="488"/>
      <c r="C403" s="309"/>
      <c r="D403" s="309"/>
      <c r="E403" s="489"/>
      <c r="F403" s="309"/>
      <c r="G403" s="407"/>
      <c r="H403" s="490"/>
      <c r="I403" s="491"/>
      <c r="J403" s="492"/>
      <c r="K403" s="493"/>
      <c r="L403" s="494"/>
      <c r="M403" s="309"/>
      <c r="N403" s="309"/>
      <c r="O403" s="309"/>
      <c r="P403" s="309"/>
      <c r="Q403" s="309"/>
      <c r="R403" s="309"/>
      <c r="S403" s="309"/>
      <c r="T403" s="309"/>
      <c r="U403" s="309"/>
      <c r="V403" s="309"/>
      <c r="W403" s="309"/>
      <c r="X403" s="309"/>
    </row>
    <row r="404" hidden="1">
      <c r="A404" s="348"/>
      <c r="B404" s="488"/>
      <c r="C404" s="309"/>
      <c r="D404" s="309"/>
      <c r="E404" s="489"/>
      <c r="F404" s="309"/>
      <c r="G404" s="407"/>
      <c r="H404" s="490"/>
      <c r="I404" s="491"/>
      <c r="J404" s="492"/>
      <c r="K404" s="493"/>
      <c r="L404" s="494"/>
      <c r="M404" s="309"/>
      <c r="N404" s="309"/>
      <c r="O404" s="309"/>
      <c r="P404" s="309"/>
      <c r="Q404" s="309"/>
      <c r="R404" s="309"/>
      <c r="S404" s="309"/>
      <c r="T404" s="309"/>
      <c r="U404" s="309"/>
      <c r="V404" s="309"/>
      <c r="W404" s="309"/>
      <c r="X404" s="309"/>
    </row>
    <row r="405" hidden="1">
      <c r="A405" s="348"/>
      <c r="B405" s="488"/>
      <c r="C405" s="309"/>
      <c r="D405" s="309"/>
      <c r="E405" s="489"/>
      <c r="F405" s="309"/>
      <c r="G405" s="407"/>
      <c r="H405" s="490"/>
      <c r="I405" s="491"/>
      <c r="J405" s="492"/>
      <c r="K405" s="493"/>
      <c r="L405" s="494"/>
      <c r="M405" s="309"/>
      <c r="N405" s="309"/>
      <c r="O405" s="309"/>
      <c r="P405" s="309"/>
      <c r="Q405" s="309"/>
      <c r="R405" s="309"/>
      <c r="S405" s="309"/>
      <c r="T405" s="309"/>
      <c r="U405" s="309"/>
      <c r="V405" s="309"/>
      <c r="W405" s="309"/>
      <c r="X405" s="309"/>
    </row>
    <row r="406" hidden="1">
      <c r="A406" s="348"/>
      <c r="B406" s="488"/>
      <c r="C406" s="309"/>
      <c r="D406" s="309"/>
      <c r="E406" s="489"/>
      <c r="F406" s="309"/>
      <c r="G406" s="407"/>
      <c r="H406" s="490"/>
      <c r="I406" s="491"/>
      <c r="J406" s="492"/>
      <c r="K406" s="493"/>
      <c r="L406" s="494"/>
      <c r="M406" s="309"/>
      <c r="N406" s="309"/>
      <c r="O406" s="309"/>
      <c r="P406" s="309"/>
      <c r="Q406" s="309"/>
      <c r="R406" s="309"/>
      <c r="S406" s="309"/>
      <c r="T406" s="309"/>
      <c r="U406" s="309"/>
      <c r="V406" s="309"/>
      <c r="W406" s="309"/>
      <c r="X406" s="309"/>
    </row>
    <row r="407" hidden="1">
      <c r="A407" s="348"/>
      <c r="B407" s="488"/>
      <c r="C407" s="309"/>
      <c r="D407" s="309"/>
      <c r="E407" s="489"/>
      <c r="F407" s="309"/>
      <c r="G407" s="407"/>
      <c r="H407" s="490"/>
      <c r="I407" s="491"/>
      <c r="J407" s="492"/>
      <c r="K407" s="493"/>
      <c r="L407" s="494"/>
      <c r="M407" s="309"/>
      <c r="N407" s="309"/>
      <c r="O407" s="309"/>
      <c r="P407" s="309"/>
      <c r="Q407" s="309"/>
      <c r="R407" s="309"/>
      <c r="S407" s="309"/>
      <c r="T407" s="309"/>
      <c r="U407" s="309"/>
      <c r="V407" s="309"/>
      <c r="W407" s="309"/>
      <c r="X407" s="309"/>
    </row>
    <row r="408" hidden="1">
      <c r="A408" s="348"/>
      <c r="B408" s="488"/>
      <c r="C408" s="309"/>
      <c r="D408" s="309"/>
      <c r="E408" s="489"/>
      <c r="F408" s="309"/>
      <c r="G408" s="407"/>
      <c r="H408" s="490"/>
      <c r="I408" s="491"/>
      <c r="J408" s="492"/>
      <c r="K408" s="493"/>
      <c r="L408" s="494"/>
      <c r="M408" s="309"/>
      <c r="N408" s="309"/>
      <c r="O408" s="309"/>
      <c r="P408" s="309"/>
      <c r="Q408" s="309"/>
      <c r="R408" s="309"/>
      <c r="S408" s="309"/>
      <c r="T408" s="309"/>
      <c r="U408" s="309"/>
      <c r="V408" s="309"/>
      <c r="W408" s="309"/>
      <c r="X408" s="309"/>
    </row>
    <row r="409" hidden="1">
      <c r="A409" s="348"/>
      <c r="B409" s="488"/>
      <c r="C409" s="309"/>
      <c r="D409" s="309"/>
      <c r="E409" s="489"/>
      <c r="F409" s="309"/>
      <c r="G409" s="407"/>
      <c r="H409" s="490"/>
      <c r="I409" s="491"/>
      <c r="J409" s="492"/>
      <c r="K409" s="493"/>
      <c r="L409" s="494"/>
      <c r="M409" s="309"/>
      <c r="N409" s="309"/>
      <c r="O409" s="309"/>
      <c r="P409" s="309"/>
      <c r="Q409" s="309"/>
      <c r="R409" s="309"/>
      <c r="S409" s="309"/>
      <c r="T409" s="309"/>
      <c r="U409" s="309"/>
      <c r="V409" s="309"/>
      <c r="W409" s="309"/>
      <c r="X409" s="309"/>
    </row>
    <row r="410" hidden="1">
      <c r="A410" s="348"/>
      <c r="B410" s="488"/>
      <c r="C410" s="309"/>
      <c r="D410" s="309"/>
      <c r="E410" s="489"/>
      <c r="F410" s="309"/>
      <c r="G410" s="407"/>
      <c r="H410" s="490"/>
      <c r="I410" s="491"/>
      <c r="J410" s="492"/>
      <c r="K410" s="493"/>
      <c r="L410" s="494"/>
      <c r="M410" s="309"/>
      <c r="N410" s="309"/>
      <c r="O410" s="309"/>
      <c r="P410" s="309"/>
      <c r="Q410" s="309"/>
      <c r="R410" s="309"/>
      <c r="S410" s="309"/>
      <c r="T410" s="309"/>
      <c r="U410" s="309"/>
      <c r="V410" s="309"/>
      <c r="W410" s="309"/>
      <c r="X410" s="309"/>
    </row>
    <row r="411" hidden="1">
      <c r="A411" s="348"/>
      <c r="B411" s="488"/>
      <c r="C411" s="309"/>
      <c r="D411" s="309"/>
      <c r="E411" s="489"/>
      <c r="F411" s="309"/>
      <c r="G411" s="407"/>
      <c r="H411" s="490"/>
      <c r="I411" s="491"/>
      <c r="J411" s="492"/>
      <c r="K411" s="493"/>
      <c r="L411" s="494"/>
      <c r="M411" s="309"/>
      <c r="N411" s="309"/>
      <c r="O411" s="309"/>
      <c r="P411" s="309"/>
      <c r="Q411" s="309"/>
      <c r="R411" s="309"/>
      <c r="S411" s="309"/>
      <c r="T411" s="309"/>
      <c r="U411" s="309"/>
      <c r="V411" s="309"/>
      <c r="W411" s="309"/>
      <c r="X411" s="309"/>
    </row>
    <row r="412" hidden="1">
      <c r="A412" s="348"/>
      <c r="B412" s="488"/>
      <c r="C412" s="309"/>
      <c r="D412" s="309"/>
      <c r="E412" s="489"/>
      <c r="F412" s="309"/>
      <c r="G412" s="407"/>
      <c r="H412" s="490"/>
      <c r="I412" s="491"/>
      <c r="J412" s="492"/>
      <c r="K412" s="493"/>
      <c r="L412" s="494"/>
      <c r="M412" s="309"/>
      <c r="N412" s="309"/>
      <c r="O412" s="309"/>
      <c r="P412" s="309"/>
      <c r="Q412" s="309"/>
      <c r="R412" s="309"/>
      <c r="S412" s="309"/>
      <c r="T412" s="309"/>
      <c r="U412" s="309"/>
      <c r="V412" s="309"/>
      <c r="W412" s="309"/>
      <c r="X412" s="309"/>
    </row>
    <row r="413" hidden="1">
      <c r="A413" s="348"/>
      <c r="B413" s="488"/>
      <c r="C413" s="309"/>
      <c r="D413" s="309"/>
      <c r="E413" s="489"/>
      <c r="F413" s="309"/>
      <c r="G413" s="407"/>
      <c r="H413" s="490"/>
      <c r="I413" s="491"/>
      <c r="J413" s="492"/>
      <c r="K413" s="493"/>
      <c r="L413" s="494"/>
      <c r="M413" s="309"/>
      <c r="N413" s="309"/>
      <c r="O413" s="309"/>
      <c r="P413" s="309"/>
      <c r="Q413" s="309"/>
      <c r="R413" s="309"/>
      <c r="S413" s="309"/>
      <c r="T413" s="309"/>
      <c r="U413" s="309"/>
      <c r="V413" s="309"/>
      <c r="W413" s="309"/>
      <c r="X413" s="309"/>
    </row>
    <row r="414" hidden="1">
      <c r="A414" s="348"/>
      <c r="B414" s="488"/>
      <c r="C414" s="309"/>
      <c r="D414" s="309"/>
      <c r="E414" s="489"/>
      <c r="F414" s="309"/>
      <c r="G414" s="407"/>
      <c r="H414" s="490"/>
      <c r="I414" s="491"/>
      <c r="J414" s="492"/>
      <c r="K414" s="493"/>
      <c r="L414" s="494"/>
      <c r="M414" s="309"/>
      <c r="N414" s="309"/>
      <c r="O414" s="309"/>
      <c r="P414" s="309"/>
      <c r="Q414" s="309"/>
      <c r="R414" s="309"/>
      <c r="S414" s="309"/>
      <c r="T414" s="309"/>
      <c r="U414" s="309"/>
      <c r="V414" s="309"/>
      <c r="W414" s="309"/>
      <c r="X414" s="309"/>
    </row>
    <row r="415" hidden="1">
      <c r="A415" s="348"/>
      <c r="B415" s="488"/>
      <c r="C415" s="309"/>
      <c r="D415" s="309"/>
      <c r="E415" s="489"/>
      <c r="F415" s="309"/>
      <c r="G415" s="407"/>
      <c r="H415" s="490"/>
      <c r="I415" s="491"/>
      <c r="J415" s="492"/>
      <c r="K415" s="493"/>
      <c r="L415" s="494"/>
      <c r="M415" s="309"/>
      <c r="N415" s="309"/>
      <c r="O415" s="309"/>
      <c r="P415" s="309"/>
      <c r="Q415" s="309"/>
      <c r="R415" s="309"/>
      <c r="S415" s="309"/>
      <c r="T415" s="309"/>
      <c r="U415" s="309"/>
      <c r="V415" s="309"/>
      <c r="W415" s="309"/>
      <c r="X415" s="309"/>
    </row>
    <row r="416" hidden="1">
      <c r="A416" s="348"/>
      <c r="B416" s="488"/>
      <c r="C416" s="309"/>
      <c r="D416" s="309"/>
      <c r="E416" s="489"/>
      <c r="F416" s="309"/>
      <c r="G416" s="407"/>
      <c r="H416" s="490"/>
      <c r="I416" s="491"/>
      <c r="J416" s="492"/>
      <c r="K416" s="493"/>
      <c r="L416" s="494"/>
      <c r="M416" s="309"/>
      <c r="N416" s="309"/>
      <c r="O416" s="309"/>
      <c r="P416" s="309"/>
      <c r="Q416" s="309"/>
      <c r="R416" s="309"/>
      <c r="S416" s="309"/>
      <c r="T416" s="309"/>
      <c r="U416" s="309"/>
      <c r="V416" s="309"/>
      <c r="W416" s="309"/>
      <c r="X416" s="309"/>
    </row>
    <row r="417" hidden="1">
      <c r="A417" s="348"/>
      <c r="B417" s="488"/>
      <c r="C417" s="309"/>
      <c r="D417" s="309"/>
      <c r="E417" s="489"/>
      <c r="F417" s="309"/>
      <c r="G417" s="407"/>
      <c r="H417" s="490"/>
      <c r="I417" s="491"/>
      <c r="J417" s="492"/>
      <c r="K417" s="493"/>
      <c r="L417" s="494"/>
      <c r="M417" s="309"/>
      <c r="N417" s="309"/>
      <c r="O417" s="309"/>
      <c r="P417" s="309"/>
      <c r="Q417" s="309"/>
      <c r="R417" s="309"/>
      <c r="S417" s="309"/>
      <c r="T417" s="309"/>
      <c r="U417" s="309"/>
      <c r="V417" s="309"/>
      <c r="W417" s="309"/>
      <c r="X417" s="309"/>
    </row>
    <row r="418" hidden="1">
      <c r="A418" s="348"/>
      <c r="B418" s="488"/>
      <c r="C418" s="309"/>
      <c r="D418" s="309"/>
      <c r="E418" s="489"/>
      <c r="F418" s="309"/>
      <c r="G418" s="407"/>
      <c r="H418" s="490"/>
      <c r="I418" s="491"/>
      <c r="J418" s="492"/>
      <c r="K418" s="493"/>
      <c r="L418" s="494"/>
      <c r="M418" s="309"/>
      <c r="N418" s="309"/>
      <c r="O418" s="309"/>
      <c r="P418" s="309"/>
      <c r="Q418" s="309"/>
      <c r="R418" s="309"/>
      <c r="S418" s="309"/>
      <c r="T418" s="309"/>
      <c r="U418" s="309"/>
      <c r="V418" s="309"/>
      <c r="W418" s="309"/>
      <c r="X418" s="309"/>
    </row>
    <row r="419" hidden="1">
      <c r="A419" s="348"/>
      <c r="B419" s="488"/>
      <c r="C419" s="309"/>
      <c r="D419" s="309"/>
      <c r="E419" s="489"/>
      <c r="F419" s="309"/>
      <c r="G419" s="407"/>
      <c r="H419" s="490"/>
      <c r="I419" s="491"/>
      <c r="J419" s="492"/>
      <c r="K419" s="493"/>
      <c r="L419" s="494"/>
      <c r="M419" s="309"/>
      <c r="N419" s="309"/>
      <c r="O419" s="309"/>
      <c r="P419" s="309"/>
      <c r="Q419" s="309"/>
      <c r="R419" s="309"/>
      <c r="S419" s="309"/>
      <c r="T419" s="309"/>
      <c r="U419" s="309"/>
      <c r="V419" s="309"/>
      <c r="W419" s="309"/>
      <c r="X419" s="309"/>
    </row>
    <row r="420" hidden="1">
      <c r="A420" s="348"/>
      <c r="B420" s="488"/>
      <c r="C420" s="309"/>
      <c r="D420" s="309"/>
      <c r="E420" s="489"/>
      <c r="F420" s="309"/>
      <c r="G420" s="407"/>
      <c r="H420" s="490"/>
      <c r="I420" s="491"/>
      <c r="J420" s="492"/>
      <c r="K420" s="493"/>
      <c r="L420" s="494"/>
      <c r="M420" s="309"/>
      <c r="N420" s="309"/>
      <c r="O420" s="309"/>
      <c r="P420" s="309"/>
      <c r="Q420" s="309"/>
      <c r="R420" s="309"/>
      <c r="S420" s="309"/>
      <c r="T420" s="309"/>
      <c r="U420" s="309"/>
      <c r="V420" s="309"/>
      <c r="W420" s="309"/>
      <c r="X420" s="309"/>
    </row>
    <row r="421" hidden="1">
      <c r="A421" s="348"/>
      <c r="B421" s="488"/>
      <c r="C421" s="309"/>
      <c r="D421" s="309"/>
      <c r="E421" s="489"/>
      <c r="F421" s="309"/>
      <c r="G421" s="407"/>
      <c r="H421" s="490"/>
      <c r="I421" s="491"/>
      <c r="J421" s="492"/>
      <c r="K421" s="493"/>
      <c r="L421" s="494"/>
      <c r="M421" s="309"/>
      <c r="N421" s="309"/>
      <c r="O421" s="309"/>
      <c r="P421" s="309"/>
      <c r="Q421" s="309"/>
      <c r="R421" s="309"/>
      <c r="S421" s="309"/>
      <c r="T421" s="309"/>
      <c r="U421" s="309"/>
      <c r="V421" s="309"/>
      <c r="W421" s="309"/>
      <c r="X421" s="309"/>
    </row>
    <row r="422" hidden="1">
      <c r="A422" s="348"/>
      <c r="B422" s="488"/>
      <c r="C422" s="309"/>
      <c r="D422" s="309"/>
      <c r="E422" s="489"/>
      <c r="F422" s="309"/>
      <c r="G422" s="407"/>
      <c r="H422" s="490"/>
      <c r="I422" s="491"/>
      <c r="J422" s="492"/>
      <c r="K422" s="493"/>
      <c r="L422" s="494"/>
      <c r="M422" s="309"/>
      <c r="N422" s="309"/>
      <c r="O422" s="309"/>
      <c r="P422" s="309"/>
      <c r="Q422" s="309"/>
      <c r="R422" s="309"/>
      <c r="S422" s="309"/>
      <c r="T422" s="309"/>
      <c r="U422" s="309"/>
      <c r="V422" s="309"/>
      <c r="W422" s="309"/>
      <c r="X422" s="309"/>
    </row>
    <row r="423" hidden="1">
      <c r="A423" s="348"/>
      <c r="B423" s="488"/>
      <c r="C423" s="309"/>
      <c r="D423" s="309"/>
      <c r="E423" s="489"/>
      <c r="F423" s="309"/>
      <c r="G423" s="407"/>
      <c r="H423" s="490"/>
      <c r="I423" s="491"/>
      <c r="J423" s="492"/>
      <c r="K423" s="493"/>
      <c r="L423" s="494"/>
      <c r="M423" s="309"/>
      <c r="N423" s="309"/>
      <c r="O423" s="309"/>
      <c r="P423" s="309"/>
      <c r="Q423" s="309"/>
      <c r="R423" s="309"/>
      <c r="S423" s="309"/>
      <c r="T423" s="309"/>
      <c r="U423" s="309"/>
      <c r="V423" s="309"/>
      <c r="W423" s="309"/>
      <c r="X423" s="309"/>
    </row>
    <row r="424" hidden="1">
      <c r="A424" s="348"/>
      <c r="B424" s="488"/>
      <c r="C424" s="309"/>
      <c r="D424" s="309"/>
      <c r="E424" s="489"/>
      <c r="F424" s="309"/>
      <c r="G424" s="407"/>
      <c r="H424" s="490"/>
      <c r="I424" s="491"/>
      <c r="J424" s="492"/>
      <c r="K424" s="493"/>
      <c r="L424" s="494"/>
      <c r="M424" s="309"/>
      <c r="N424" s="309"/>
      <c r="O424" s="309"/>
      <c r="P424" s="309"/>
      <c r="Q424" s="309"/>
      <c r="R424" s="309"/>
      <c r="S424" s="309"/>
      <c r="T424" s="309"/>
      <c r="U424" s="309"/>
      <c r="V424" s="309"/>
      <c r="W424" s="309"/>
      <c r="X424" s="309"/>
    </row>
    <row r="425" hidden="1">
      <c r="A425" s="348"/>
      <c r="B425" s="488"/>
      <c r="C425" s="309"/>
      <c r="D425" s="309"/>
      <c r="E425" s="489"/>
      <c r="F425" s="309"/>
      <c r="G425" s="407"/>
      <c r="H425" s="490"/>
      <c r="I425" s="491"/>
      <c r="J425" s="492"/>
      <c r="K425" s="493"/>
      <c r="L425" s="494"/>
      <c r="M425" s="309"/>
      <c r="N425" s="309"/>
      <c r="O425" s="309"/>
      <c r="P425" s="309"/>
      <c r="Q425" s="309"/>
      <c r="R425" s="309"/>
      <c r="S425" s="309"/>
      <c r="T425" s="309"/>
      <c r="U425" s="309"/>
      <c r="V425" s="309"/>
      <c r="W425" s="309"/>
      <c r="X425" s="309"/>
    </row>
    <row r="426" hidden="1">
      <c r="A426" s="348"/>
      <c r="B426" s="488"/>
      <c r="C426" s="309"/>
      <c r="D426" s="309"/>
      <c r="E426" s="489"/>
      <c r="F426" s="309"/>
      <c r="G426" s="407"/>
      <c r="H426" s="490"/>
      <c r="I426" s="491"/>
      <c r="J426" s="492"/>
      <c r="K426" s="493"/>
      <c r="L426" s="494"/>
      <c r="M426" s="309"/>
      <c r="N426" s="309"/>
      <c r="O426" s="309"/>
      <c r="P426" s="309"/>
      <c r="Q426" s="309"/>
      <c r="R426" s="309"/>
      <c r="S426" s="309"/>
      <c r="T426" s="309"/>
      <c r="U426" s="309"/>
      <c r="V426" s="309"/>
      <c r="W426" s="309"/>
      <c r="X426" s="309"/>
    </row>
    <row r="427" hidden="1">
      <c r="A427" s="348"/>
      <c r="B427" s="488"/>
      <c r="C427" s="309"/>
      <c r="D427" s="309"/>
      <c r="E427" s="489"/>
      <c r="F427" s="309"/>
      <c r="G427" s="407"/>
      <c r="H427" s="490"/>
      <c r="I427" s="491"/>
      <c r="J427" s="492"/>
      <c r="K427" s="493"/>
      <c r="L427" s="494"/>
      <c r="M427" s="309"/>
      <c r="N427" s="309"/>
      <c r="O427" s="309"/>
      <c r="P427" s="309"/>
      <c r="Q427" s="309"/>
      <c r="R427" s="309"/>
      <c r="S427" s="309"/>
      <c r="T427" s="309"/>
      <c r="U427" s="309"/>
      <c r="V427" s="309"/>
      <c r="W427" s="309"/>
      <c r="X427" s="309"/>
    </row>
    <row r="428" hidden="1">
      <c r="A428" s="348"/>
      <c r="B428" s="488"/>
      <c r="C428" s="309"/>
      <c r="D428" s="309"/>
      <c r="E428" s="489"/>
      <c r="F428" s="309"/>
      <c r="G428" s="407"/>
      <c r="H428" s="490"/>
      <c r="I428" s="491"/>
      <c r="J428" s="492"/>
      <c r="K428" s="493"/>
      <c r="L428" s="494"/>
      <c r="M428" s="309"/>
      <c r="N428" s="309"/>
      <c r="O428" s="309"/>
      <c r="P428" s="309"/>
      <c r="Q428" s="309"/>
      <c r="R428" s="309"/>
      <c r="S428" s="309"/>
      <c r="T428" s="309"/>
      <c r="U428" s="309"/>
      <c r="V428" s="309"/>
      <c r="W428" s="309"/>
      <c r="X428" s="309"/>
    </row>
    <row r="429" hidden="1">
      <c r="A429" s="348"/>
      <c r="B429" s="488"/>
      <c r="C429" s="309"/>
      <c r="D429" s="309"/>
      <c r="E429" s="489"/>
      <c r="F429" s="309"/>
      <c r="G429" s="407"/>
      <c r="H429" s="490"/>
      <c r="I429" s="491"/>
      <c r="J429" s="492"/>
      <c r="K429" s="493"/>
      <c r="L429" s="494"/>
      <c r="M429" s="309"/>
      <c r="N429" s="309"/>
      <c r="O429" s="309"/>
      <c r="P429" s="309"/>
      <c r="Q429" s="309"/>
      <c r="R429" s="309"/>
      <c r="S429" s="309"/>
      <c r="T429" s="309"/>
      <c r="U429" s="309"/>
      <c r="V429" s="309"/>
      <c r="W429" s="309"/>
      <c r="X429" s="309"/>
    </row>
    <row r="430" hidden="1">
      <c r="A430" s="348"/>
      <c r="B430" s="488"/>
      <c r="C430" s="309"/>
      <c r="D430" s="309"/>
      <c r="E430" s="489"/>
      <c r="F430" s="309"/>
      <c r="G430" s="407"/>
      <c r="H430" s="490"/>
      <c r="I430" s="491"/>
      <c r="J430" s="492"/>
      <c r="K430" s="493"/>
      <c r="L430" s="494"/>
      <c r="M430" s="309"/>
      <c r="N430" s="309"/>
      <c r="O430" s="309"/>
      <c r="P430" s="309"/>
      <c r="Q430" s="309"/>
      <c r="R430" s="309"/>
      <c r="S430" s="309"/>
      <c r="T430" s="309"/>
      <c r="U430" s="309"/>
      <c r="V430" s="309"/>
      <c r="W430" s="309"/>
      <c r="X430" s="309"/>
    </row>
    <row r="431" hidden="1">
      <c r="A431" s="348"/>
      <c r="B431" s="488"/>
      <c r="C431" s="309"/>
      <c r="D431" s="309"/>
      <c r="E431" s="489"/>
      <c r="F431" s="309"/>
      <c r="G431" s="407"/>
      <c r="H431" s="490"/>
      <c r="I431" s="491"/>
      <c r="J431" s="492"/>
      <c r="K431" s="493"/>
      <c r="L431" s="494"/>
      <c r="M431" s="309"/>
      <c r="N431" s="309"/>
      <c r="O431" s="309"/>
      <c r="P431" s="309"/>
      <c r="Q431" s="309"/>
      <c r="R431" s="309"/>
      <c r="S431" s="309"/>
      <c r="T431" s="309"/>
      <c r="U431" s="309"/>
      <c r="V431" s="309"/>
      <c r="W431" s="309"/>
      <c r="X431" s="309"/>
    </row>
    <row r="432" hidden="1">
      <c r="A432" s="348"/>
      <c r="B432" s="488"/>
      <c r="C432" s="309"/>
      <c r="D432" s="309"/>
      <c r="E432" s="489"/>
      <c r="F432" s="309"/>
      <c r="G432" s="407"/>
      <c r="H432" s="490"/>
      <c r="I432" s="491"/>
      <c r="J432" s="492"/>
      <c r="K432" s="493"/>
      <c r="L432" s="494"/>
      <c r="M432" s="309"/>
      <c r="N432" s="309"/>
      <c r="O432" s="309"/>
      <c r="P432" s="309"/>
      <c r="Q432" s="309"/>
      <c r="R432" s="309"/>
      <c r="S432" s="309"/>
      <c r="T432" s="309"/>
      <c r="U432" s="309"/>
      <c r="V432" s="309"/>
      <c r="W432" s="309"/>
      <c r="X432" s="309"/>
    </row>
    <row r="433" hidden="1">
      <c r="A433" s="348"/>
      <c r="B433" s="488"/>
      <c r="C433" s="309"/>
      <c r="D433" s="309"/>
      <c r="E433" s="489"/>
      <c r="F433" s="309"/>
      <c r="G433" s="407"/>
      <c r="H433" s="490"/>
      <c r="I433" s="491"/>
      <c r="J433" s="492"/>
      <c r="K433" s="493"/>
      <c r="L433" s="494"/>
      <c r="M433" s="309"/>
      <c r="N433" s="309"/>
      <c r="O433" s="309"/>
      <c r="P433" s="309"/>
      <c r="Q433" s="309"/>
      <c r="R433" s="309"/>
      <c r="S433" s="309"/>
      <c r="T433" s="309"/>
      <c r="U433" s="309"/>
      <c r="V433" s="309"/>
      <c r="W433" s="309"/>
      <c r="X433" s="309"/>
    </row>
    <row r="434" hidden="1">
      <c r="A434" s="348"/>
      <c r="B434" s="488"/>
      <c r="C434" s="309"/>
      <c r="D434" s="309"/>
      <c r="E434" s="489"/>
      <c r="F434" s="309"/>
      <c r="G434" s="407"/>
      <c r="H434" s="490"/>
      <c r="I434" s="491"/>
      <c r="J434" s="492"/>
      <c r="K434" s="493"/>
      <c r="L434" s="494"/>
      <c r="M434" s="309"/>
      <c r="N434" s="309"/>
      <c r="O434" s="309"/>
      <c r="P434" s="309"/>
      <c r="Q434" s="309"/>
      <c r="R434" s="309"/>
      <c r="S434" s="309"/>
      <c r="T434" s="309"/>
      <c r="U434" s="309"/>
      <c r="V434" s="309"/>
      <c r="W434" s="309"/>
      <c r="X434" s="309"/>
    </row>
    <row r="435" hidden="1">
      <c r="A435" s="348"/>
      <c r="B435" s="488"/>
      <c r="C435" s="309"/>
      <c r="D435" s="309"/>
      <c r="E435" s="489"/>
      <c r="F435" s="309"/>
      <c r="G435" s="407"/>
      <c r="H435" s="490"/>
      <c r="I435" s="491"/>
      <c r="J435" s="492"/>
      <c r="K435" s="493"/>
      <c r="L435" s="494"/>
      <c r="M435" s="309"/>
      <c r="N435" s="309"/>
      <c r="O435" s="309"/>
      <c r="P435" s="309"/>
      <c r="Q435" s="309"/>
      <c r="R435" s="309"/>
      <c r="S435" s="309"/>
      <c r="T435" s="309"/>
      <c r="U435" s="309"/>
      <c r="V435" s="309"/>
      <c r="W435" s="309"/>
      <c r="X435" s="309"/>
    </row>
    <row r="436" hidden="1">
      <c r="A436" s="348"/>
      <c r="B436" s="488"/>
      <c r="C436" s="309"/>
      <c r="D436" s="309"/>
      <c r="E436" s="489"/>
      <c r="F436" s="309"/>
      <c r="G436" s="407"/>
      <c r="H436" s="490"/>
      <c r="I436" s="491"/>
      <c r="J436" s="492"/>
      <c r="K436" s="493"/>
      <c r="L436" s="494"/>
      <c r="M436" s="309"/>
      <c r="N436" s="309"/>
      <c r="O436" s="309"/>
      <c r="P436" s="309"/>
      <c r="Q436" s="309"/>
      <c r="R436" s="309"/>
      <c r="S436" s="309"/>
      <c r="T436" s="309"/>
      <c r="U436" s="309"/>
      <c r="V436" s="309"/>
      <c r="W436" s="309"/>
      <c r="X436" s="309"/>
    </row>
    <row r="437" hidden="1">
      <c r="A437" s="348"/>
      <c r="B437" s="488"/>
      <c r="C437" s="309"/>
      <c r="D437" s="309"/>
      <c r="E437" s="489"/>
      <c r="F437" s="309"/>
      <c r="G437" s="407"/>
      <c r="H437" s="490"/>
      <c r="I437" s="491"/>
      <c r="J437" s="492"/>
      <c r="K437" s="493"/>
      <c r="L437" s="494"/>
      <c r="M437" s="309"/>
      <c r="N437" s="309"/>
      <c r="O437" s="309"/>
      <c r="P437" s="309"/>
      <c r="Q437" s="309"/>
      <c r="R437" s="309"/>
      <c r="S437" s="309"/>
      <c r="T437" s="309"/>
      <c r="U437" s="309"/>
      <c r="V437" s="309"/>
      <c r="W437" s="309"/>
      <c r="X437" s="309"/>
    </row>
    <row r="438" hidden="1">
      <c r="A438" s="348"/>
      <c r="B438" s="488"/>
      <c r="C438" s="309"/>
      <c r="D438" s="309"/>
      <c r="E438" s="489"/>
      <c r="F438" s="309"/>
      <c r="G438" s="407"/>
      <c r="H438" s="490"/>
      <c r="I438" s="491"/>
      <c r="J438" s="492"/>
      <c r="K438" s="493"/>
      <c r="L438" s="494"/>
      <c r="M438" s="309"/>
      <c r="N438" s="309"/>
      <c r="O438" s="309"/>
      <c r="P438" s="309"/>
      <c r="Q438" s="309"/>
      <c r="R438" s="309"/>
      <c r="S438" s="309"/>
      <c r="T438" s="309"/>
      <c r="U438" s="309"/>
      <c r="V438" s="309"/>
      <c r="W438" s="309"/>
      <c r="X438" s="309"/>
    </row>
    <row r="439" hidden="1">
      <c r="A439" s="348"/>
      <c r="B439" s="488"/>
      <c r="C439" s="309"/>
      <c r="D439" s="309"/>
      <c r="E439" s="489"/>
      <c r="F439" s="309"/>
      <c r="G439" s="407"/>
      <c r="H439" s="490"/>
      <c r="I439" s="491"/>
      <c r="J439" s="492"/>
      <c r="K439" s="493"/>
      <c r="L439" s="494"/>
      <c r="M439" s="309"/>
      <c r="N439" s="309"/>
      <c r="O439" s="309"/>
      <c r="P439" s="309"/>
      <c r="Q439" s="309"/>
      <c r="R439" s="309"/>
      <c r="S439" s="309"/>
      <c r="T439" s="309"/>
      <c r="U439" s="309"/>
      <c r="V439" s="309"/>
      <c r="W439" s="309"/>
      <c r="X439" s="309"/>
    </row>
    <row r="440" hidden="1">
      <c r="A440" s="348"/>
      <c r="B440" s="488"/>
      <c r="C440" s="309"/>
      <c r="D440" s="309"/>
      <c r="E440" s="489"/>
      <c r="F440" s="309"/>
      <c r="G440" s="407"/>
      <c r="H440" s="490"/>
      <c r="I440" s="491"/>
      <c r="J440" s="492"/>
      <c r="K440" s="493"/>
      <c r="L440" s="494"/>
      <c r="M440" s="309"/>
      <c r="N440" s="309"/>
      <c r="O440" s="309"/>
      <c r="P440" s="309"/>
      <c r="Q440" s="309"/>
      <c r="R440" s="309"/>
      <c r="S440" s="309"/>
      <c r="T440" s="309"/>
      <c r="U440" s="309"/>
      <c r="V440" s="309"/>
      <c r="W440" s="309"/>
      <c r="X440" s="309"/>
    </row>
    <row r="441" hidden="1">
      <c r="A441" s="348"/>
      <c r="B441" s="488"/>
      <c r="C441" s="309"/>
      <c r="D441" s="309"/>
      <c r="E441" s="489"/>
      <c r="F441" s="309"/>
      <c r="G441" s="407"/>
      <c r="H441" s="490"/>
      <c r="I441" s="491"/>
      <c r="J441" s="492"/>
      <c r="K441" s="493"/>
      <c r="L441" s="494"/>
      <c r="M441" s="309"/>
      <c r="N441" s="309"/>
      <c r="O441" s="309"/>
      <c r="P441" s="309"/>
      <c r="Q441" s="309"/>
      <c r="R441" s="309"/>
      <c r="S441" s="309"/>
      <c r="T441" s="309"/>
      <c r="U441" s="309"/>
      <c r="V441" s="309"/>
      <c r="W441" s="309"/>
      <c r="X441" s="309"/>
    </row>
    <row r="442" hidden="1">
      <c r="A442" s="348"/>
      <c r="B442" s="488"/>
      <c r="C442" s="309"/>
      <c r="D442" s="309"/>
      <c r="E442" s="489"/>
      <c r="F442" s="309"/>
      <c r="G442" s="407"/>
      <c r="H442" s="490"/>
      <c r="I442" s="491"/>
      <c r="J442" s="492"/>
      <c r="K442" s="493"/>
      <c r="L442" s="494"/>
      <c r="M442" s="309"/>
      <c r="N442" s="309"/>
      <c r="O442" s="309"/>
      <c r="P442" s="309"/>
      <c r="Q442" s="309"/>
      <c r="R442" s="309"/>
      <c r="S442" s="309"/>
      <c r="T442" s="309"/>
      <c r="U442" s="309"/>
      <c r="V442" s="309"/>
      <c r="W442" s="309"/>
      <c r="X442" s="309"/>
    </row>
    <row r="443" hidden="1">
      <c r="A443" s="348"/>
      <c r="B443" s="488"/>
      <c r="C443" s="309"/>
      <c r="D443" s="309"/>
      <c r="E443" s="489"/>
      <c r="F443" s="309"/>
      <c r="G443" s="407"/>
      <c r="H443" s="490"/>
      <c r="I443" s="491"/>
      <c r="J443" s="492"/>
      <c r="K443" s="493"/>
      <c r="L443" s="494"/>
      <c r="M443" s="309"/>
      <c r="N443" s="309"/>
      <c r="O443" s="309"/>
      <c r="P443" s="309"/>
      <c r="Q443" s="309"/>
      <c r="R443" s="309"/>
      <c r="S443" s="309"/>
      <c r="T443" s="309"/>
      <c r="U443" s="309"/>
      <c r="V443" s="309"/>
      <c r="W443" s="309"/>
      <c r="X443" s="309"/>
    </row>
    <row r="444" hidden="1">
      <c r="A444" s="348"/>
      <c r="B444" s="488"/>
      <c r="C444" s="309"/>
      <c r="D444" s="309"/>
      <c r="E444" s="489"/>
      <c r="F444" s="309"/>
      <c r="G444" s="407"/>
      <c r="H444" s="490"/>
      <c r="I444" s="491"/>
      <c r="J444" s="492"/>
      <c r="K444" s="493"/>
      <c r="L444" s="494"/>
      <c r="M444" s="309"/>
      <c r="N444" s="309"/>
      <c r="O444" s="309"/>
      <c r="P444" s="309"/>
      <c r="Q444" s="309"/>
      <c r="R444" s="309"/>
      <c r="S444" s="309"/>
      <c r="T444" s="309"/>
      <c r="U444" s="309"/>
      <c r="V444" s="309"/>
      <c r="W444" s="309"/>
      <c r="X444" s="309"/>
    </row>
    <row r="445" hidden="1">
      <c r="A445" s="348"/>
      <c r="B445" s="488"/>
      <c r="C445" s="309"/>
      <c r="D445" s="309"/>
      <c r="E445" s="489"/>
      <c r="F445" s="309"/>
      <c r="G445" s="407"/>
      <c r="H445" s="490"/>
      <c r="I445" s="491"/>
      <c r="J445" s="492"/>
      <c r="K445" s="493"/>
      <c r="L445" s="494"/>
      <c r="M445" s="309"/>
      <c r="N445" s="309"/>
      <c r="O445" s="309"/>
      <c r="P445" s="309"/>
      <c r="Q445" s="309"/>
      <c r="R445" s="309"/>
      <c r="S445" s="309"/>
      <c r="T445" s="309"/>
      <c r="U445" s="309"/>
      <c r="V445" s="309"/>
      <c r="W445" s="309"/>
      <c r="X445" s="309"/>
    </row>
    <row r="446" hidden="1">
      <c r="A446" s="348"/>
      <c r="B446" s="488"/>
      <c r="C446" s="309"/>
      <c r="D446" s="309"/>
      <c r="E446" s="489"/>
      <c r="F446" s="309"/>
      <c r="G446" s="407"/>
      <c r="H446" s="490"/>
      <c r="I446" s="491"/>
      <c r="J446" s="492"/>
      <c r="K446" s="493"/>
      <c r="L446" s="494"/>
      <c r="M446" s="309"/>
      <c r="N446" s="309"/>
      <c r="O446" s="309"/>
      <c r="P446" s="309"/>
      <c r="Q446" s="309"/>
      <c r="R446" s="309"/>
      <c r="S446" s="309"/>
      <c r="T446" s="309"/>
      <c r="U446" s="309"/>
      <c r="V446" s="309"/>
      <c r="W446" s="309"/>
      <c r="X446" s="309"/>
    </row>
    <row r="447" hidden="1">
      <c r="A447" s="348"/>
      <c r="B447" s="488"/>
      <c r="C447" s="309"/>
      <c r="D447" s="309"/>
      <c r="E447" s="489"/>
      <c r="F447" s="309"/>
      <c r="G447" s="407"/>
      <c r="H447" s="490"/>
      <c r="I447" s="491"/>
      <c r="J447" s="492"/>
      <c r="K447" s="493"/>
      <c r="L447" s="494"/>
      <c r="M447" s="309"/>
      <c r="N447" s="309"/>
      <c r="O447" s="309"/>
      <c r="P447" s="309"/>
      <c r="Q447" s="309"/>
      <c r="R447" s="309"/>
      <c r="S447" s="309"/>
      <c r="T447" s="309"/>
      <c r="U447" s="309"/>
      <c r="V447" s="309"/>
      <c r="W447" s="309"/>
      <c r="X447" s="309"/>
    </row>
    <row r="448" hidden="1">
      <c r="A448" s="348"/>
      <c r="B448" s="488"/>
      <c r="C448" s="309"/>
      <c r="D448" s="309"/>
      <c r="E448" s="489"/>
      <c r="F448" s="309"/>
      <c r="G448" s="407"/>
      <c r="H448" s="490"/>
      <c r="I448" s="491"/>
      <c r="J448" s="492"/>
      <c r="K448" s="493"/>
      <c r="L448" s="494"/>
      <c r="M448" s="309"/>
      <c r="N448" s="309"/>
      <c r="O448" s="309"/>
      <c r="P448" s="309"/>
      <c r="Q448" s="309"/>
      <c r="R448" s="309"/>
      <c r="S448" s="309"/>
      <c r="T448" s="309"/>
      <c r="U448" s="309"/>
      <c r="V448" s="309"/>
      <c r="W448" s="309"/>
      <c r="X448" s="309"/>
    </row>
    <row r="449" hidden="1">
      <c r="A449" s="348"/>
      <c r="B449" s="488"/>
      <c r="C449" s="309"/>
      <c r="D449" s="309"/>
      <c r="E449" s="489"/>
      <c r="F449" s="309"/>
      <c r="G449" s="407"/>
      <c r="H449" s="490"/>
      <c r="I449" s="491"/>
      <c r="J449" s="492"/>
      <c r="K449" s="493"/>
      <c r="L449" s="494"/>
      <c r="M449" s="309"/>
      <c r="N449" s="309"/>
      <c r="O449" s="309"/>
      <c r="P449" s="309"/>
      <c r="Q449" s="309"/>
      <c r="R449" s="309"/>
      <c r="S449" s="309"/>
      <c r="T449" s="309"/>
      <c r="U449" s="309"/>
      <c r="V449" s="309"/>
      <c r="W449" s="309"/>
      <c r="X449" s="309"/>
    </row>
    <row r="450" hidden="1">
      <c r="A450" s="348"/>
      <c r="B450" s="488"/>
      <c r="C450" s="309"/>
      <c r="D450" s="309"/>
      <c r="E450" s="489"/>
      <c r="F450" s="309"/>
      <c r="G450" s="407"/>
      <c r="H450" s="490"/>
      <c r="I450" s="491"/>
      <c r="J450" s="492"/>
      <c r="K450" s="493"/>
      <c r="L450" s="494"/>
      <c r="M450" s="309"/>
      <c r="N450" s="309"/>
      <c r="O450" s="309"/>
      <c r="P450" s="309"/>
      <c r="Q450" s="309"/>
      <c r="R450" s="309"/>
      <c r="S450" s="309"/>
      <c r="T450" s="309"/>
      <c r="U450" s="309"/>
      <c r="V450" s="309"/>
      <c r="W450" s="309"/>
      <c r="X450" s="309"/>
    </row>
    <row r="451" hidden="1">
      <c r="A451" s="348"/>
      <c r="B451" s="488"/>
      <c r="C451" s="309"/>
      <c r="D451" s="309"/>
      <c r="E451" s="489"/>
      <c r="F451" s="309"/>
      <c r="G451" s="407"/>
      <c r="H451" s="490"/>
      <c r="I451" s="491"/>
      <c r="J451" s="492"/>
      <c r="K451" s="493"/>
      <c r="L451" s="494"/>
      <c r="M451" s="309"/>
      <c r="N451" s="309"/>
      <c r="O451" s="309"/>
      <c r="P451" s="309"/>
      <c r="Q451" s="309"/>
      <c r="R451" s="309"/>
      <c r="S451" s="309"/>
      <c r="T451" s="309"/>
      <c r="U451" s="309"/>
      <c r="V451" s="309"/>
      <c r="W451" s="309"/>
      <c r="X451" s="309"/>
    </row>
    <row r="452" hidden="1">
      <c r="A452" s="348"/>
      <c r="B452" s="488"/>
      <c r="C452" s="309"/>
      <c r="D452" s="309"/>
      <c r="E452" s="489"/>
      <c r="F452" s="309"/>
      <c r="G452" s="407"/>
      <c r="H452" s="490"/>
      <c r="I452" s="491"/>
      <c r="J452" s="492"/>
      <c r="K452" s="493"/>
      <c r="L452" s="494"/>
      <c r="M452" s="309"/>
      <c r="N452" s="309"/>
      <c r="O452" s="309"/>
      <c r="P452" s="309"/>
      <c r="Q452" s="309"/>
      <c r="R452" s="309"/>
      <c r="S452" s="309"/>
      <c r="T452" s="309"/>
      <c r="U452" s="309"/>
      <c r="V452" s="309"/>
      <c r="W452" s="309"/>
      <c r="X452" s="309"/>
    </row>
    <row r="453" hidden="1">
      <c r="A453" s="348"/>
      <c r="B453" s="488"/>
      <c r="C453" s="309"/>
      <c r="D453" s="309"/>
      <c r="E453" s="489"/>
      <c r="F453" s="309"/>
      <c r="G453" s="407"/>
      <c r="H453" s="490"/>
      <c r="I453" s="491"/>
      <c r="J453" s="492"/>
      <c r="K453" s="493"/>
      <c r="L453" s="494"/>
      <c r="M453" s="309"/>
      <c r="N453" s="309"/>
      <c r="O453" s="309"/>
      <c r="P453" s="309"/>
      <c r="Q453" s="309"/>
      <c r="R453" s="309"/>
      <c r="S453" s="309"/>
      <c r="T453" s="309"/>
      <c r="U453" s="309"/>
      <c r="V453" s="309"/>
      <c r="W453" s="309"/>
      <c r="X453" s="309"/>
    </row>
    <row r="454" hidden="1">
      <c r="A454" s="348"/>
      <c r="B454" s="488"/>
      <c r="C454" s="309"/>
      <c r="D454" s="309"/>
      <c r="E454" s="489"/>
      <c r="F454" s="309"/>
      <c r="G454" s="407"/>
      <c r="H454" s="490"/>
      <c r="I454" s="491"/>
      <c r="J454" s="492"/>
      <c r="K454" s="493"/>
      <c r="L454" s="494"/>
      <c r="M454" s="309"/>
      <c r="N454" s="309"/>
      <c r="O454" s="309"/>
      <c r="P454" s="309"/>
      <c r="Q454" s="309"/>
      <c r="R454" s="309"/>
      <c r="S454" s="309"/>
      <c r="T454" s="309"/>
      <c r="U454" s="309"/>
      <c r="V454" s="309"/>
      <c r="W454" s="309"/>
      <c r="X454" s="309"/>
    </row>
    <row r="455" hidden="1">
      <c r="A455" s="348"/>
      <c r="B455" s="488"/>
      <c r="C455" s="309"/>
      <c r="D455" s="309"/>
      <c r="E455" s="489"/>
      <c r="F455" s="309"/>
      <c r="G455" s="407"/>
      <c r="H455" s="490"/>
      <c r="I455" s="491"/>
      <c r="J455" s="492"/>
      <c r="K455" s="493"/>
      <c r="L455" s="494"/>
      <c r="M455" s="309"/>
      <c r="N455" s="309"/>
      <c r="O455" s="309"/>
      <c r="P455" s="309"/>
      <c r="Q455" s="309"/>
      <c r="R455" s="309"/>
      <c r="S455" s="309"/>
      <c r="T455" s="309"/>
      <c r="U455" s="309"/>
      <c r="V455" s="309"/>
      <c r="W455" s="309"/>
      <c r="X455" s="309"/>
    </row>
    <row r="456" hidden="1">
      <c r="A456" s="348"/>
      <c r="B456" s="488"/>
      <c r="C456" s="309"/>
      <c r="D456" s="309"/>
      <c r="E456" s="489"/>
      <c r="F456" s="309"/>
      <c r="G456" s="407"/>
      <c r="H456" s="490"/>
      <c r="I456" s="491"/>
      <c r="J456" s="492"/>
      <c r="K456" s="493"/>
      <c r="L456" s="494"/>
      <c r="M456" s="309"/>
      <c r="N456" s="309"/>
      <c r="O456" s="309"/>
      <c r="P456" s="309"/>
      <c r="Q456" s="309"/>
      <c r="R456" s="309"/>
      <c r="S456" s="309"/>
      <c r="T456" s="309"/>
      <c r="U456" s="309"/>
      <c r="V456" s="309"/>
      <c r="W456" s="309"/>
      <c r="X456" s="309"/>
    </row>
    <row r="457" hidden="1">
      <c r="A457" s="348"/>
      <c r="B457" s="488"/>
      <c r="C457" s="309"/>
      <c r="D457" s="309"/>
      <c r="E457" s="489"/>
      <c r="F457" s="309"/>
      <c r="G457" s="407"/>
      <c r="H457" s="490"/>
      <c r="I457" s="491"/>
      <c r="J457" s="492"/>
      <c r="K457" s="493"/>
      <c r="L457" s="494"/>
      <c r="M457" s="309"/>
      <c r="N457" s="309"/>
      <c r="O457" s="309"/>
      <c r="P457" s="309"/>
      <c r="Q457" s="309"/>
      <c r="R457" s="309"/>
      <c r="S457" s="309"/>
      <c r="T457" s="309"/>
      <c r="U457" s="309"/>
      <c r="V457" s="309"/>
      <c r="W457" s="309"/>
      <c r="X457" s="309"/>
    </row>
    <row r="458" hidden="1">
      <c r="A458" s="348"/>
      <c r="B458" s="488"/>
      <c r="C458" s="309"/>
      <c r="D458" s="309"/>
      <c r="E458" s="489"/>
      <c r="F458" s="309"/>
      <c r="G458" s="407"/>
      <c r="H458" s="490"/>
      <c r="I458" s="491"/>
      <c r="J458" s="492"/>
      <c r="K458" s="493"/>
      <c r="L458" s="494"/>
      <c r="M458" s="309"/>
      <c r="N458" s="309"/>
      <c r="O458" s="309"/>
      <c r="P458" s="309"/>
      <c r="Q458" s="309"/>
      <c r="R458" s="309"/>
      <c r="S458" s="309"/>
      <c r="T458" s="309"/>
      <c r="U458" s="309"/>
      <c r="V458" s="309"/>
      <c r="W458" s="309"/>
      <c r="X458" s="309"/>
    </row>
    <row r="459" hidden="1">
      <c r="A459" s="348"/>
      <c r="B459" s="488"/>
      <c r="C459" s="309"/>
      <c r="D459" s="309"/>
      <c r="E459" s="489"/>
      <c r="F459" s="309"/>
      <c r="G459" s="407"/>
      <c r="H459" s="490"/>
      <c r="I459" s="491"/>
      <c r="J459" s="492"/>
      <c r="K459" s="493"/>
      <c r="L459" s="494"/>
      <c r="M459" s="309"/>
      <c r="N459" s="309"/>
      <c r="O459" s="309"/>
      <c r="P459" s="309"/>
      <c r="Q459" s="309"/>
      <c r="R459" s="309"/>
      <c r="S459" s="309"/>
      <c r="T459" s="309"/>
      <c r="U459" s="309"/>
      <c r="V459" s="309"/>
      <c r="W459" s="309"/>
      <c r="X459" s="309"/>
    </row>
    <row r="460" hidden="1">
      <c r="A460" s="348"/>
      <c r="B460" s="488"/>
      <c r="C460" s="309"/>
      <c r="D460" s="309"/>
      <c r="E460" s="489"/>
      <c r="F460" s="309"/>
      <c r="G460" s="407"/>
      <c r="H460" s="490"/>
      <c r="I460" s="491"/>
      <c r="J460" s="492"/>
      <c r="K460" s="493"/>
      <c r="L460" s="494"/>
      <c r="M460" s="309"/>
      <c r="N460" s="309"/>
      <c r="O460" s="309"/>
      <c r="P460" s="309"/>
      <c r="Q460" s="309"/>
      <c r="R460" s="309"/>
      <c r="S460" s="309"/>
      <c r="T460" s="309"/>
      <c r="U460" s="309"/>
      <c r="V460" s="309"/>
      <c r="W460" s="309"/>
      <c r="X460" s="309"/>
    </row>
    <row r="461" hidden="1">
      <c r="A461" s="348"/>
      <c r="B461" s="488"/>
      <c r="C461" s="309"/>
      <c r="D461" s="309"/>
      <c r="E461" s="489"/>
      <c r="F461" s="309"/>
      <c r="G461" s="407"/>
      <c r="H461" s="490"/>
      <c r="I461" s="491"/>
      <c r="J461" s="492"/>
      <c r="K461" s="493"/>
      <c r="L461" s="494"/>
      <c r="M461" s="309"/>
      <c r="N461" s="309"/>
      <c r="O461" s="309"/>
      <c r="P461" s="309"/>
      <c r="Q461" s="309"/>
      <c r="R461" s="309"/>
      <c r="S461" s="309"/>
      <c r="T461" s="309"/>
      <c r="U461" s="309"/>
      <c r="V461" s="309"/>
      <c r="W461" s="309"/>
      <c r="X461" s="309"/>
    </row>
    <row r="462" hidden="1">
      <c r="A462" s="348"/>
      <c r="B462" s="488"/>
      <c r="C462" s="309"/>
      <c r="D462" s="309"/>
      <c r="E462" s="489"/>
      <c r="F462" s="309"/>
      <c r="G462" s="407"/>
      <c r="H462" s="490"/>
      <c r="I462" s="491"/>
      <c r="J462" s="492"/>
      <c r="K462" s="493"/>
      <c r="L462" s="494"/>
      <c r="M462" s="309"/>
      <c r="N462" s="309"/>
      <c r="O462" s="309"/>
      <c r="P462" s="309"/>
      <c r="Q462" s="309"/>
      <c r="R462" s="309"/>
      <c r="S462" s="309"/>
      <c r="T462" s="309"/>
      <c r="U462" s="309"/>
      <c r="V462" s="309"/>
      <c r="W462" s="309"/>
      <c r="X462" s="309"/>
    </row>
    <row r="463" hidden="1">
      <c r="A463" s="348"/>
      <c r="B463" s="488"/>
      <c r="C463" s="309"/>
      <c r="D463" s="309"/>
      <c r="E463" s="489"/>
      <c r="F463" s="309"/>
      <c r="G463" s="407"/>
      <c r="H463" s="490"/>
      <c r="I463" s="491"/>
      <c r="J463" s="492"/>
      <c r="K463" s="493"/>
      <c r="L463" s="494"/>
      <c r="M463" s="309"/>
      <c r="N463" s="309"/>
      <c r="O463" s="309"/>
      <c r="P463" s="309"/>
      <c r="Q463" s="309"/>
      <c r="R463" s="309"/>
      <c r="S463" s="309"/>
      <c r="T463" s="309"/>
      <c r="U463" s="309"/>
      <c r="V463" s="309"/>
      <c r="W463" s="309"/>
      <c r="X463" s="309"/>
    </row>
    <row r="464" hidden="1">
      <c r="A464" s="348"/>
      <c r="B464" s="488"/>
      <c r="C464" s="309"/>
      <c r="D464" s="309"/>
      <c r="E464" s="489"/>
      <c r="F464" s="309"/>
      <c r="G464" s="407"/>
      <c r="H464" s="490"/>
      <c r="I464" s="491"/>
      <c r="J464" s="492"/>
      <c r="K464" s="493"/>
      <c r="L464" s="494"/>
      <c r="M464" s="309"/>
      <c r="N464" s="309"/>
      <c r="O464" s="309"/>
      <c r="P464" s="309"/>
      <c r="Q464" s="309"/>
      <c r="R464" s="309"/>
      <c r="S464" s="309"/>
      <c r="T464" s="309"/>
      <c r="U464" s="309"/>
      <c r="V464" s="309"/>
      <c r="W464" s="309"/>
      <c r="X464" s="309"/>
    </row>
    <row r="465" hidden="1">
      <c r="A465" s="348"/>
      <c r="B465" s="488"/>
      <c r="C465" s="309"/>
      <c r="D465" s="309"/>
      <c r="E465" s="489"/>
      <c r="F465" s="309"/>
      <c r="G465" s="407"/>
      <c r="H465" s="490"/>
      <c r="I465" s="491"/>
      <c r="J465" s="492"/>
      <c r="K465" s="493"/>
      <c r="L465" s="494"/>
      <c r="M465" s="309"/>
      <c r="N465" s="309"/>
      <c r="O465" s="309"/>
      <c r="P465" s="309"/>
      <c r="Q465" s="309"/>
      <c r="R465" s="309"/>
      <c r="S465" s="309"/>
      <c r="T465" s="309"/>
      <c r="U465" s="309"/>
      <c r="V465" s="309"/>
      <c r="W465" s="309"/>
      <c r="X465" s="309"/>
    </row>
    <row r="466" hidden="1">
      <c r="A466" s="348"/>
      <c r="B466" s="488"/>
      <c r="C466" s="309"/>
      <c r="D466" s="309"/>
      <c r="E466" s="489"/>
      <c r="F466" s="309"/>
      <c r="G466" s="407"/>
      <c r="H466" s="490"/>
      <c r="I466" s="491"/>
      <c r="J466" s="492"/>
      <c r="K466" s="493"/>
      <c r="L466" s="494"/>
      <c r="M466" s="309"/>
      <c r="N466" s="309"/>
      <c r="O466" s="309"/>
      <c r="P466" s="309"/>
      <c r="Q466" s="309"/>
      <c r="R466" s="309"/>
      <c r="S466" s="309"/>
      <c r="T466" s="309"/>
      <c r="U466" s="309"/>
      <c r="V466" s="309"/>
      <c r="W466" s="309"/>
      <c r="X466" s="309"/>
    </row>
    <row r="467" hidden="1">
      <c r="A467" s="348"/>
      <c r="B467" s="488"/>
      <c r="C467" s="309"/>
      <c r="D467" s="309"/>
      <c r="E467" s="489"/>
      <c r="F467" s="309"/>
      <c r="G467" s="407"/>
      <c r="H467" s="490"/>
      <c r="I467" s="491"/>
      <c r="J467" s="492"/>
      <c r="K467" s="493"/>
      <c r="L467" s="494"/>
      <c r="M467" s="309"/>
      <c r="N467" s="309"/>
      <c r="O467" s="309"/>
      <c r="P467" s="309"/>
      <c r="Q467" s="309"/>
      <c r="R467" s="309"/>
      <c r="S467" s="309"/>
      <c r="T467" s="309"/>
      <c r="U467" s="309"/>
      <c r="V467" s="309"/>
      <c r="W467" s="309"/>
      <c r="X467" s="309"/>
    </row>
    <row r="468" hidden="1">
      <c r="A468" s="348"/>
      <c r="B468" s="488"/>
      <c r="C468" s="309"/>
      <c r="D468" s="309"/>
      <c r="E468" s="489"/>
      <c r="F468" s="309"/>
      <c r="G468" s="407"/>
      <c r="H468" s="490"/>
      <c r="I468" s="491"/>
      <c r="J468" s="492"/>
      <c r="K468" s="493"/>
      <c r="L468" s="494"/>
      <c r="M468" s="309"/>
      <c r="N468" s="309"/>
      <c r="O468" s="309"/>
      <c r="P468" s="309"/>
      <c r="Q468" s="309"/>
      <c r="R468" s="309"/>
      <c r="S468" s="309"/>
      <c r="T468" s="309"/>
      <c r="U468" s="309"/>
      <c r="V468" s="309"/>
      <c r="W468" s="309"/>
      <c r="X468" s="309"/>
    </row>
    <row r="469" hidden="1">
      <c r="A469" s="348"/>
      <c r="B469" s="488"/>
      <c r="C469" s="309"/>
      <c r="D469" s="309"/>
      <c r="E469" s="489"/>
      <c r="F469" s="309"/>
      <c r="G469" s="407"/>
      <c r="H469" s="490"/>
      <c r="I469" s="491"/>
      <c r="J469" s="492"/>
      <c r="K469" s="493"/>
      <c r="L469" s="494"/>
      <c r="M469" s="309"/>
      <c r="N469" s="309"/>
      <c r="O469" s="309"/>
      <c r="P469" s="309"/>
      <c r="Q469" s="309"/>
      <c r="R469" s="309"/>
      <c r="S469" s="309"/>
      <c r="T469" s="309"/>
      <c r="U469" s="309"/>
      <c r="V469" s="309"/>
      <c r="W469" s="309"/>
      <c r="X469" s="309"/>
    </row>
    <row r="470" hidden="1">
      <c r="A470" s="348"/>
      <c r="B470" s="488"/>
      <c r="C470" s="309"/>
      <c r="D470" s="309"/>
      <c r="E470" s="489"/>
      <c r="F470" s="309"/>
      <c r="G470" s="407"/>
      <c r="H470" s="490"/>
      <c r="I470" s="491"/>
      <c r="J470" s="492"/>
      <c r="K470" s="493"/>
      <c r="L470" s="494"/>
      <c r="M470" s="309"/>
      <c r="N470" s="309"/>
      <c r="O470" s="309"/>
      <c r="P470" s="309"/>
      <c r="Q470" s="309"/>
      <c r="R470" s="309"/>
      <c r="S470" s="309"/>
      <c r="T470" s="309"/>
      <c r="U470" s="309"/>
      <c r="V470" s="309"/>
      <c r="W470" s="309"/>
      <c r="X470" s="309"/>
    </row>
    <row r="471" hidden="1">
      <c r="A471" s="348"/>
      <c r="B471" s="488"/>
      <c r="C471" s="309"/>
      <c r="D471" s="309"/>
      <c r="E471" s="489"/>
      <c r="F471" s="309"/>
      <c r="G471" s="407"/>
      <c r="H471" s="490"/>
      <c r="I471" s="491"/>
      <c r="J471" s="492"/>
      <c r="K471" s="493"/>
      <c r="L471" s="494"/>
      <c r="M471" s="309"/>
      <c r="N471" s="309"/>
      <c r="O471" s="309"/>
      <c r="P471" s="309"/>
      <c r="Q471" s="309"/>
      <c r="R471" s="309"/>
      <c r="S471" s="309"/>
      <c r="T471" s="309"/>
      <c r="U471" s="309"/>
      <c r="V471" s="309"/>
      <c r="W471" s="309"/>
      <c r="X471" s="309"/>
    </row>
    <row r="472" hidden="1">
      <c r="A472" s="348"/>
      <c r="B472" s="488"/>
      <c r="C472" s="309"/>
      <c r="D472" s="309"/>
      <c r="E472" s="489"/>
      <c r="F472" s="309"/>
      <c r="G472" s="407"/>
      <c r="H472" s="490"/>
      <c r="I472" s="491"/>
      <c r="J472" s="492"/>
      <c r="K472" s="493"/>
      <c r="L472" s="494"/>
      <c r="M472" s="309"/>
      <c r="N472" s="309"/>
      <c r="O472" s="309"/>
      <c r="P472" s="309"/>
      <c r="Q472" s="309"/>
      <c r="R472" s="309"/>
      <c r="S472" s="309"/>
      <c r="T472" s="309"/>
      <c r="U472" s="309"/>
      <c r="V472" s="309"/>
      <c r="W472" s="309"/>
      <c r="X472" s="309"/>
    </row>
    <row r="473" hidden="1">
      <c r="A473" s="348"/>
      <c r="B473" s="488"/>
      <c r="C473" s="309"/>
      <c r="D473" s="309"/>
      <c r="E473" s="489"/>
      <c r="F473" s="309"/>
      <c r="G473" s="407"/>
      <c r="H473" s="490"/>
      <c r="I473" s="491"/>
      <c r="J473" s="492"/>
      <c r="K473" s="493"/>
      <c r="L473" s="494"/>
      <c r="M473" s="309"/>
      <c r="N473" s="309"/>
      <c r="O473" s="309"/>
      <c r="P473" s="309"/>
      <c r="Q473" s="309"/>
      <c r="R473" s="309"/>
      <c r="S473" s="309"/>
      <c r="T473" s="309"/>
      <c r="U473" s="309"/>
      <c r="V473" s="309"/>
      <c r="W473" s="309"/>
      <c r="X473" s="309"/>
    </row>
    <row r="474" hidden="1">
      <c r="A474" s="348"/>
      <c r="B474" s="488"/>
      <c r="C474" s="309"/>
      <c r="D474" s="309"/>
      <c r="E474" s="489"/>
      <c r="F474" s="309"/>
      <c r="G474" s="407"/>
      <c r="H474" s="490"/>
      <c r="I474" s="491"/>
      <c r="J474" s="492"/>
      <c r="K474" s="493"/>
      <c r="L474" s="494"/>
      <c r="M474" s="309"/>
      <c r="N474" s="309"/>
      <c r="O474" s="309"/>
      <c r="P474" s="309"/>
      <c r="Q474" s="309"/>
      <c r="R474" s="309"/>
      <c r="S474" s="309"/>
      <c r="T474" s="309"/>
      <c r="U474" s="309"/>
      <c r="V474" s="309"/>
      <c r="W474" s="309"/>
      <c r="X474" s="309"/>
    </row>
    <row r="475" hidden="1">
      <c r="A475" s="348"/>
      <c r="B475" s="488"/>
      <c r="C475" s="309"/>
      <c r="D475" s="309"/>
      <c r="E475" s="489"/>
      <c r="F475" s="309"/>
      <c r="G475" s="407"/>
      <c r="H475" s="490"/>
      <c r="I475" s="491"/>
      <c r="J475" s="492"/>
      <c r="K475" s="493"/>
      <c r="L475" s="494"/>
      <c r="M475" s="309"/>
      <c r="N475" s="309"/>
      <c r="O475" s="309"/>
      <c r="P475" s="309"/>
      <c r="Q475" s="309"/>
      <c r="R475" s="309"/>
      <c r="S475" s="309"/>
      <c r="T475" s="309"/>
      <c r="U475" s="309"/>
      <c r="V475" s="309"/>
      <c r="W475" s="309"/>
      <c r="X475" s="309"/>
    </row>
    <row r="476" hidden="1">
      <c r="A476" s="348"/>
      <c r="B476" s="488"/>
      <c r="C476" s="309"/>
      <c r="D476" s="309"/>
      <c r="E476" s="489"/>
      <c r="F476" s="309"/>
      <c r="G476" s="407"/>
      <c r="H476" s="490"/>
      <c r="I476" s="491"/>
      <c r="J476" s="492"/>
      <c r="K476" s="493"/>
      <c r="L476" s="494"/>
      <c r="M476" s="309"/>
      <c r="N476" s="309"/>
      <c r="O476" s="309"/>
      <c r="P476" s="309"/>
      <c r="Q476" s="309"/>
      <c r="R476" s="309"/>
      <c r="S476" s="309"/>
      <c r="T476" s="309"/>
      <c r="U476" s="309"/>
      <c r="V476" s="309"/>
      <c r="W476" s="309"/>
      <c r="X476" s="309"/>
    </row>
    <row r="477" hidden="1">
      <c r="A477" s="348"/>
      <c r="B477" s="488"/>
      <c r="C477" s="309"/>
      <c r="D477" s="309"/>
      <c r="E477" s="489"/>
      <c r="F477" s="309"/>
      <c r="G477" s="407"/>
      <c r="H477" s="490"/>
      <c r="I477" s="491"/>
      <c r="J477" s="492"/>
      <c r="K477" s="493"/>
      <c r="L477" s="494"/>
      <c r="M477" s="309"/>
      <c r="N477" s="309"/>
      <c r="O477" s="309"/>
      <c r="P477" s="309"/>
      <c r="Q477" s="309"/>
      <c r="R477" s="309"/>
      <c r="S477" s="309"/>
      <c r="T477" s="309"/>
      <c r="U477" s="309"/>
      <c r="V477" s="309"/>
      <c r="W477" s="309"/>
      <c r="X477" s="309"/>
    </row>
    <row r="478" hidden="1">
      <c r="A478" s="348"/>
      <c r="B478" s="488"/>
      <c r="C478" s="309"/>
      <c r="D478" s="309"/>
      <c r="E478" s="489"/>
      <c r="F478" s="309"/>
      <c r="G478" s="407"/>
      <c r="H478" s="490"/>
      <c r="I478" s="491"/>
      <c r="J478" s="492"/>
      <c r="K478" s="493"/>
      <c r="L478" s="494"/>
      <c r="M478" s="309"/>
      <c r="N478" s="309"/>
      <c r="O478" s="309"/>
      <c r="P478" s="309"/>
      <c r="Q478" s="309"/>
      <c r="R478" s="309"/>
      <c r="S478" s="309"/>
      <c r="T478" s="309"/>
      <c r="U478" s="309"/>
      <c r="V478" s="309"/>
      <c r="W478" s="309"/>
      <c r="X478" s="309"/>
    </row>
    <row r="479" hidden="1">
      <c r="A479" s="348"/>
      <c r="B479" s="488"/>
      <c r="C479" s="309"/>
      <c r="D479" s="309"/>
      <c r="E479" s="489"/>
      <c r="F479" s="309"/>
      <c r="G479" s="407"/>
      <c r="H479" s="490"/>
      <c r="I479" s="491"/>
      <c r="J479" s="492"/>
      <c r="K479" s="493"/>
      <c r="L479" s="494"/>
      <c r="M479" s="309"/>
      <c r="N479" s="309"/>
      <c r="O479" s="309"/>
      <c r="P479" s="309"/>
      <c r="Q479" s="309"/>
      <c r="R479" s="309"/>
      <c r="S479" s="309"/>
      <c r="T479" s="309"/>
      <c r="U479" s="309"/>
      <c r="V479" s="309"/>
      <c r="W479" s="309"/>
      <c r="X479" s="309"/>
    </row>
    <row r="480" hidden="1">
      <c r="A480" s="348"/>
      <c r="B480" s="488"/>
      <c r="C480" s="309"/>
      <c r="D480" s="309"/>
      <c r="E480" s="489"/>
      <c r="F480" s="309"/>
      <c r="G480" s="407"/>
      <c r="H480" s="490"/>
      <c r="I480" s="491"/>
      <c r="J480" s="492"/>
      <c r="K480" s="493"/>
      <c r="L480" s="494"/>
      <c r="M480" s="309"/>
      <c r="N480" s="309"/>
      <c r="O480" s="309"/>
      <c r="P480" s="309"/>
      <c r="Q480" s="309"/>
      <c r="R480" s="309"/>
      <c r="S480" s="309"/>
      <c r="T480" s="309"/>
      <c r="U480" s="309"/>
      <c r="V480" s="309"/>
      <c r="W480" s="309"/>
      <c r="X480" s="309"/>
    </row>
    <row r="481" hidden="1">
      <c r="A481" s="348"/>
      <c r="B481" s="488"/>
      <c r="C481" s="309"/>
      <c r="D481" s="309"/>
      <c r="E481" s="489"/>
      <c r="F481" s="309"/>
      <c r="G481" s="407"/>
      <c r="H481" s="490"/>
      <c r="I481" s="491"/>
      <c r="J481" s="492"/>
      <c r="K481" s="493"/>
      <c r="L481" s="494"/>
      <c r="M481" s="309"/>
      <c r="N481" s="309"/>
      <c r="O481" s="309"/>
      <c r="P481" s="309"/>
      <c r="Q481" s="309"/>
      <c r="R481" s="309"/>
      <c r="S481" s="309"/>
      <c r="T481" s="309"/>
      <c r="U481" s="309"/>
      <c r="V481" s="309"/>
      <c r="W481" s="309"/>
      <c r="X481" s="309"/>
    </row>
    <row r="482" hidden="1">
      <c r="A482" s="348"/>
      <c r="B482" s="488"/>
      <c r="C482" s="309"/>
      <c r="D482" s="309"/>
      <c r="E482" s="489"/>
      <c r="F482" s="309"/>
      <c r="G482" s="407"/>
      <c r="H482" s="490"/>
      <c r="I482" s="491"/>
      <c r="J482" s="492"/>
      <c r="K482" s="493"/>
      <c r="L482" s="494"/>
      <c r="M482" s="309"/>
      <c r="N482" s="309"/>
      <c r="O482" s="309"/>
      <c r="P482" s="309"/>
      <c r="Q482" s="309"/>
      <c r="R482" s="309"/>
      <c r="S482" s="309"/>
      <c r="T482" s="309"/>
      <c r="U482" s="309"/>
      <c r="V482" s="309"/>
      <c r="W482" s="309"/>
      <c r="X482" s="309"/>
    </row>
    <row r="483" hidden="1">
      <c r="A483" s="348"/>
      <c r="B483" s="488"/>
      <c r="C483" s="309"/>
      <c r="D483" s="309"/>
      <c r="E483" s="489"/>
      <c r="F483" s="309"/>
      <c r="G483" s="407"/>
      <c r="H483" s="490"/>
      <c r="I483" s="491"/>
      <c r="J483" s="492"/>
      <c r="K483" s="493"/>
      <c r="L483" s="494"/>
      <c r="M483" s="309"/>
      <c r="N483" s="309"/>
      <c r="O483" s="309"/>
      <c r="P483" s="309"/>
      <c r="Q483" s="309"/>
      <c r="R483" s="309"/>
      <c r="S483" s="309"/>
      <c r="T483" s="309"/>
      <c r="U483" s="309"/>
      <c r="V483" s="309"/>
      <c r="W483" s="309"/>
      <c r="X483" s="309"/>
    </row>
    <row r="484" hidden="1">
      <c r="A484" s="348"/>
      <c r="B484" s="488"/>
      <c r="C484" s="309"/>
      <c r="D484" s="309"/>
      <c r="E484" s="489"/>
      <c r="F484" s="309"/>
      <c r="G484" s="407"/>
      <c r="H484" s="490"/>
      <c r="I484" s="491"/>
      <c r="J484" s="492"/>
      <c r="K484" s="493"/>
      <c r="L484" s="494"/>
      <c r="M484" s="309"/>
      <c r="N484" s="309"/>
      <c r="O484" s="309"/>
      <c r="P484" s="309"/>
      <c r="Q484" s="309"/>
      <c r="R484" s="309"/>
      <c r="S484" s="309"/>
      <c r="T484" s="309"/>
      <c r="U484" s="309"/>
      <c r="V484" s="309"/>
      <c r="W484" s="309"/>
      <c r="X484" s="309"/>
    </row>
    <row r="485" hidden="1">
      <c r="A485" s="348"/>
      <c r="B485" s="488"/>
      <c r="C485" s="309"/>
      <c r="D485" s="309"/>
      <c r="E485" s="489"/>
      <c r="F485" s="309"/>
      <c r="G485" s="407"/>
      <c r="H485" s="490"/>
      <c r="I485" s="491"/>
      <c r="J485" s="492"/>
      <c r="K485" s="493"/>
      <c r="L485" s="494"/>
      <c r="M485" s="309"/>
      <c r="N485" s="309"/>
      <c r="O485" s="309"/>
      <c r="P485" s="309"/>
      <c r="Q485" s="309"/>
      <c r="R485" s="309"/>
      <c r="S485" s="309"/>
      <c r="T485" s="309"/>
      <c r="U485" s="309"/>
      <c r="V485" s="309"/>
      <c r="W485" s="309"/>
      <c r="X485" s="309"/>
    </row>
    <row r="486" hidden="1">
      <c r="A486" s="348"/>
      <c r="B486" s="488"/>
      <c r="C486" s="309"/>
      <c r="D486" s="309"/>
      <c r="E486" s="489"/>
      <c r="F486" s="309"/>
      <c r="G486" s="407"/>
      <c r="H486" s="490"/>
      <c r="I486" s="491"/>
      <c r="J486" s="492"/>
      <c r="K486" s="493"/>
      <c r="L486" s="494"/>
      <c r="M486" s="309"/>
      <c r="N486" s="309"/>
      <c r="O486" s="309"/>
      <c r="P486" s="309"/>
      <c r="Q486" s="309"/>
      <c r="R486" s="309"/>
      <c r="S486" s="309"/>
      <c r="T486" s="309"/>
      <c r="U486" s="309"/>
      <c r="V486" s="309"/>
      <c r="W486" s="309"/>
      <c r="X486" s="309"/>
    </row>
    <row r="487" hidden="1">
      <c r="A487" s="348"/>
      <c r="B487" s="488"/>
      <c r="C487" s="309"/>
      <c r="D487" s="309"/>
      <c r="E487" s="489"/>
      <c r="F487" s="309"/>
      <c r="G487" s="407"/>
      <c r="H487" s="490"/>
      <c r="I487" s="491"/>
      <c r="J487" s="492"/>
      <c r="K487" s="493"/>
      <c r="L487" s="494"/>
      <c r="M487" s="309"/>
      <c r="N487" s="309"/>
      <c r="O487" s="309"/>
      <c r="P487" s="309"/>
      <c r="Q487" s="309"/>
      <c r="R487" s="309"/>
      <c r="S487" s="309"/>
      <c r="T487" s="309"/>
      <c r="U487" s="309"/>
      <c r="V487" s="309"/>
      <c r="W487" s="309"/>
      <c r="X487" s="309"/>
    </row>
    <row r="488" hidden="1">
      <c r="A488" s="348"/>
      <c r="B488" s="488"/>
      <c r="C488" s="309"/>
      <c r="D488" s="309"/>
      <c r="E488" s="489"/>
      <c r="F488" s="309"/>
      <c r="G488" s="407"/>
      <c r="H488" s="490"/>
      <c r="I488" s="491"/>
      <c r="J488" s="492"/>
      <c r="K488" s="493"/>
      <c r="L488" s="494"/>
      <c r="M488" s="309"/>
      <c r="N488" s="309"/>
      <c r="O488" s="309"/>
      <c r="P488" s="309"/>
      <c r="Q488" s="309"/>
      <c r="R488" s="309"/>
      <c r="S488" s="309"/>
      <c r="T488" s="309"/>
      <c r="U488" s="309"/>
      <c r="V488" s="309"/>
      <c r="W488" s="309"/>
      <c r="X488" s="309"/>
    </row>
    <row r="489" hidden="1">
      <c r="A489" s="348"/>
      <c r="B489" s="488"/>
      <c r="C489" s="309"/>
      <c r="D489" s="309"/>
      <c r="E489" s="489"/>
      <c r="F489" s="309"/>
      <c r="G489" s="407"/>
      <c r="H489" s="490"/>
      <c r="I489" s="491"/>
      <c r="J489" s="492"/>
      <c r="K489" s="493"/>
      <c r="L489" s="494"/>
      <c r="M489" s="309"/>
      <c r="N489" s="309"/>
      <c r="O489" s="309"/>
      <c r="P489" s="309"/>
      <c r="Q489" s="309"/>
      <c r="R489" s="309"/>
      <c r="S489" s="309"/>
      <c r="T489" s="309"/>
      <c r="U489" s="309"/>
      <c r="V489" s="309"/>
      <c r="W489" s="309"/>
      <c r="X489" s="309"/>
    </row>
    <row r="490" hidden="1">
      <c r="A490" s="348"/>
      <c r="B490" s="488"/>
      <c r="C490" s="309"/>
      <c r="D490" s="309"/>
      <c r="E490" s="489"/>
      <c r="F490" s="309"/>
      <c r="G490" s="407"/>
      <c r="H490" s="490"/>
      <c r="I490" s="491"/>
      <c r="J490" s="492"/>
      <c r="K490" s="493"/>
      <c r="L490" s="494"/>
      <c r="M490" s="309"/>
      <c r="N490" s="309"/>
      <c r="O490" s="309"/>
      <c r="P490" s="309"/>
      <c r="Q490" s="309"/>
      <c r="R490" s="309"/>
      <c r="S490" s="309"/>
      <c r="T490" s="309"/>
      <c r="U490" s="309"/>
      <c r="V490" s="309"/>
      <c r="W490" s="309"/>
      <c r="X490" s="309"/>
    </row>
    <row r="491" hidden="1">
      <c r="A491" s="348"/>
      <c r="B491" s="488"/>
      <c r="C491" s="309"/>
      <c r="D491" s="309"/>
      <c r="E491" s="489"/>
      <c r="F491" s="309"/>
      <c r="G491" s="407"/>
      <c r="H491" s="490"/>
      <c r="I491" s="491"/>
      <c r="J491" s="492"/>
      <c r="K491" s="493"/>
      <c r="L491" s="494"/>
      <c r="M491" s="309"/>
      <c r="N491" s="309"/>
      <c r="O491" s="309"/>
      <c r="P491" s="309"/>
      <c r="Q491" s="309"/>
      <c r="R491" s="309"/>
      <c r="S491" s="309"/>
      <c r="T491" s="309"/>
      <c r="U491" s="309"/>
      <c r="V491" s="309"/>
      <c r="W491" s="309"/>
      <c r="X491" s="309"/>
    </row>
    <row r="492" hidden="1">
      <c r="A492" s="348"/>
      <c r="B492" s="488"/>
      <c r="C492" s="309"/>
      <c r="D492" s="309"/>
      <c r="E492" s="489"/>
      <c r="F492" s="309"/>
      <c r="G492" s="407"/>
      <c r="H492" s="490"/>
      <c r="I492" s="491"/>
      <c r="J492" s="492"/>
      <c r="K492" s="493"/>
      <c r="L492" s="494"/>
      <c r="M492" s="309"/>
      <c r="N492" s="309"/>
      <c r="O492" s="309"/>
      <c r="P492" s="309"/>
      <c r="Q492" s="309"/>
      <c r="R492" s="309"/>
      <c r="S492" s="309"/>
      <c r="T492" s="309"/>
      <c r="U492" s="309"/>
      <c r="V492" s="309"/>
      <c r="W492" s="309"/>
      <c r="X492" s="309"/>
    </row>
    <row r="493" hidden="1">
      <c r="A493" s="348"/>
      <c r="B493" s="488"/>
      <c r="C493" s="309"/>
      <c r="D493" s="309"/>
      <c r="E493" s="489"/>
      <c r="F493" s="309"/>
      <c r="G493" s="407"/>
      <c r="H493" s="490"/>
      <c r="I493" s="491"/>
      <c r="J493" s="492"/>
      <c r="K493" s="493"/>
      <c r="L493" s="494"/>
      <c r="M493" s="309"/>
      <c r="N493" s="309"/>
      <c r="O493" s="309"/>
      <c r="P493" s="309"/>
      <c r="Q493" s="309"/>
      <c r="R493" s="309"/>
      <c r="S493" s="309"/>
      <c r="T493" s="309"/>
      <c r="U493" s="309"/>
      <c r="V493" s="309"/>
      <c r="W493" s="309"/>
      <c r="X493" s="309"/>
    </row>
    <row r="494" hidden="1">
      <c r="A494" s="348"/>
      <c r="B494" s="488"/>
      <c r="C494" s="309"/>
      <c r="D494" s="309"/>
      <c r="E494" s="489"/>
      <c r="F494" s="309"/>
      <c r="G494" s="407"/>
      <c r="H494" s="490"/>
      <c r="I494" s="491"/>
      <c r="J494" s="492"/>
      <c r="K494" s="493"/>
      <c r="L494" s="494"/>
      <c r="M494" s="309"/>
      <c r="N494" s="309"/>
      <c r="O494" s="309"/>
      <c r="P494" s="309"/>
      <c r="Q494" s="309"/>
      <c r="R494" s="309"/>
      <c r="S494" s="309"/>
      <c r="T494" s="309"/>
      <c r="U494" s="309"/>
      <c r="V494" s="309"/>
      <c r="W494" s="309"/>
      <c r="X494" s="309"/>
    </row>
    <row r="495" hidden="1">
      <c r="A495" s="348"/>
      <c r="B495" s="488"/>
      <c r="C495" s="309"/>
      <c r="D495" s="309"/>
      <c r="E495" s="489"/>
      <c r="F495" s="309"/>
      <c r="G495" s="407"/>
      <c r="H495" s="490"/>
      <c r="I495" s="491"/>
      <c r="J495" s="492"/>
      <c r="K495" s="493"/>
      <c r="L495" s="494"/>
      <c r="M495" s="309"/>
      <c r="N495" s="309"/>
      <c r="O495" s="309"/>
      <c r="P495" s="309"/>
      <c r="Q495" s="309"/>
      <c r="R495" s="309"/>
      <c r="S495" s="309"/>
      <c r="T495" s="309"/>
      <c r="U495" s="309"/>
      <c r="V495" s="309"/>
      <c r="W495" s="309"/>
      <c r="X495" s="309"/>
    </row>
    <row r="496" hidden="1">
      <c r="A496" s="348"/>
      <c r="B496" s="488"/>
      <c r="C496" s="309"/>
      <c r="D496" s="309"/>
      <c r="E496" s="489"/>
      <c r="F496" s="309"/>
      <c r="G496" s="407"/>
      <c r="H496" s="490"/>
      <c r="I496" s="491"/>
      <c r="J496" s="492"/>
      <c r="K496" s="493"/>
      <c r="L496" s="494"/>
      <c r="M496" s="309"/>
      <c r="N496" s="309"/>
      <c r="O496" s="309"/>
      <c r="P496" s="309"/>
      <c r="Q496" s="309"/>
      <c r="R496" s="309"/>
      <c r="S496" s="309"/>
      <c r="T496" s="309"/>
      <c r="U496" s="309"/>
      <c r="V496" s="309"/>
      <c r="W496" s="309"/>
      <c r="X496" s="309"/>
    </row>
    <row r="497" hidden="1">
      <c r="A497" s="348"/>
      <c r="B497" s="488"/>
      <c r="C497" s="309"/>
      <c r="D497" s="309"/>
      <c r="E497" s="489"/>
      <c r="F497" s="309"/>
      <c r="G497" s="407"/>
      <c r="H497" s="490"/>
      <c r="I497" s="491"/>
      <c r="J497" s="492"/>
      <c r="K497" s="493"/>
      <c r="L497" s="494"/>
      <c r="M497" s="309"/>
      <c r="N497" s="309"/>
      <c r="O497" s="309"/>
      <c r="P497" s="309"/>
      <c r="Q497" s="309"/>
      <c r="R497" s="309"/>
      <c r="S497" s="309"/>
      <c r="T497" s="309"/>
      <c r="U497" s="309"/>
      <c r="V497" s="309"/>
      <c r="W497" s="309"/>
      <c r="X497" s="309"/>
    </row>
    <row r="498" hidden="1">
      <c r="A498" s="348"/>
      <c r="B498" s="488"/>
      <c r="C498" s="309"/>
      <c r="D498" s="309"/>
      <c r="E498" s="489"/>
      <c r="F498" s="309"/>
      <c r="G498" s="407"/>
      <c r="H498" s="490"/>
      <c r="I498" s="491"/>
      <c r="J498" s="492"/>
      <c r="K498" s="493"/>
      <c r="L498" s="494"/>
      <c r="M498" s="309"/>
      <c r="N498" s="309"/>
      <c r="O498" s="309"/>
      <c r="P498" s="309"/>
      <c r="Q498" s="309"/>
      <c r="R498" s="309"/>
      <c r="S498" s="309"/>
      <c r="T498" s="309"/>
      <c r="U498" s="309"/>
      <c r="V498" s="309"/>
      <c r="W498" s="309"/>
      <c r="X498" s="309"/>
    </row>
    <row r="499" hidden="1">
      <c r="A499" s="348"/>
      <c r="B499" s="488"/>
      <c r="C499" s="309"/>
      <c r="D499" s="309"/>
      <c r="E499" s="489"/>
      <c r="F499" s="309"/>
      <c r="G499" s="407"/>
      <c r="H499" s="490"/>
      <c r="I499" s="491"/>
      <c r="J499" s="492"/>
      <c r="K499" s="493"/>
      <c r="L499" s="494"/>
      <c r="M499" s="309"/>
      <c r="N499" s="309"/>
      <c r="O499" s="309"/>
      <c r="P499" s="309"/>
      <c r="Q499" s="309"/>
      <c r="R499" s="309"/>
      <c r="S499" s="309"/>
      <c r="T499" s="309"/>
      <c r="U499" s="309"/>
      <c r="V499" s="309"/>
      <c r="W499" s="309"/>
      <c r="X499" s="309"/>
    </row>
    <row r="500" hidden="1">
      <c r="A500" s="348"/>
      <c r="B500" s="488"/>
      <c r="C500" s="309"/>
      <c r="D500" s="309"/>
      <c r="E500" s="489"/>
      <c r="F500" s="309"/>
      <c r="G500" s="407"/>
      <c r="H500" s="490"/>
      <c r="I500" s="491"/>
      <c r="J500" s="492"/>
      <c r="K500" s="493"/>
      <c r="L500" s="494"/>
      <c r="M500" s="309"/>
      <c r="N500" s="309"/>
      <c r="O500" s="309"/>
      <c r="P500" s="309"/>
      <c r="Q500" s="309"/>
      <c r="R500" s="309"/>
      <c r="S500" s="309"/>
      <c r="T500" s="309"/>
      <c r="U500" s="309"/>
      <c r="V500" s="309"/>
      <c r="W500" s="309"/>
      <c r="X500" s="309"/>
    </row>
    <row r="501" hidden="1">
      <c r="A501" s="348"/>
      <c r="B501" s="488"/>
      <c r="C501" s="309"/>
      <c r="D501" s="309"/>
      <c r="E501" s="489"/>
      <c r="F501" s="309"/>
      <c r="G501" s="407"/>
      <c r="H501" s="490"/>
      <c r="I501" s="491"/>
      <c r="J501" s="492"/>
      <c r="K501" s="493"/>
      <c r="L501" s="494"/>
      <c r="M501" s="309"/>
      <c r="N501" s="309"/>
      <c r="O501" s="309"/>
      <c r="P501" s="309"/>
      <c r="Q501" s="309"/>
      <c r="R501" s="309"/>
      <c r="S501" s="309"/>
      <c r="T501" s="309"/>
      <c r="U501" s="309"/>
      <c r="V501" s="309"/>
      <c r="W501" s="309"/>
      <c r="X501" s="309"/>
    </row>
    <row r="502" hidden="1">
      <c r="A502" s="348"/>
      <c r="B502" s="488"/>
      <c r="C502" s="309"/>
      <c r="D502" s="309"/>
      <c r="E502" s="489"/>
      <c r="F502" s="309"/>
      <c r="G502" s="407"/>
      <c r="H502" s="490"/>
      <c r="I502" s="491"/>
      <c r="J502" s="492"/>
      <c r="K502" s="493"/>
      <c r="L502" s="494"/>
      <c r="M502" s="309"/>
      <c r="N502" s="309"/>
      <c r="O502" s="309"/>
      <c r="P502" s="309"/>
      <c r="Q502" s="309"/>
      <c r="R502" s="309"/>
      <c r="S502" s="309"/>
      <c r="T502" s="309"/>
      <c r="U502" s="309"/>
      <c r="V502" s="309"/>
      <c r="W502" s="309"/>
      <c r="X502" s="309"/>
    </row>
    <row r="503" hidden="1">
      <c r="A503" s="348"/>
      <c r="B503" s="488"/>
      <c r="C503" s="309"/>
      <c r="D503" s="309"/>
      <c r="E503" s="489"/>
      <c r="F503" s="309"/>
      <c r="G503" s="407"/>
      <c r="H503" s="490"/>
      <c r="I503" s="491"/>
      <c r="J503" s="492"/>
      <c r="K503" s="493"/>
      <c r="L503" s="494"/>
      <c r="M503" s="309"/>
      <c r="N503" s="309"/>
      <c r="O503" s="309"/>
      <c r="P503" s="309"/>
      <c r="Q503" s="309"/>
      <c r="R503" s="309"/>
      <c r="S503" s="309"/>
      <c r="T503" s="309"/>
      <c r="U503" s="309"/>
      <c r="V503" s="309"/>
      <c r="W503" s="309"/>
      <c r="X503" s="309"/>
    </row>
    <row r="504" hidden="1">
      <c r="A504" s="348"/>
      <c r="B504" s="488"/>
      <c r="C504" s="309"/>
      <c r="D504" s="309"/>
      <c r="E504" s="489"/>
      <c r="F504" s="309"/>
      <c r="G504" s="407"/>
      <c r="H504" s="490"/>
      <c r="I504" s="491"/>
      <c r="J504" s="492"/>
      <c r="K504" s="493"/>
      <c r="L504" s="494"/>
      <c r="M504" s="309"/>
      <c r="N504" s="309"/>
      <c r="O504" s="309"/>
      <c r="P504" s="309"/>
      <c r="Q504" s="309"/>
      <c r="R504" s="309"/>
      <c r="S504" s="309"/>
      <c r="T504" s="309"/>
      <c r="U504" s="309"/>
      <c r="V504" s="309"/>
      <c r="W504" s="309"/>
      <c r="X504" s="309"/>
    </row>
    <row r="505" hidden="1">
      <c r="A505" s="348"/>
      <c r="B505" s="488"/>
      <c r="C505" s="309"/>
      <c r="D505" s="309"/>
      <c r="E505" s="489"/>
      <c r="F505" s="309"/>
      <c r="G505" s="407"/>
      <c r="H505" s="490"/>
      <c r="I505" s="491"/>
      <c r="J505" s="492"/>
      <c r="K505" s="493"/>
      <c r="L505" s="494"/>
      <c r="M505" s="309"/>
      <c r="N505" s="309"/>
      <c r="O505" s="309"/>
      <c r="P505" s="309"/>
      <c r="Q505" s="309"/>
      <c r="R505" s="309"/>
      <c r="S505" s="309"/>
      <c r="T505" s="309"/>
      <c r="U505" s="309"/>
      <c r="V505" s="309"/>
      <c r="W505" s="309"/>
      <c r="X505" s="309"/>
    </row>
    <row r="506" hidden="1">
      <c r="A506" s="348"/>
      <c r="B506" s="488"/>
      <c r="C506" s="309"/>
      <c r="D506" s="309"/>
      <c r="E506" s="489"/>
      <c r="F506" s="309"/>
      <c r="G506" s="407"/>
      <c r="H506" s="490"/>
      <c r="I506" s="491"/>
      <c r="J506" s="492"/>
      <c r="K506" s="493"/>
      <c r="L506" s="494"/>
      <c r="M506" s="309"/>
      <c r="N506" s="309"/>
      <c r="O506" s="309"/>
      <c r="P506" s="309"/>
      <c r="Q506" s="309"/>
      <c r="R506" s="309"/>
      <c r="S506" s="309"/>
      <c r="T506" s="309"/>
      <c r="U506" s="309"/>
      <c r="V506" s="309"/>
      <c r="W506" s="309"/>
      <c r="X506" s="309"/>
    </row>
    <row r="507" hidden="1">
      <c r="A507" s="348"/>
      <c r="B507" s="488"/>
      <c r="C507" s="309"/>
      <c r="D507" s="309"/>
      <c r="E507" s="489"/>
      <c r="F507" s="309"/>
      <c r="G507" s="407"/>
      <c r="H507" s="490"/>
      <c r="I507" s="491"/>
      <c r="J507" s="492"/>
      <c r="K507" s="493"/>
      <c r="L507" s="494"/>
      <c r="M507" s="309"/>
      <c r="N507" s="309"/>
      <c r="O507" s="309"/>
      <c r="P507" s="309"/>
      <c r="Q507" s="309"/>
      <c r="R507" s="309"/>
      <c r="S507" s="309"/>
      <c r="T507" s="309"/>
      <c r="U507" s="309"/>
      <c r="V507" s="309"/>
      <c r="W507" s="309"/>
      <c r="X507" s="309"/>
    </row>
    <row r="508" hidden="1">
      <c r="A508" s="348"/>
      <c r="B508" s="488"/>
      <c r="C508" s="309"/>
      <c r="D508" s="309"/>
      <c r="E508" s="489"/>
      <c r="F508" s="309"/>
      <c r="G508" s="407"/>
      <c r="H508" s="490"/>
      <c r="I508" s="491"/>
      <c r="J508" s="492"/>
      <c r="K508" s="493"/>
      <c r="L508" s="494"/>
      <c r="M508" s="309"/>
      <c r="N508" s="309"/>
      <c r="O508" s="309"/>
      <c r="P508" s="309"/>
      <c r="Q508" s="309"/>
      <c r="R508" s="309"/>
      <c r="S508" s="309"/>
      <c r="T508" s="309"/>
      <c r="U508" s="309"/>
      <c r="V508" s="309"/>
      <c r="W508" s="309"/>
      <c r="X508" s="309"/>
    </row>
    <row r="509" hidden="1">
      <c r="A509" s="348"/>
      <c r="B509" s="488"/>
      <c r="C509" s="309"/>
      <c r="D509" s="309"/>
      <c r="E509" s="489"/>
      <c r="F509" s="309"/>
      <c r="G509" s="407"/>
      <c r="H509" s="490"/>
      <c r="I509" s="491"/>
      <c r="J509" s="492"/>
      <c r="K509" s="493"/>
      <c r="L509" s="494"/>
      <c r="M509" s="309"/>
      <c r="N509" s="309"/>
      <c r="O509" s="309"/>
      <c r="P509" s="309"/>
      <c r="Q509" s="309"/>
      <c r="R509" s="309"/>
      <c r="S509" s="309"/>
      <c r="T509" s="309"/>
      <c r="U509" s="309"/>
      <c r="V509" s="309"/>
      <c r="W509" s="309"/>
      <c r="X509" s="309"/>
    </row>
    <row r="510" hidden="1">
      <c r="A510" s="348"/>
      <c r="B510" s="488"/>
      <c r="C510" s="309"/>
      <c r="D510" s="309"/>
      <c r="E510" s="489"/>
      <c r="F510" s="309"/>
      <c r="G510" s="407"/>
      <c r="H510" s="490"/>
      <c r="I510" s="491"/>
      <c r="J510" s="492"/>
      <c r="K510" s="493"/>
      <c r="L510" s="494"/>
      <c r="M510" s="309"/>
      <c r="N510" s="309"/>
      <c r="O510" s="309"/>
      <c r="P510" s="309"/>
      <c r="Q510" s="309"/>
      <c r="R510" s="309"/>
      <c r="S510" s="309"/>
      <c r="T510" s="309"/>
      <c r="U510" s="309"/>
      <c r="V510" s="309"/>
      <c r="W510" s="309"/>
      <c r="X510" s="309"/>
    </row>
    <row r="511" hidden="1">
      <c r="A511" s="348"/>
      <c r="B511" s="488"/>
      <c r="C511" s="309"/>
      <c r="D511" s="309"/>
      <c r="E511" s="489"/>
      <c r="F511" s="309"/>
      <c r="G511" s="407"/>
      <c r="H511" s="490"/>
      <c r="I511" s="491"/>
      <c r="J511" s="492"/>
      <c r="K511" s="493"/>
      <c r="L511" s="494"/>
      <c r="M511" s="309"/>
      <c r="N511" s="309"/>
      <c r="O511" s="309"/>
      <c r="P511" s="309"/>
      <c r="Q511" s="309"/>
      <c r="R511" s="309"/>
      <c r="S511" s="309"/>
      <c r="T511" s="309"/>
      <c r="U511" s="309"/>
      <c r="V511" s="309"/>
      <c r="W511" s="309"/>
      <c r="X511" s="309"/>
    </row>
    <row r="512" hidden="1">
      <c r="A512" s="348"/>
      <c r="B512" s="488"/>
      <c r="C512" s="309"/>
      <c r="D512" s="309"/>
      <c r="E512" s="489"/>
      <c r="F512" s="309"/>
      <c r="G512" s="407"/>
      <c r="H512" s="490"/>
      <c r="I512" s="491"/>
      <c r="J512" s="492"/>
      <c r="K512" s="493"/>
      <c r="L512" s="494"/>
      <c r="M512" s="309"/>
      <c r="N512" s="309"/>
      <c r="O512" s="309"/>
      <c r="P512" s="309"/>
      <c r="Q512" s="309"/>
      <c r="R512" s="309"/>
      <c r="S512" s="309"/>
      <c r="T512" s="309"/>
      <c r="U512" s="309"/>
      <c r="V512" s="309"/>
      <c r="W512" s="309"/>
      <c r="X512" s="309"/>
    </row>
    <row r="513" hidden="1">
      <c r="A513" s="348"/>
      <c r="B513" s="488"/>
      <c r="C513" s="309"/>
      <c r="D513" s="309"/>
      <c r="E513" s="489"/>
      <c r="F513" s="309"/>
      <c r="G513" s="407"/>
      <c r="H513" s="490"/>
      <c r="I513" s="491"/>
      <c r="J513" s="492"/>
      <c r="K513" s="493"/>
      <c r="L513" s="494"/>
      <c r="M513" s="309"/>
      <c r="N513" s="309"/>
      <c r="O513" s="309"/>
      <c r="P513" s="309"/>
      <c r="Q513" s="309"/>
      <c r="R513" s="309"/>
      <c r="S513" s="309"/>
      <c r="T513" s="309"/>
      <c r="U513" s="309"/>
      <c r="V513" s="309"/>
      <c r="W513" s="309"/>
      <c r="X513" s="309"/>
    </row>
    <row r="514" hidden="1">
      <c r="A514" s="348"/>
      <c r="B514" s="488"/>
      <c r="C514" s="309"/>
      <c r="D514" s="309"/>
      <c r="E514" s="489"/>
      <c r="F514" s="309"/>
      <c r="G514" s="407"/>
      <c r="H514" s="490"/>
      <c r="I514" s="491"/>
      <c r="J514" s="492"/>
      <c r="K514" s="493"/>
      <c r="L514" s="494"/>
      <c r="M514" s="309"/>
      <c r="N514" s="309"/>
      <c r="O514" s="309"/>
      <c r="P514" s="309"/>
      <c r="Q514" s="309"/>
      <c r="R514" s="309"/>
      <c r="S514" s="309"/>
      <c r="T514" s="309"/>
      <c r="U514" s="309"/>
      <c r="V514" s="309"/>
      <c r="W514" s="309"/>
      <c r="X514" s="309"/>
    </row>
    <row r="515" hidden="1">
      <c r="A515" s="348"/>
      <c r="B515" s="488"/>
      <c r="C515" s="309"/>
      <c r="D515" s="309"/>
      <c r="E515" s="489"/>
      <c r="F515" s="309"/>
      <c r="G515" s="407"/>
      <c r="H515" s="490"/>
      <c r="I515" s="491"/>
      <c r="J515" s="492"/>
      <c r="K515" s="493"/>
      <c r="L515" s="494"/>
      <c r="M515" s="309"/>
      <c r="N515" s="309"/>
      <c r="O515" s="309"/>
      <c r="P515" s="309"/>
      <c r="Q515" s="309"/>
      <c r="R515" s="309"/>
      <c r="S515" s="309"/>
      <c r="T515" s="309"/>
      <c r="U515" s="309"/>
      <c r="V515" s="309"/>
      <c r="W515" s="309"/>
      <c r="X515" s="309"/>
    </row>
    <row r="516" hidden="1">
      <c r="A516" s="348"/>
      <c r="B516" s="488"/>
      <c r="C516" s="309"/>
      <c r="D516" s="309"/>
      <c r="E516" s="489"/>
      <c r="F516" s="309"/>
      <c r="G516" s="407"/>
      <c r="H516" s="490"/>
      <c r="I516" s="491"/>
      <c r="J516" s="492"/>
      <c r="K516" s="493"/>
      <c r="L516" s="494"/>
      <c r="M516" s="309"/>
      <c r="N516" s="309"/>
      <c r="O516" s="309"/>
      <c r="P516" s="309"/>
      <c r="Q516" s="309"/>
      <c r="R516" s="309"/>
      <c r="S516" s="309"/>
      <c r="T516" s="309"/>
      <c r="U516" s="309"/>
      <c r="V516" s="309"/>
      <c r="W516" s="309"/>
      <c r="X516" s="309"/>
    </row>
    <row r="517" hidden="1">
      <c r="A517" s="348"/>
      <c r="B517" s="488"/>
      <c r="C517" s="309"/>
      <c r="D517" s="309"/>
      <c r="E517" s="489"/>
      <c r="F517" s="309"/>
      <c r="G517" s="407"/>
      <c r="H517" s="490"/>
      <c r="I517" s="491"/>
      <c r="J517" s="492"/>
      <c r="K517" s="493"/>
      <c r="L517" s="494"/>
      <c r="M517" s="309"/>
      <c r="N517" s="309"/>
      <c r="O517" s="309"/>
      <c r="P517" s="309"/>
      <c r="Q517" s="309"/>
      <c r="R517" s="309"/>
      <c r="S517" s="309"/>
      <c r="T517" s="309"/>
      <c r="U517" s="309"/>
      <c r="V517" s="309"/>
      <c r="W517" s="309"/>
      <c r="X517" s="309"/>
    </row>
    <row r="518" hidden="1">
      <c r="A518" s="348"/>
      <c r="B518" s="488"/>
      <c r="C518" s="309"/>
      <c r="D518" s="309"/>
      <c r="E518" s="489"/>
      <c r="F518" s="309"/>
      <c r="G518" s="407"/>
      <c r="H518" s="490"/>
      <c r="I518" s="491"/>
      <c r="J518" s="492"/>
      <c r="K518" s="493"/>
      <c r="L518" s="494"/>
      <c r="M518" s="309"/>
      <c r="N518" s="309"/>
      <c r="O518" s="309"/>
      <c r="P518" s="309"/>
      <c r="Q518" s="309"/>
      <c r="R518" s="309"/>
      <c r="S518" s="309"/>
      <c r="T518" s="309"/>
      <c r="U518" s="309"/>
      <c r="V518" s="309"/>
      <c r="W518" s="309"/>
      <c r="X518" s="309"/>
    </row>
    <row r="519" hidden="1">
      <c r="A519" s="348"/>
      <c r="B519" s="488"/>
      <c r="C519" s="309"/>
      <c r="D519" s="309"/>
      <c r="E519" s="489"/>
      <c r="F519" s="309"/>
      <c r="G519" s="407"/>
      <c r="H519" s="490"/>
      <c r="I519" s="491"/>
      <c r="J519" s="492"/>
      <c r="K519" s="493"/>
      <c r="L519" s="494"/>
      <c r="M519" s="309"/>
      <c r="N519" s="309"/>
      <c r="O519" s="309"/>
      <c r="P519" s="309"/>
      <c r="Q519" s="309"/>
      <c r="R519" s="309"/>
      <c r="S519" s="309"/>
      <c r="T519" s="309"/>
      <c r="U519" s="309"/>
      <c r="V519" s="309"/>
      <c r="W519" s="309"/>
      <c r="X519" s="309"/>
    </row>
    <row r="520" hidden="1">
      <c r="A520" s="348"/>
      <c r="B520" s="488"/>
      <c r="C520" s="309"/>
      <c r="D520" s="309"/>
      <c r="E520" s="489"/>
      <c r="F520" s="309"/>
      <c r="G520" s="407"/>
      <c r="H520" s="490"/>
      <c r="I520" s="491"/>
      <c r="J520" s="492"/>
      <c r="K520" s="493"/>
      <c r="L520" s="494"/>
      <c r="M520" s="309"/>
      <c r="N520" s="309"/>
      <c r="O520" s="309"/>
      <c r="P520" s="309"/>
      <c r="Q520" s="309"/>
      <c r="R520" s="309"/>
      <c r="S520" s="309"/>
      <c r="T520" s="309"/>
      <c r="U520" s="309"/>
      <c r="V520" s="309"/>
      <c r="W520" s="309"/>
      <c r="X520" s="309"/>
    </row>
    <row r="521" hidden="1">
      <c r="A521" s="348"/>
      <c r="B521" s="488"/>
      <c r="C521" s="309"/>
      <c r="D521" s="309"/>
      <c r="E521" s="489"/>
      <c r="F521" s="309"/>
      <c r="G521" s="407"/>
      <c r="H521" s="490"/>
      <c r="I521" s="491"/>
      <c r="J521" s="492"/>
      <c r="K521" s="493"/>
      <c r="L521" s="494"/>
      <c r="M521" s="309"/>
      <c r="N521" s="309"/>
      <c r="O521" s="309"/>
      <c r="P521" s="309"/>
      <c r="Q521" s="309"/>
      <c r="R521" s="309"/>
      <c r="S521" s="309"/>
      <c r="T521" s="309"/>
      <c r="U521" s="309"/>
      <c r="V521" s="309"/>
      <c r="W521" s="309"/>
      <c r="X521" s="309"/>
    </row>
    <row r="522" hidden="1">
      <c r="A522" s="348"/>
      <c r="B522" s="488"/>
      <c r="C522" s="309"/>
      <c r="D522" s="309"/>
      <c r="E522" s="489"/>
      <c r="F522" s="309"/>
      <c r="G522" s="407"/>
      <c r="H522" s="490"/>
      <c r="I522" s="491"/>
      <c r="J522" s="492"/>
      <c r="K522" s="493"/>
      <c r="L522" s="494"/>
      <c r="M522" s="309"/>
      <c r="N522" s="309"/>
      <c r="O522" s="309"/>
      <c r="P522" s="309"/>
      <c r="Q522" s="309"/>
      <c r="R522" s="309"/>
      <c r="S522" s="309"/>
      <c r="T522" s="309"/>
      <c r="U522" s="309"/>
      <c r="V522" s="309"/>
      <c r="W522" s="309"/>
      <c r="X522" s="309"/>
    </row>
    <row r="523" hidden="1">
      <c r="A523" s="348"/>
      <c r="B523" s="488"/>
      <c r="C523" s="309"/>
      <c r="D523" s="309"/>
      <c r="E523" s="489"/>
      <c r="F523" s="309"/>
      <c r="G523" s="407"/>
      <c r="H523" s="490"/>
      <c r="I523" s="491"/>
      <c r="J523" s="492"/>
      <c r="K523" s="493"/>
      <c r="L523" s="494"/>
      <c r="M523" s="309"/>
      <c r="N523" s="309"/>
      <c r="O523" s="309"/>
      <c r="P523" s="309"/>
      <c r="Q523" s="309"/>
      <c r="R523" s="309"/>
      <c r="S523" s="309"/>
      <c r="T523" s="309"/>
      <c r="U523" s="309"/>
      <c r="V523" s="309"/>
      <c r="W523" s="309"/>
      <c r="X523" s="309"/>
    </row>
    <row r="524" hidden="1">
      <c r="A524" s="348"/>
      <c r="B524" s="488"/>
      <c r="C524" s="309"/>
      <c r="D524" s="309"/>
      <c r="E524" s="489"/>
      <c r="F524" s="309"/>
      <c r="G524" s="407"/>
      <c r="H524" s="490"/>
      <c r="I524" s="491"/>
      <c r="J524" s="492"/>
      <c r="K524" s="493"/>
      <c r="L524" s="494"/>
      <c r="M524" s="309"/>
      <c r="N524" s="309"/>
      <c r="O524" s="309"/>
      <c r="P524" s="309"/>
      <c r="Q524" s="309"/>
      <c r="R524" s="309"/>
      <c r="S524" s="309"/>
      <c r="T524" s="309"/>
      <c r="U524" s="309"/>
      <c r="V524" s="309"/>
      <c r="W524" s="309"/>
      <c r="X524" s="309"/>
    </row>
    <row r="525" hidden="1">
      <c r="A525" s="348"/>
      <c r="B525" s="488"/>
      <c r="C525" s="309"/>
      <c r="D525" s="309"/>
      <c r="E525" s="489"/>
      <c r="F525" s="309"/>
      <c r="G525" s="407"/>
      <c r="H525" s="490"/>
      <c r="I525" s="491"/>
      <c r="J525" s="492"/>
      <c r="K525" s="493"/>
      <c r="L525" s="494"/>
      <c r="M525" s="309"/>
      <c r="N525" s="309"/>
      <c r="O525" s="309"/>
      <c r="P525" s="309"/>
      <c r="Q525" s="309"/>
      <c r="R525" s="309"/>
      <c r="S525" s="309"/>
      <c r="T525" s="309"/>
      <c r="U525" s="309"/>
      <c r="V525" s="309"/>
      <c r="W525" s="309"/>
      <c r="X525" s="309"/>
    </row>
    <row r="526" hidden="1">
      <c r="A526" s="348"/>
      <c r="B526" s="488"/>
      <c r="C526" s="309"/>
      <c r="D526" s="309"/>
      <c r="E526" s="489"/>
      <c r="F526" s="309"/>
      <c r="G526" s="407"/>
      <c r="H526" s="490"/>
      <c r="I526" s="491"/>
      <c r="J526" s="492"/>
      <c r="K526" s="493"/>
      <c r="L526" s="494"/>
      <c r="M526" s="309"/>
      <c r="N526" s="309"/>
      <c r="O526" s="309"/>
      <c r="P526" s="309"/>
      <c r="Q526" s="309"/>
      <c r="R526" s="309"/>
      <c r="S526" s="309"/>
      <c r="T526" s="309"/>
      <c r="U526" s="309"/>
      <c r="V526" s="309"/>
      <c r="W526" s="309"/>
      <c r="X526" s="309"/>
    </row>
    <row r="527" hidden="1">
      <c r="A527" s="348"/>
      <c r="B527" s="488"/>
      <c r="C527" s="309"/>
      <c r="D527" s="309"/>
      <c r="E527" s="489"/>
      <c r="F527" s="309"/>
      <c r="G527" s="407"/>
      <c r="H527" s="490"/>
      <c r="I527" s="491"/>
      <c r="J527" s="492"/>
      <c r="K527" s="493"/>
      <c r="L527" s="494"/>
      <c r="M527" s="309"/>
      <c r="N527" s="309"/>
      <c r="O527" s="309"/>
      <c r="P527" s="309"/>
      <c r="Q527" s="309"/>
      <c r="R527" s="309"/>
      <c r="S527" s="309"/>
      <c r="T527" s="309"/>
      <c r="U527" s="309"/>
      <c r="V527" s="309"/>
      <c r="W527" s="309"/>
      <c r="X527" s="309"/>
    </row>
    <row r="528" hidden="1">
      <c r="A528" s="348"/>
      <c r="B528" s="488"/>
      <c r="C528" s="309"/>
      <c r="D528" s="309"/>
      <c r="E528" s="489"/>
      <c r="F528" s="309"/>
      <c r="G528" s="407"/>
      <c r="H528" s="490"/>
      <c r="I528" s="491"/>
      <c r="J528" s="492"/>
      <c r="K528" s="493"/>
      <c r="L528" s="494"/>
      <c r="M528" s="309"/>
      <c r="N528" s="309"/>
      <c r="O528" s="309"/>
      <c r="P528" s="309"/>
      <c r="Q528" s="309"/>
      <c r="R528" s="309"/>
      <c r="S528" s="309"/>
      <c r="T528" s="309"/>
      <c r="U528" s="309"/>
      <c r="V528" s="309"/>
      <c r="W528" s="309"/>
      <c r="X528" s="309"/>
    </row>
    <row r="529" hidden="1">
      <c r="A529" s="348"/>
      <c r="B529" s="488"/>
      <c r="C529" s="309"/>
      <c r="D529" s="309"/>
      <c r="E529" s="489"/>
      <c r="F529" s="309"/>
      <c r="G529" s="407"/>
      <c r="H529" s="490"/>
      <c r="I529" s="491"/>
      <c r="J529" s="492"/>
      <c r="K529" s="493"/>
      <c r="L529" s="494"/>
      <c r="M529" s="309"/>
      <c r="N529" s="309"/>
      <c r="O529" s="309"/>
      <c r="P529" s="309"/>
      <c r="Q529" s="309"/>
      <c r="R529" s="309"/>
      <c r="S529" s="309"/>
      <c r="T529" s="309"/>
      <c r="U529" s="309"/>
      <c r="V529" s="309"/>
      <c r="W529" s="309"/>
      <c r="X529" s="309"/>
    </row>
    <row r="530" hidden="1">
      <c r="A530" s="348"/>
      <c r="B530" s="488"/>
      <c r="C530" s="309"/>
      <c r="D530" s="309"/>
      <c r="E530" s="489"/>
      <c r="F530" s="309"/>
      <c r="G530" s="407"/>
      <c r="H530" s="490"/>
      <c r="I530" s="491"/>
      <c r="J530" s="492"/>
      <c r="K530" s="493"/>
      <c r="L530" s="494"/>
      <c r="M530" s="309"/>
      <c r="N530" s="309"/>
      <c r="O530" s="309"/>
      <c r="P530" s="309"/>
      <c r="Q530" s="309"/>
      <c r="R530" s="309"/>
      <c r="S530" s="309"/>
      <c r="T530" s="309"/>
      <c r="U530" s="309"/>
      <c r="V530" s="309"/>
      <c r="W530" s="309"/>
      <c r="X530" s="309"/>
    </row>
    <row r="531" hidden="1">
      <c r="A531" s="348"/>
      <c r="B531" s="488"/>
      <c r="C531" s="309"/>
      <c r="D531" s="309"/>
      <c r="E531" s="489"/>
      <c r="F531" s="309"/>
      <c r="G531" s="407"/>
      <c r="H531" s="490"/>
      <c r="I531" s="491"/>
      <c r="J531" s="492"/>
      <c r="K531" s="493"/>
      <c r="L531" s="494"/>
      <c r="M531" s="309"/>
      <c r="N531" s="309"/>
      <c r="O531" s="309"/>
      <c r="P531" s="309"/>
      <c r="Q531" s="309"/>
      <c r="R531" s="309"/>
      <c r="S531" s="309"/>
      <c r="T531" s="309"/>
      <c r="U531" s="309"/>
      <c r="V531" s="309"/>
      <c r="W531" s="309"/>
      <c r="X531" s="309"/>
    </row>
    <row r="532" hidden="1">
      <c r="A532" s="348"/>
      <c r="B532" s="488"/>
      <c r="C532" s="309"/>
      <c r="D532" s="309"/>
      <c r="E532" s="489"/>
      <c r="F532" s="309"/>
      <c r="G532" s="407"/>
      <c r="H532" s="490"/>
      <c r="I532" s="491"/>
      <c r="J532" s="492"/>
      <c r="K532" s="493"/>
      <c r="L532" s="494"/>
      <c r="M532" s="309"/>
      <c r="N532" s="309"/>
      <c r="O532" s="309"/>
      <c r="P532" s="309"/>
      <c r="Q532" s="309"/>
      <c r="R532" s="309"/>
      <c r="S532" s="309"/>
      <c r="T532" s="309"/>
      <c r="U532" s="309"/>
      <c r="V532" s="309"/>
      <c r="W532" s="309"/>
      <c r="X532" s="309"/>
    </row>
    <row r="533" hidden="1">
      <c r="A533" s="348"/>
      <c r="B533" s="488"/>
      <c r="C533" s="309"/>
      <c r="D533" s="309"/>
      <c r="E533" s="489"/>
      <c r="F533" s="309"/>
      <c r="G533" s="407"/>
      <c r="H533" s="490"/>
      <c r="I533" s="491"/>
      <c r="J533" s="492"/>
      <c r="K533" s="493"/>
      <c r="L533" s="494"/>
      <c r="M533" s="309"/>
      <c r="N533" s="309"/>
      <c r="O533" s="309"/>
      <c r="P533" s="309"/>
      <c r="Q533" s="309"/>
      <c r="R533" s="309"/>
      <c r="S533" s="309"/>
      <c r="T533" s="309"/>
      <c r="U533" s="309"/>
      <c r="V533" s="309"/>
      <c r="W533" s="309"/>
      <c r="X533" s="309"/>
    </row>
    <row r="534" hidden="1">
      <c r="A534" s="348"/>
      <c r="B534" s="488"/>
      <c r="C534" s="309"/>
      <c r="D534" s="309"/>
      <c r="E534" s="489"/>
      <c r="F534" s="309"/>
      <c r="G534" s="407"/>
      <c r="H534" s="490"/>
      <c r="I534" s="491"/>
      <c r="J534" s="492"/>
      <c r="K534" s="493"/>
      <c r="L534" s="494"/>
      <c r="M534" s="309"/>
      <c r="N534" s="309"/>
      <c r="O534" s="309"/>
      <c r="P534" s="309"/>
      <c r="Q534" s="309"/>
      <c r="R534" s="309"/>
      <c r="S534" s="309"/>
      <c r="T534" s="309"/>
      <c r="U534" s="309"/>
      <c r="V534" s="309"/>
      <c r="W534" s="309"/>
      <c r="X534" s="309"/>
    </row>
    <row r="535" hidden="1">
      <c r="A535" s="348"/>
      <c r="B535" s="488"/>
      <c r="C535" s="309"/>
      <c r="D535" s="309"/>
      <c r="E535" s="489"/>
      <c r="F535" s="309"/>
      <c r="G535" s="407"/>
      <c r="H535" s="490"/>
      <c r="I535" s="491"/>
      <c r="J535" s="492"/>
      <c r="K535" s="493"/>
      <c r="L535" s="494"/>
      <c r="M535" s="309"/>
      <c r="N535" s="309"/>
      <c r="O535" s="309"/>
      <c r="P535" s="309"/>
      <c r="Q535" s="309"/>
      <c r="R535" s="309"/>
      <c r="S535" s="309"/>
      <c r="T535" s="309"/>
      <c r="U535" s="309"/>
      <c r="V535" s="309"/>
      <c r="W535" s="309"/>
      <c r="X535" s="309"/>
    </row>
    <row r="536" hidden="1">
      <c r="A536" s="348"/>
      <c r="B536" s="488"/>
      <c r="C536" s="309"/>
      <c r="D536" s="309"/>
      <c r="E536" s="489"/>
      <c r="F536" s="309"/>
      <c r="G536" s="407"/>
      <c r="H536" s="490"/>
      <c r="I536" s="491"/>
      <c r="J536" s="492"/>
      <c r="K536" s="493"/>
      <c r="L536" s="494"/>
      <c r="M536" s="309"/>
      <c r="N536" s="309"/>
      <c r="O536" s="309"/>
      <c r="P536" s="309"/>
      <c r="Q536" s="309"/>
      <c r="R536" s="309"/>
      <c r="S536" s="309"/>
      <c r="T536" s="309"/>
      <c r="U536" s="309"/>
      <c r="V536" s="309"/>
      <c r="W536" s="309"/>
      <c r="X536" s="309"/>
    </row>
    <row r="537" hidden="1">
      <c r="A537" s="348"/>
      <c r="B537" s="488"/>
      <c r="C537" s="309"/>
      <c r="D537" s="309"/>
      <c r="E537" s="489"/>
      <c r="F537" s="309"/>
      <c r="G537" s="407"/>
      <c r="H537" s="490"/>
      <c r="I537" s="491"/>
      <c r="J537" s="492"/>
      <c r="K537" s="493"/>
      <c r="L537" s="494"/>
      <c r="M537" s="309"/>
      <c r="N537" s="309"/>
      <c r="O537" s="309"/>
      <c r="P537" s="309"/>
      <c r="Q537" s="309"/>
      <c r="R537" s="309"/>
      <c r="S537" s="309"/>
      <c r="T537" s="309"/>
      <c r="U537" s="309"/>
      <c r="V537" s="309"/>
      <c r="W537" s="309"/>
      <c r="X537" s="309"/>
    </row>
    <row r="538" hidden="1">
      <c r="A538" s="348"/>
      <c r="B538" s="488"/>
      <c r="C538" s="309"/>
      <c r="D538" s="309"/>
      <c r="E538" s="489"/>
      <c r="F538" s="309"/>
      <c r="G538" s="407"/>
      <c r="H538" s="490"/>
      <c r="I538" s="491"/>
      <c r="J538" s="492"/>
      <c r="K538" s="493"/>
      <c r="L538" s="494"/>
      <c r="M538" s="309"/>
      <c r="N538" s="309"/>
      <c r="O538" s="309"/>
      <c r="P538" s="309"/>
      <c r="Q538" s="309"/>
      <c r="R538" s="309"/>
      <c r="S538" s="309"/>
      <c r="T538" s="309"/>
      <c r="U538" s="309"/>
      <c r="V538" s="309"/>
      <c r="W538" s="309"/>
      <c r="X538" s="309"/>
    </row>
    <row r="539" hidden="1">
      <c r="A539" s="348"/>
      <c r="B539" s="488"/>
      <c r="C539" s="309"/>
      <c r="D539" s="309"/>
      <c r="E539" s="489"/>
      <c r="F539" s="309"/>
      <c r="G539" s="407"/>
      <c r="H539" s="490"/>
      <c r="I539" s="491"/>
      <c r="J539" s="492"/>
      <c r="K539" s="493"/>
      <c r="L539" s="494"/>
      <c r="M539" s="309"/>
      <c r="N539" s="309"/>
      <c r="O539" s="309"/>
      <c r="P539" s="309"/>
      <c r="Q539" s="309"/>
      <c r="R539" s="309"/>
      <c r="S539" s="309"/>
      <c r="T539" s="309"/>
      <c r="U539" s="309"/>
      <c r="V539" s="309"/>
      <c r="W539" s="309"/>
      <c r="X539" s="309"/>
    </row>
    <row r="540" hidden="1">
      <c r="A540" s="348"/>
      <c r="B540" s="488"/>
      <c r="C540" s="309"/>
      <c r="D540" s="309"/>
      <c r="E540" s="489"/>
      <c r="F540" s="309"/>
      <c r="G540" s="407"/>
      <c r="H540" s="490"/>
      <c r="I540" s="491"/>
      <c r="J540" s="492"/>
      <c r="K540" s="493"/>
      <c r="L540" s="494"/>
      <c r="M540" s="309"/>
      <c r="N540" s="309"/>
      <c r="O540" s="309"/>
      <c r="P540" s="309"/>
      <c r="Q540" s="309"/>
      <c r="R540" s="309"/>
      <c r="S540" s="309"/>
      <c r="T540" s="309"/>
      <c r="U540" s="309"/>
      <c r="V540" s="309"/>
      <c r="W540" s="309"/>
      <c r="X540" s="309"/>
    </row>
    <row r="541" hidden="1">
      <c r="A541" s="348"/>
      <c r="B541" s="488"/>
      <c r="C541" s="309"/>
      <c r="D541" s="309"/>
      <c r="E541" s="489"/>
      <c r="F541" s="309"/>
      <c r="G541" s="407"/>
      <c r="H541" s="490"/>
      <c r="I541" s="491"/>
      <c r="J541" s="492"/>
      <c r="K541" s="493"/>
      <c r="L541" s="494"/>
      <c r="M541" s="309"/>
      <c r="N541" s="309"/>
      <c r="O541" s="309"/>
      <c r="P541" s="309"/>
      <c r="Q541" s="309"/>
      <c r="R541" s="309"/>
      <c r="S541" s="309"/>
      <c r="T541" s="309"/>
      <c r="U541" s="309"/>
      <c r="V541" s="309"/>
      <c r="W541" s="309"/>
      <c r="X541" s="309"/>
    </row>
    <row r="542" hidden="1">
      <c r="A542" s="348"/>
      <c r="B542" s="488"/>
      <c r="C542" s="309"/>
      <c r="D542" s="309"/>
      <c r="E542" s="489"/>
      <c r="F542" s="309"/>
      <c r="G542" s="407"/>
      <c r="H542" s="490"/>
      <c r="I542" s="491"/>
      <c r="J542" s="492"/>
      <c r="K542" s="493"/>
      <c r="L542" s="494"/>
      <c r="M542" s="309"/>
      <c r="N542" s="309"/>
      <c r="O542" s="309"/>
      <c r="P542" s="309"/>
      <c r="Q542" s="309"/>
      <c r="R542" s="309"/>
      <c r="S542" s="309"/>
      <c r="T542" s="309"/>
      <c r="U542" s="309"/>
      <c r="V542" s="309"/>
      <c r="W542" s="309"/>
      <c r="X542" s="309"/>
    </row>
    <row r="543" hidden="1">
      <c r="A543" s="348"/>
      <c r="B543" s="488"/>
      <c r="C543" s="309"/>
      <c r="D543" s="309"/>
      <c r="E543" s="489"/>
      <c r="F543" s="309"/>
      <c r="G543" s="407"/>
      <c r="H543" s="490"/>
      <c r="I543" s="491"/>
      <c r="J543" s="492"/>
      <c r="K543" s="493"/>
      <c r="L543" s="494"/>
      <c r="M543" s="309"/>
      <c r="N543" s="309"/>
      <c r="O543" s="309"/>
      <c r="P543" s="309"/>
      <c r="Q543" s="309"/>
      <c r="R543" s="309"/>
      <c r="S543" s="309"/>
      <c r="T543" s="309"/>
      <c r="U543" s="309"/>
      <c r="V543" s="309"/>
      <c r="W543" s="309"/>
      <c r="X543" s="309"/>
    </row>
    <row r="544" hidden="1">
      <c r="A544" s="348"/>
      <c r="B544" s="488"/>
      <c r="C544" s="309"/>
      <c r="D544" s="309"/>
      <c r="E544" s="489"/>
      <c r="F544" s="309"/>
      <c r="G544" s="407"/>
      <c r="H544" s="490"/>
      <c r="I544" s="491"/>
      <c r="J544" s="492"/>
      <c r="K544" s="493"/>
      <c r="L544" s="494"/>
      <c r="M544" s="309"/>
      <c r="N544" s="309"/>
      <c r="O544" s="309"/>
      <c r="P544" s="309"/>
      <c r="Q544" s="309"/>
      <c r="R544" s="309"/>
      <c r="S544" s="309"/>
      <c r="T544" s="309"/>
      <c r="U544" s="309"/>
      <c r="V544" s="309"/>
      <c r="W544" s="309"/>
      <c r="X544" s="309"/>
    </row>
    <row r="545" hidden="1">
      <c r="A545" s="348"/>
      <c r="B545" s="488"/>
      <c r="C545" s="309"/>
      <c r="D545" s="309"/>
      <c r="E545" s="489"/>
      <c r="F545" s="309"/>
      <c r="G545" s="407"/>
      <c r="H545" s="490"/>
      <c r="I545" s="491"/>
      <c r="J545" s="492"/>
      <c r="K545" s="493"/>
      <c r="L545" s="494"/>
      <c r="M545" s="309"/>
      <c r="N545" s="309"/>
      <c r="O545" s="309"/>
      <c r="P545" s="309"/>
      <c r="Q545" s="309"/>
      <c r="R545" s="309"/>
      <c r="S545" s="309"/>
      <c r="T545" s="309"/>
      <c r="U545" s="309"/>
      <c r="V545" s="309"/>
      <c r="W545" s="309"/>
      <c r="X545" s="309"/>
    </row>
    <row r="546" hidden="1">
      <c r="A546" s="348"/>
      <c r="B546" s="488"/>
      <c r="C546" s="309"/>
      <c r="D546" s="309"/>
      <c r="E546" s="489"/>
      <c r="F546" s="309"/>
      <c r="G546" s="407"/>
      <c r="H546" s="490"/>
      <c r="I546" s="491"/>
      <c r="J546" s="492"/>
      <c r="K546" s="493"/>
      <c r="L546" s="494"/>
      <c r="M546" s="309"/>
      <c r="N546" s="309"/>
      <c r="O546" s="309"/>
      <c r="P546" s="309"/>
      <c r="Q546" s="309"/>
      <c r="R546" s="309"/>
      <c r="S546" s="309"/>
      <c r="T546" s="309"/>
      <c r="U546" s="309"/>
      <c r="V546" s="309"/>
      <c r="W546" s="309"/>
      <c r="X546" s="309"/>
    </row>
    <row r="547" hidden="1">
      <c r="A547" s="348"/>
      <c r="B547" s="488"/>
      <c r="C547" s="309"/>
      <c r="D547" s="309"/>
      <c r="E547" s="489"/>
      <c r="F547" s="309"/>
      <c r="G547" s="407"/>
      <c r="H547" s="490"/>
      <c r="I547" s="491"/>
      <c r="J547" s="492"/>
      <c r="K547" s="493"/>
      <c r="L547" s="494"/>
      <c r="M547" s="309"/>
      <c r="N547" s="309"/>
      <c r="O547" s="309"/>
      <c r="P547" s="309"/>
      <c r="Q547" s="309"/>
      <c r="R547" s="309"/>
      <c r="S547" s="309"/>
      <c r="T547" s="309"/>
      <c r="U547" s="309"/>
      <c r="V547" s="309"/>
      <c r="W547" s="309"/>
      <c r="X547" s="309"/>
    </row>
    <row r="548" hidden="1">
      <c r="A548" s="348"/>
      <c r="B548" s="488"/>
      <c r="C548" s="309"/>
      <c r="D548" s="309"/>
      <c r="E548" s="489"/>
      <c r="F548" s="309"/>
      <c r="G548" s="407"/>
      <c r="H548" s="490"/>
      <c r="I548" s="491"/>
      <c r="J548" s="492"/>
      <c r="K548" s="493"/>
      <c r="L548" s="494"/>
      <c r="M548" s="309"/>
      <c r="N548" s="309"/>
      <c r="O548" s="309"/>
      <c r="P548" s="309"/>
      <c r="Q548" s="309"/>
      <c r="R548" s="309"/>
      <c r="S548" s="309"/>
      <c r="T548" s="309"/>
      <c r="U548" s="309"/>
      <c r="V548" s="309"/>
      <c r="W548" s="309"/>
      <c r="X548" s="309"/>
    </row>
    <row r="549" hidden="1">
      <c r="A549" s="348"/>
      <c r="B549" s="488"/>
      <c r="C549" s="309"/>
      <c r="D549" s="309"/>
      <c r="E549" s="489"/>
      <c r="F549" s="309"/>
      <c r="G549" s="407"/>
      <c r="H549" s="490"/>
      <c r="I549" s="491"/>
      <c r="J549" s="492"/>
      <c r="K549" s="493"/>
      <c r="L549" s="494"/>
      <c r="M549" s="309"/>
      <c r="N549" s="309"/>
      <c r="O549" s="309"/>
      <c r="P549" s="309"/>
      <c r="Q549" s="309"/>
      <c r="R549" s="309"/>
      <c r="S549" s="309"/>
      <c r="T549" s="309"/>
      <c r="U549" s="309"/>
      <c r="V549" s="309"/>
      <c r="W549" s="309"/>
      <c r="X549" s="309"/>
    </row>
    <row r="550" hidden="1">
      <c r="A550" s="348"/>
      <c r="B550" s="488"/>
      <c r="C550" s="309"/>
      <c r="D550" s="309"/>
      <c r="E550" s="489"/>
      <c r="F550" s="309"/>
      <c r="G550" s="407"/>
      <c r="H550" s="490"/>
      <c r="I550" s="491"/>
      <c r="J550" s="492"/>
      <c r="K550" s="493"/>
      <c r="L550" s="494"/>
      <c r="M550" s="309"/>
      <c r="N550" s="309"/>
      <c r="O550" s="309"/>
      <c r="P550" s="309"/>
      <c r="Q550" s="309"/>
      <c r="R550" s="309"/>
      <c r="S550" s="309"/>
      <c r="T550" s="309"/>
      <c r="U550" s="309"/>
      <c r="V550" s="309"/>
      <c r="W550" s="309"/>
      <c r="X550" s="309"/>
    </row>
    <row r="551" hidden="1">
      <c r="A551" s="348"/>
      <c r="B551" s="488"/>
      <c r="C551" s="309"/>
      <c r="D551" s="309"/>
      <c r="E551" s="489"/>
      <c r="F551" s="309"/>
      <c r="G551" s="407"/>
      <c r="H551" s="490"/>
      <c r="I551" s="491"/>
      <c r="J551" s="492"/>
      <c r="K551" s="493"/>
      <c r="L551" s="494"/>
      <c r="M551" s="309"/>
      <c r="N551" s="309"/>
      <c r="O551" s="309"/>
      <c r="P551" s="309"/>
      <c r="Q551" s="309"/>
      <c r="R551" s="309"/>
      <c r="S551" s="309"/>
      <c r="T551" s="309"/>
      <c r="U551" s="309"/>
      <c r="V551" s="309"/>
      <c r="W551" s="309"/>
      <c r="X551" s="309"/>
    </row>
    <row r="552" hidden="1">
      <c r="A552" s="348"/>
      <c r="B552" s="488"/>
      <c r="C552" s="309"/>
      <c r="D552" s="309"/>
      <c r="E552" s="489"/>
      <c r="F552" s="309"/>
      <c r="G552" s="407"/>
      <c r="H552" s="490"/>
      <c r="I552" s="491"/>
      <c r="J552" s="492"/>
      <c r="K552" s="493"/>
      <c r="L552" s="494"/>
      <c r="M552" s="309"/>
      <c r="N552" s="309"/>
      <c r="O552" s="309"/>
      <c r="P552" s="309"/>
      <c r="Q552" s="309"/>
      <c r="R552" s="309"/>
      <c r="S552" s="309"/>
      <c r="T552" s="309"/>
      <c r="U552" s="309"/>
      <c r="V552" s="309"/>
      <c r="W552" s="309"/>
      <c r="X552" s="309"/>
    </row>
    <row r="553" hidden="1">
      <c r="A553" s="348"/>
      <c r="B553" s="488"/>
      <c r="C553" s="309"/>
      <c r="D553" s="309"/>
      <c r="E553" s="489"/>
      <c r="F553" s="309"/>
      <c r="G553" s="407"/>
      <c r="H553" s="490"/>
      <c r="I553" s="491"/>
      <c r="J553" s="492"/>
      <c r="K553" s="493"/>
      <c r="L553" s="494"/>
      <c r="M553" s="309"/>
      <c r="N553" s="309"/>
      <c r="O553" s="309"/>
      <c r="P553" s="309"/>
      <c r="Q553" s="309"/>
      <c r="R553" s="309"/>
      <c r="S553" s="309"/>
      <c r="T553" s="309"/>
      <c r="U553" s="309"/>
      <c r="V553" s="309"/>
      <c r="W553" s="309"/>
      <c r="X553" s="309"/>
    </row>
    <row r="554" hidden="1">
      <c r="A554" s="348"/>
      <c r="B554" s="488"/>
      <c r="C554" s="309"/>
      <c r="D554" s="309"/>
      <c r="E554" s="489"/>
      <c r="F554" s="309"/>
      <c r="G554" s="407"/>
      <c r="H554" s="490"/>
      <c r="I554" s="491"/>
      <c r="J554" s="492"/>
      <c r="K554" s="493"/>
      <c r="L554" s="494"/>
      <c r="M554" s="309"/>
      <c r="N554" s="309"/>
      <c r="O554" s="309"/>
      <c r="P554" s="309"/>
      <c r="Q554" s="309"/>
      <c r="R554" s="309"/>
      <c r="S554" s="309"/>
      <c r="T554" s="309"/>
      <c r="U554" s="309"/>
      <c r="V554" s="309"/>
      <c r="W554" s="309"/>
      <c r="X554" s="309"/>
    </row>
    <row r="555" hidden="1">
      <c r="A555" s="348"/>
      <c r="B555" s="488"/>
      <c r="C555" s="309"/>
      <c r="D555" s="309"/>
      <c r="E555" s="489"/>
      <c r="F555" s="309"/>
      <c r="G555" s="407"/>
      <c r="H555" s="490"/>
      <c r="I555" s="491"/>
      <c r="J555" s="492"/>
      <c r="K555" s="493"/>
      <c r="L555" s="494"/>
      <c r="M555" s="309"/>
      <c r="N555" s="309"/>
      <c r="O555" s="309"/>
      <c r="P555" s="309"/>
      <c r="Q555" s="309"/>
      <c r="R555" s="309"/>
      <c r="S555" s="309"/>
      <c r="T555" s="309"/>
      <c r="U555" s="309"/>
      <c r="V555" s="309"/>
      <c r="W555" s="309"/>
      <c r="X555" s="309"/>
    </row>
    <row r="556" hidden="1">
      <c r="A556" s="348"/>
      <c r="B556" s="488"/>
      <c r="C556" s="309"/>
      <c r="D556" s="309"/>
      <c r="E556" s="489"/>
      <c r="F556" s="309"/>
      <c r="G556" s="407"/>
      <c r="H556" s="490"/>
      <c r="I556" s="491"/>
      <c r="J556" s="492"/>
      <c r="K556" s="493"/>
      <c r="L556" s="494"/>
      <c r="M556" s="309"/>
      <c r="N556" s="309"/>
      <c r="O556" s="309"/>
      <c r="P556" s="309"/>
      <c r="Q556" s="309"/>
      <c r="R556" s="309"/>
      <c r="S556" s="309"/>
      <c r="T556" s="309"/>
      <c r="U556" s="309"/>
      <c r="V556" s="309"/>
      <c r="W556" s="309"/>
      <c r="X556" s="309"/>
    </row>
    <row r="557" hidden="1">
      <c r="A557" s="348"/>
      <c r="B557" s="488"/>
      <c r="C557" s="309"/>
      <c r="D557" s="309"/>
      <c r="E557" s="489"/>
      <c r="F557" s="309"/>
      <c r="G557" s="407"/>
      <c r="H557" s="490"/>
      <c r="I557" s="491"/>
      <c r="J557" s="492"/>
      <c r="K557" s="493"/>
      <c r="L557" s="494"/>
      <c r="M557" s="309"/>
      <c r="N557" s="309"/>
      <c r="O557" s="309"/>
      <c r="P557" s="309"/>
      <c r="Q557" s="309"/>
      <c r="R557" s="309"/>
      <c r="S557" s="309"/>
      <c r="T557" s="309"/>
      <c r="U557" s="309"/>
      <c r="V557" s="309"/>
      <c r="W557" s="309"/>
      <c r="X557" s="309"/>
    </row>
    <row r="558" hidden="1">
      <c r="A558" s="348"/>
      <c r="B558" s="488"/>
      <c r="C558" s="309"/>
      <c r="D558" s="309"/>
      <c r="E558" s="489"/>
      <c r="F558" s="309"/>
      <c r="G558" s="407"/>
      <c r="H558" s="490"/>
      <c r="I558" s="491"/>
      <c r="J558" s="492"/>
      <c r="K558" s="493"/>
      <c r="L558" s="494"/>
      <c r="M558" s="309"/>
      <c r="N558" s="309"/>
      <c r="O558" s="309"/>
      <c r="P558" s="309"/>
      <c r="Q558" s="309"/>
      <c r="R558" s="309"/>
      <c r="S558" s="309"/>
      <c r="T558" s="309"/>
      <c r="U558" s="309"/>
      <c r="V558" s="309"/>
      <c r="W558" s="309"/>
      <c r="X558" s="309"/>
    </row>
    <row r="559" hidden="1">
      <c r="A559" s="348"/>
      <c r="B559" s="488"/>
      <c r="C559" s="309"/>
      <c r="D559" s="309"/>
      <c r="E559" s="489"/>
      <c r="F559" s="309"/>
      <c r="G559" s="407"/>
      <c r="H559" s="490"/>
      <c r="I559" s="491"/>
      <c r="J559" s="492"/>
      <c r="K559" s="493"/>
      <c r="L559" s="494"/>
      <c r="M559" s="309"/>
      <c r="N559" s="309"/>
      <c r="O559" s="309"/>
      <c r="P559" s="309"/>
      <c r="Q559" s="309"/>
      <c r="R559" s="309"/>
      <c r="S559" s="309"/>
      <c r="T559" s="309"/>
      <c r="U559" s="309"/>
      <c r="V559" s="309"/>
      <c r="W559" s="309"/>
      <c r="X559" s="309"/>
    </row>
    <row r="560" hidden="1">
      <c r="A560" s="348"/>
      <c r="B560" s="488"/>
      <c r="C560" s="309"/>
      <c r="D560" s="309"/>
      <c r="E560" s="489"/>
      <c r="F560" s="309"/>
      <c r="G560" s="407"/>
      <c r="H560" s="490"/>
      <c r="I560" s="491"/>
      <c r="J560" s="492"/>
      <c r="K560" s="493"/>
      <c r="L560" s="494"/>
      <c r="M560" s="309"/>
      <c r="N560" s="309"/>
      <c r="O560" s="309"/>
      <c r="P560" s="309"/>
      <c r="Q560" s="309"/>
      <c r="R560" s="309"/>
      <c r="S560" s="309"/>
      <c r="T560" s="309"/>
      <c r="U560" s="309"/>
      <c r="V560" s="309"/>
      <c r="W560" s="309"/>
      <c r="X560" s="309"/>
    </row>
    <row r="561" hidden="1">
      <c r="A561" s="348"/>
      <c r="B561" s="488"/>
      <c r="C561" s="309"/>
      <c r="D561" s="309"/>
      <c r="E561" s="489"/>
      <c r="F561" s="309"/>
      <c r="G561" s="407"/>
      <c r="H561" s="490"/>
      <c r="I561" s="491"/>
      <c r="J561" s="492"/>
      <c r="K561" s="493"/>
      <c r="L561" s="494"/>
      <c r="M561" s="309"/>
      <c r="N561" s="309"/>
      <c r="O561" s="309"/>
      <c r="P561" s="309"/>
      <c r="Q561" s="309"/>
      <c r="R561" s="309"/>
      <c r="S561" s="309"/>
      <c r="T561" s="309"/>
      <c r="U561" s="309"/>
      <c r="V561" s="309"/>
      <c r="W561" s="309"/>
      <c r="X561" s="309"/>
    </row>
    <row r="562" hidden="1">
      <c r="A562" s="348"/>
      <c r="B562" s="488"/>
      <c r="C562" s="309"/>
      <c r="D562" s="309"/>
      <c r="E562" s="489"/>
      <c r="F562" s="309"/>
      <c r="G562" s="407"/>
      <c r="H562" s="490"/>
      <c r="I562" s="491"/>
      <c r="J562" s="492"/>
      <c r="K562" s="493"/>
      <c r="L562" s="494"/>
      <c r="M562" s="309"/>
      <c r="N562" s="309"/>
      <c r="O562" s="309"/>
      <c r="P562" s="309"/>
      <c r="Q562" s="309"/>
      <c r="R562" s="309"/>
      <c r="S562" s="309"/>
      <c r="T562" s="309"/>
      <c r="U562" s="309"/>
      <c r="V562" s="309"/>
      <c r="W562" s="309"/>
      <c r="X562" s="309"/>
    </row>
    <row r="563" hidden="1">
      <c r="A563" s="348"/>
      <c r="B563" s="488"/>
      <c r="C563" s="309"/>
      <c r="D563" s="309"/>
      <c r="E563" s="489"/>
      <c r="F563" s="309"/>
      <c r="G563" s="407"/>
      <c r="H563" s="490"/>
      <c r="I563" s="491"/>
      <c r="J563" s="492"/>
      <c r="K563" s="493"/>
      <c r="L563" s="494"/>
      <c r="M563" s="309"/>
      <c r="N563" s="309"/>
      <c r="O563" s="309"/>
      <c r="P563" s="309"/>
      <c r="Q563" s="309"/>
      <c r="R563" s="309"/>
      <c r="S563" s="309"/>
      <c r="T563" s="309"/>
      <c r="U563" s="309"/>
      <c r="V563" s="309"/>
      <c r="W563" s="309"/>
      <c r="X563" s="309"/>
    </row>
    <row r="564" hidden="1">
      <c r="A564" s="348"/>
      <c r="B564" s="488"/>
      <c r="C564" s="309"/>
      <c r="D564" s="309"/>
      <c r="E564" s="489"/>
      <c r="F564" s="309"/>
      <c r="G564" s="407"/>
      <c r="H564" s="490"/>
      <c r="I564" s="491"/>
      <c r="J564" s="492"/>
      <c r="K564" s="493"/>
      <c r="L564" s="494"/>
      <c r="M564" s="309"/>
      <c r="N564" s="309"/>
      <c r="O564" s="309"/>
      <c r="P564" s="309"/>
      <c r="Q564" s="309"/>
      <c r="R564" s="309"/>
      <c r="S564" s="309"/>
      <c r="T564" s="309"/>
      <c r="U564" s="309"/>
      <c r="V564" s="309"/>
      <c r="W564" s="309"/>
      <c r="X564" s="309"/>
    </row>
    <row r="565" hidden="1">
      <c r="A565" s="348"/>
      <c r="B565" s="488"/>
      <c r="C565" s="309"/>
      <c r="D565" s="309"/>
      <c r="E565" s="489"/>
      <c r="F565" s="309"/>
      <c r="G565" s="407"/>
      <c r="H565" s="490"/>
      <c r="I565" s="491"/>
      <c r="J565" s="492"/>
      <c r="K565" s="493"/>
      <c r="L565" s="494"/>
      <c r="M565" s="309"/>
      <c r="N565" s="309"/>
      <c r="O565" s="309"/>
      <c r="P565" s="309"/>
      <c r="Q565" s="309"/>
      <c r="R565" s="309"/>
      <c r="S565" s="309"/>
      <c r="T565" s="309"/>
      <c r="U565" s="309"/>
      <c r="V565" s="309"/>
      <c r="W565" s="309"/>
      <c r="X565" s="309"/>
    </row>
    <row r="566" hidden="1">
      <c r="A566" s="348"/>
      <c r="B566" s="488"/>
      <c r="C566" s="309"/>
      <c r="D566" s="309"/>
      <c r="E566" s="489"/>
      <c r="F566" s="309"/>
      <c r="G566" s="407"/>
      <c r="H566" s="490"/>
      <c r="I566" s="491"/>
      <c r="J566" s="492"/>
      <c r="K566" s="493"/>
      <c r="L566" s="494"/>
      <c r="M566" s="309"/>
      <c r="N566" s="309"/>
      <c r="O566" s="309"/>
      <c r="P566" s="309"/>
      <c r="Q566" s="309"/>
      <c r="R566" s="309"/>
      <c r="S566" s="309"/>
      <c r="T566" s="309"/>
      <c r="U566" s="309"/>
      <c r="V566" s="309"/>
      <c r="W566" s="309"/>
      <c r="X566" s="309"/>
    </row>
    <row r="567" hidden="1">
      <c r="A567" s="348"/>
      <c r="B567" s="488"/>
      <c r="C567" s="309"/>
      <c r="D567" s="309"/>
      <c r="E567" s="489"/>
      <c r="F567" s="309"/>
      <c r="G567" s="407"/>
      <c r="H567" s="490"/>
      <c r="I567" s="491"/>
      <c r="J567" s="492"/>
      <c r="K567" s="493"/>
      <c r="L567" s="494"/>
      <c r="M567" s="309"/>
      <c r="N567" s="309"/>
      <c r="O567" s="309"/>
      <c r="P567" s="309"/>
      <c r="Q567" s="309"/>
      <c r="R567" s="309"/>
      <c r="S567" s="309"/>
      <c r="T567" s="309"/>
      <c r="U567" s="309"/>
      <c r="V567" s="309"/>
      <c r="W567" s="309"/>
      <c r="X567" s="309"/>
    </row>
    <row r="568" hidden="1">
      <c r="A568" s="348"/>
      <c r="B568" s="488"/>
      <c r="C568" s="309"/>
      <c r="D568" s="309"/>
      <c r="E568" s="489"/>
      <c r="F568" s="309"/>
      <c r="G568" s="407"/>
      <c r="H568" s="490"/>
      <c r="I568" s="491"/>
      <c r="J568" s="492"/>
      <c r="K568" s="493"/>
      <c r="L568" s="494"/>
      <c r="M568" s="309"/>
      <c r="N568" s="309"/>
      <c r="O568" s="309"/>
      <c r="P568" s="309"/>
      <c r="Q568" s="309"/>
      <c r="R568" s="309"/>
      <c r="S568" s="309"/>
      <c r="T568" s="309"/>
      <c r="U568" s="309"/>
      <c r="V568" s="309"/>
      <c r="W568" s="309"/>
      <c r="X568" s="309"/>
    </row>
    <row r="569" hidden="1">
      <c r="A569" s="348"/>
      <c r="B569" s="488"/>
      <c r="C569" s="309"/>
      <c r="D569" s="309"/>
      <c r="E569" s="489"/>
      <c r="F569" s="309"/>
      <c r="G569" s="407"/>
      <c r="H569" s="490"/>
      <c r="I569" s="491"/>
      <c r="J569" s="492"/>
      <c r="K569" s="493"/>
      <c r="L569" s="494"/>
      <c r="M569" s="309"/>
      <c r="N569" s="309"/>
      <c r="O569" s="309"/>
      <c r="P569" s="309"/>
      <c r="Q569" s="309"/>
      <c r="R569" s="309"/>
      <c r="S569" s="309"/>
      <c r="T569" s="309"/>
      <c r="U569" s="309"/>
      <c r="V569" s="309"/>
      <c r="W569" s="309"/>
      <c r="X569" s="309"/>
    </row>
    <row r="570" hidden="1">
      <c r="A570" s="348"/>
      <c r="B570" s="488"/>
      <c r="C570" s="309"/>
      <c r="D570" s="309"/>
      <c r="E570" s="489"/>
      <c r="F570" s="309"/>
      <c r="G570" s="407"/>
      <c r="H570" s="490"/>
      <c r="I570" s="491"/>
      <c r="J570" s="492"/>
      <c r="K570" s="493"/>
      <c r="L570" s="494"/>
      <c r="M570" s="309"/>
      <c r="N570" s="309"/>
      <c r="O570" s="309"/>
      <c r="P570" s="309"/>
      <c r="Q570" s="309"/>
      <c r="R570" s="309"/>
      <c r="S570" s="309"/>
      <c r="T570" s="309"/>
      <c r="U570" s="309"/>
      <c r="V570" s="309"/>
      <c r="W570" s="309"/>
      <c r="X570" s="309"/>
    </row>
    <row r="571" hidden="1">
      <c r="A571" s="348"/>
      <c r="B571" s="488"/>
      <c r="C571" s="309"/>
      <c r="D571" s="309"/>
      <c r="E571" s="489"/>
      <c r="F571" s="309"/>
      <c r="G571" s="407"/>
      <c r="H571" s="490"/>
      <c r="I571" s="491"/>
      <c r="J571" s="492"/>
      <c r="K571" s="493"/>
      <c r="L571" s="494"/>
      <c r="M571" s="309"/>
      <c r="N571" s="309"/>
      <c r="O571" s="309"/>
      <c r="P571" s="309"/>
      <c r="Q571" s="309"/>
      <c r="R571" s="309"/>
      <c r="S571" s="309"/>
      <c r="T571" s="309"/>
      <c r="U571" s="309"/>
      <c r="V571" s="309"/>
      <c r="W571" s="309"/>
      <c r="X571" s="309"/>
    </row>
    <row r="572" hidden="1">
      <c r="A572" s="348"/>
      <c r="B572" s="488"/>
      <c r="C572" s="309"/>
      <c r="D572" s="309"/>
      <c r="E572" s="489"/>
      <c r="F572" s="309"/>
      <c r="G572" s="407"/>
      <c r="H572" s="490"/>
      <c r="I572" s="491"/>
      <c r="J572" s="492"/>
      <c r="K572" s="493"/>
      <c r="L572" s="494"/>
      <c r="M572" s="309"/>
      <c r="N572" s="309"/>
      <c r="O572" s="309"/>
      <c r="P572" s="309"/>
      <c r="Q572" s="309"/>
      <c r="R572" s="309"/>
      <c r="S572" s="309"/>
      <c r="T572" s="309"/>
      <c r="U572" s="309"/>
      <c r="V572" s="309"/>
      <c r="W572" s="309"/>
      <c r="X572" s="309"/>
    </row>
    <row r="573" hidden="1">
      <c r="A573" s="348"/>
      <c r="B573" s="488"/>
      <c r="C573" s="309"/>
      <c r="D573" s="309"/>
      <c r="E573" s="489"/>
      <c r="F573" s="309"/>
      <c r="G573" s="407"/>
      <c r="H573" s="490"/>
      <c r="I573" s="491"/>
      <c r="J573" s="492"/>
      <c r="K573" s="493"/>
      <c r="L573" s="494"/>
      <c r="M573" s="309"/>
      <c r="N573" s="309"/>
      <c r="O573" s="309"/>
      <c r="P573" s="309"/>
      <c r="Q573" s="309"/>
      <c r="R573" s="309"/>
      <c r="S573" s="309"/>
      <c r="T573" s="309"/>
      <c r="U573" s="309"/>
      <c r="V573" s="309"/>
      <c r="W573" s="309"/>
      <c r="X573" s="309"/>
    </row>
    <row r="574" hidden="1">
      <c r="A574" s="348"/>
      <c r="B574" s="488"/>
      <c r="C574" s="309"/>
      <c r="D574" s="309"/>
      <c r="E574" s="489"/>
      <c r="F574" s="309"/>
      <c r="G574" s="407"/>
      <c r="H574" s="490"/>
      <c r="I574" s="491"/>
      <c r="J574" s="492"/>
      <c r="K574" s="493"/>
      <c r="L574" s="494"/>
      <c r="M574" s="309"/>
      <c r="N574" s="309"/>
      <c r="O574" s="309"/>
      <c r="P574" s="309"/>
      <c r="Q574" s="309"/>
      <c r="R574" s="309"/>
      <c r="S574" s="309"/>
      <c r="T574" s="309"/>
      <c r="U574" s="309"/>
      <c r="V574" s="309"/>
      <c r="W574" s="309"/>
      <c r="X574" s="309"/>
    </row>
    <row r="575" hidden="1">
      <c r="A575" s="348"/>
      <c r="B575" s="488"/>
      <c r="C575" s="309"/>
      <c r="D575" s="309"/>
      <c r="E575" s="489"/>
      <c r="F575" s="309"/>
      <c r="G575" s="407"/>
      <c r="H575" s="490"/>
      <c r="I575" s="491"/>
      <c r="J575" s="492"/>
      <c r="K575" s="493"/>
      <c r="L575" s="494"/>
      <c r="M575" s="309"/>
      <c r="N575" s="309"/>
      <c r="O575" s="309"/>
      <c r="P575" s="309"/>
      <c r="Q575" s="309"/>
      <c r="R575" s="309"/>
      <c r="S575" s="309"/>
      <c r="T575" s="309"/>
      <c r="U575" s="309"/>
      <c r="V575" s="309"/>
      <c r="W575" s="309"/>
      <c r="X575" s="309"/>
    </row>
    <row r="576" hidden="1">
      <c r="A576" s="348"/>
      <c r="B576" s="488"/>
      <c r="C576" s="309"/>
      <c r="D576" s="309"/>
      <c r="E576" s="489"/>
      <c r="F576" s="309"/>
      <c r="G576" s="407"/>
      <c r="H576" s="490"/>
      <c r="I576" s="491"/>
      <c r="J576" s="492"/>
      <c r="K576" s="493"/>
      <c r="L576" s="494"/>
      <c r="M576" s="309"/>
      <c r="N576" s="309"/>
      <c r="O576" s="309"/>
      <c r="P576" s="309"/>
      <c r="Q576" s="309"/>
      <c r="R576" s="309"/>
      <c r="S576" s="309"/>
      <c r="T576" s="309"/>
      <c r="U576" s="309"/>
      <c r="V576" s="309"/>
      <c r="W576" s="309"/>
      <c r="X576" s="309"/>
    </row>
    <row r="577" hidden="1">
      <c r="A577" s="348"/>
      <c r="B577" s="488"/>
      <c r="C577" s="309"/>
      <c r="D577" s="309"/>
      <c r="E577" s="489"/>
      <c r="F577" s="309"/>
      <c r="G577" s="407"/>
      <c r="H577" s="490"/>
      <c r="I577" s="491"/>
      <c r="J577" s="492"/>
      <c r="K577" s="493"/>
      <c r="L577" s="494"/>
      <c r="M577" s="309"/>
      <c r="N577" s="309"/>
      <c r="O577" s="309"/>
      <c r="P577" s="309"/>
      <c r="Q577" s="309"/>
      <c r="R577" s="309"/>
      <c r="S577" s="309"/>
      <c r="T577" s="309"/>
      <c r="U577" s="309"/>
      <c r="V577" s="309"/>
      <c r="W577" s="309"/>
      <c r="X577" s="309"/>
    </row>
    <row r="578" hidden="1">
      <c r="A578" s="348"/>
      <c r="B578" s="488"/>
      <c r="C578" s="309"/>
      <c r="D578" s="309"/>
      <c r="E578" s="489"/>
      <c r="F578" s="309"/>
      <c r="G578" s="407"/>
      <c r="H578" s="490"/>
      <c r="I578" s="491"/>
      <c r="J578" s="492"/>
      <c r="K578" s="493"/>
      <c r="L578" s="494"/>
      <c r="M578" s="309"/>
      <c r="N578" s="309"/>
      <c r="O578" s="309"/>
      <c r="P578" s="309"/>
      <c r="Q578" s="309"/>
      <c r="R578" s="309"/>
      <c r="S578" s="309"/>
      <c r="T578" s="309"/>
      <c r="U578" s="309"/>
      <c r="V578" s="309"/>
      <c r="W578" s="309"/>
      <c r="X578" s="309"/>
    </row>
    <row r="579" hidden="1">
      <c r="A579" s="348"/>
      <c r="B579" s="488"/>
      <c r="C579" s="309"/>
      <c r="D579" s="309"/>
      <c r="E579" s="489"/>
      <c r="F579" s="309"/>
      <c r="G579" s="407"/>
      <c r="H579" s="490"/>
      <c r="I579" s="491"/>
      <c r="J579" s="492"/>
      <c r="K579" s="493"/>
      <c r="L579" s="494"/>
      <c r="M579" s="309"/>
      <c r="N579" s="309"/>
      <c r="O579" s="309"/>
      <c r="P579" s="309"/>
      <c r="Q579" s="309"/>
      <c r="R579" s="309"/>
      <c r="S579" s="309"/>
      <c r="T579" s="309"/>
      <c r="U579" s="309"/>
      <c r="V579" s="309"/>
      <c r="W579" s="309"/>
      <c r="X579" s="309"/>
    </row>
    <row r="580" hidden="1">
      <c r="A580" s="348"/>
      <c r="B580" s="488"/>
      <c r="C580" s="309"/>
      <c r="D580" s="309"/>
      <c r="E580" s="489"/>
      <c r="F580" s="309"/>
      <c r="G580" s="407"/>
      <c r="H580" s="490"/>
      <c r="I580" s="491"/>
      <c r="J580" s="492"/>
      <c r="K580" s="493"/>
      <c r="L580" s="494"/>
      <c r="M580" s="309"/>
      <c r="N580" s="309"/>
      <c r="O580" s="309"/>
      <c r="P580" s="309"/>
      <c r="Q580" s="309"/>
      <c r="R580" s="309"/>
      <c r="S580" s="309"/>
      <c r="T580" s="309"/>
      <c r="U580" s="309"/>
      <c r="V580" s="309"/>
      <c r="W580" s="309"/>
      <c r="X580" s="309"/>
    </row>
    <row r="581" hidden="1">
      <c r="A581" s="348"/>
      <c r="B581" s="488"/>
      <c r="C581" s="309"/>
      <c r="D581" s="309"/>
      <c r="E581" s="489"/>
      <c r="F581" s="309"/>
      <c r="G581" s="407"/>
      <c r="H581" s="490"/>
      <c r="I581" s="491"/>
      <c r="J581" s="492"/>
      <c r="K581" s="493"/>
      <c r="L581" s="494"/>
      <c r="M581" s="309"/>
      <c r="N581" s="309"/>
      <c r="O581" s="309"/>
      <c r="P581" s="309"/>
      <c r="Q581" s="309"/>
      <c r="R581" s="309"/>
      <c r="S581" s="309"/>
      <c r="T581" s="309"/>
      <c r="U581" s="309"/>
      <c r="V581" s="309"/>
      <c r="W581" s="309"/>
      <c r="X581" s="309"/>
    </row>
    <row r="582" hidden="1">
      <c r="A582" s="348"/>
      <c r="B582" s="488"/>
      <c r="C582" s="309"/>
      <c r="D582" s="309"/>
      <c r="E582" s="489"/>
      <c r="F582" s="309"/>
      <c r="G582" s="407"/>
      <c r="H582" s="490"/>
      <c r="I582" s="491"/>
      <c r="J582" s="492"/>
      <c r="K582" s="493"/>
      <c r="L582" s="494"/>
      <c r="M582" s="309"/>
      <c r="N582" s="309"/>
      <c r="O582" s="309"/>
      <c r="P582" s="309"/>
      <c r="Q582" s="309"/>
      <c r="R582" s="309"/>
      <c r="S582" s="309"/>
      <c r="T582" s="309"/>
      <c r="U582" s="309"/>
      <c r="V582" s="309"/>
      <c r="W582" s="309"/>
      <c r="X582" s="309"/>
    </row>
    <row r="583" hidden="1">
      <c r="A583" s="348"/>
      <c r="B583" s="488"/>
      <c r="C583" s="309"/>
      <c r="D583" s="309"/>
      <c r="E583" s="489"/>
      <c r="F583" s="309"/>
      <c r="G583" s="407"/>
      <c r="H583" s="490"/>
      <c r="I583" s="491"/>
      <c r="J583" s="492"/>
      <c r="K583" s="493"/>
      <c r="L583" s="494"/>
      <c r="M583" s="309"/>
      <c r="N583" s="309"/>
      <c r="O583" s="309"/>
      <c r="P583" s="309"/>
      <c r="Q583" s="309"/>
      <c r="R583" s="309"/>
      <c r="S583" s="309"/>
      <c r="T583" s="309"/>
      <c r="U583" s="309"/>
      <c r="V583" s="309"/>
      <c r="W583" s="309"/>
      <c r="X583" s="309"/>
    </row>
    <row r="584" hidden="1">
      <c r="A584" s="348"/>
      <c r="B584" s="488"/>
      <c r="C584" s="309"/>
      <c r="D584" s="309"/>
      <c r="E584" s="489"/>
      <c r="F584" s="309"/>
      <c r="G584" s="407"/>
      <c r="H584" s="490"/>
      <c r="I584" s="491"/>
      <c r="J584" s="492"/>
      <c r="K584" s="493"/>
      <c r="L584" s="494"/>
      <c r="M584" s="309"/>
      <c r="N584" s="309"/>
      <c r="O584" s="309"/>
      <c r="P584" s="309"/>
      <c r="Q584" s="309"/>
      <c r="R584" s="309"/>
      <c r="S584" s="309"/>
      <c r="T584" s="309"/>
      <c r="U584" s="309"/>
      <c r="V584" s="309"/>
      <c r="W584" s="309"/>
      <c r="X584" s="309"/>
    </row>
    <row r="585" hidden="1">
      <c r="A585" s="348"/>
      <c r="B585" s="488"/>
      <c r="C585" s="309"/>
      <c r="D585" s="309"/>
      <c r="E585" s="489"/>
      <c r="F585" s="309"/>
      <c r="G585" s="407"/>
      <c r="H585" s="490"/>
      <c r="I585" s="491"/>
      <c r="J585" s="492"/>
      <c r="K585" s="493"/>
      <c r="L585" s="494"/>
      <c r="M585" s="309"/>
      <c r="N585" s="309"/>
      <c r="O585" s="309"/>
      <c r="P585" s="309"/>
      <c r="Q585" s="309"/>
      <c r="R585" s="309"/>
      <c r="S585" s="309"/>
      <c r="T585" s="309"/>
      <c r="U585" s="309"/>
      <c r="V585" s="309"/>
      <c r="W585" s="309"/>
      <c r="X585" s="309"/>
    </row>
    <row r="586" hidden="1">
      <c r="A586" s="348"/>
      <c r="B586" s="488"/>
      <c r="C586" s="309"/>
      <c r="D586" s="309"/>
      <c r="E586" s="489"/>
      <c r="F586" s="309"/>
      <c r="G586" s="407"/>
      <c r="H586" s="490"/>
      <c r="I586" s="491"/>
      <c r="J586" s="492"/>
      <c r="K586" s="493"/>
      <c r="L586" s="494"/>
      <c r="M586" s="309"/>
      <c r="N586" s="309"/>
      <c r="O586" s="309"/>
      <c r="P586" s="309"/>
      <c r="Q586" s="309"/>
      <c r="R586" s="309"/>
      <c r="S586" s="309"/>
      <c r="T586" s="309"/>
      <c r="U586" s="309"/>
      <c r="V586" s="309"/>
      <c r="W586" s="309"/>
      <c r="X586" s="309"/>
    </row>
    <row r="587" hidden="1">
      <c r="A587" s="348"/>
      <c r="B587" s="488"/>
      <c r="C587" s="309"/>
      <c r="D587" s="309"/>
      <c r="E587" s="489"/>
      <c r="F587" s="309"/>
      <c r="G587" s="407"/>
      <c r="H587" s="490"/>
      <c r="I587" s="491"/>
      <c r="J587" s="492"/>
      <c r="K587" s="493"/>
      <c r="L587" s="494"/>
      <c r="M587" s="309"/>
      <c r="N587" s="309"/>
      <c r="O587" s="309"/>
      <c r="P587" s="309"/>
      <c r="Q587" s="309"/>
      <c r="R587" s="309"/>
      <c r="S587" s="309"/>
      <c r="T587" s="309"/>
      <c r="U587" s="309"/>
      <c r="V587" s="309"/>
      <c r="W587" s="309"/>
      <c r="X587" s="309"/>
    </row>
    <row r="588" hidden="1">
      <c r="A588" s="348"/>
      <c r="B588" s="488"/>
      <c r="C588" s="309"/>
      <c r="D588" s="309"/>
      <c r="E588" s="489"/>
      <c r="F588" s="309"/>
      <c r="G588" s="407"/>
      <c r="H588" s="490"/>
      <c r="I588" s="491"/>
      <c r="J588" s="492"/>
      <c r="K588" s="493"/>
      <c r="L588" s="494"/>
      <c r="M588" s="309"/>
      <c r="N588" s="309"/>
      <c r="O588" s="309"/>
      <c r="P588" s="309"/>
      <c r="Q588" s="309"/>
      <c r="R588" s="309"/>
      <c r="S588" s="309"/>
      <c r="T588" s="309"/>
      <c r="U588" s="309"/>
      <c r="V588" s="309"/>
      <c r="W588" s="309"/>
      <c r="X588" s="309"/>
    </row>
    <row r="589" hidden="1">
      <c r="A589" s="348"/>
      <c r="B589" s="488"/>
      <c r="C589" s="309"/>
      <c r="D589" s="309"/>
      <c r="E589" s="489"/>
      <c r="F589" s="309"/>
      <c r="G589" s="407"/>
      <c r="H589" s="490"/>
      <c r="I589" s="491"/>
      <c r="J589" s="492"/>
      <c r="K589" s="493"/>
      <c r="L589" s="494"/>
      <c r="M589" s="309"/>
      <c r="N589" s="309"/>
      <c r="O589" s="309"/>
      <c r="P589" s="309"/>
      <c r="Q589" s="309"/>
      <c r="R589" s="309"/>
      <c r="S589" s="309"/>
      <c r="T589" s="309"/>
      <c r="U589" s="309"/>
      <c r="V589" s="309"/>
      <c r="W589" s="309"/>
      <c r="X589" s="309"/>
    </row>
    <row r="590" hidden="1">
      <c r="A590" s="348"/>
      <c r="B590" s="488"/>
      <c r="C590" s="309"/>
      <c r="D590" s="309"/>
      <c r="E590" s="489"/>
      <c r="F590" s="309"/>
      <c r="G590" s="407"/>
      <c r="H590" s="490"/>
      <c r="I590" s="491"/>
      <c r="J590" s="492"/>
      <c r="K590" s="493"/>
      <c r="L590" s="494"/>
      <c r="M590" s="309"/>
      <c r="N590" s="309"/>
      <c r="O590" s="309"/>
      <c r="P590" s="309"/>
      <c r="Q590" s="309"/>
      <c r="R590" s="309"/>
      <c r="S590" s="309"/>
      <c r="T590" s="309"/>
      <c r="U590" s="309"/>
      <c r="V590" s="309"/>
      <c r="W590" s="309"/>
      <c r="X590" s="309"/>
    </row>
    <row r="591" hidden="1">
      <c r="A591" s="348"/>
      <c r="B591" s="488"/>
      <c r="C591" s="309"/>
      <c r="D591" s="309"/>
      <c r="E591" s="489"/>
      <c r="F591" s="309"/>
      <c r="G591" s="407"/>
      <c r="H591" s="490"/>
      <c r="I591" s="491"/>
      <c r="J591" s="492"/>
      <c r="K591" s="493"/>
      <c r="L591" s="494"/>
      <c r="M591" s="309"/>
      <c r="N591" s="309"/>
      <c r="O591" s="309"/>
      <c r="P591" s="309"/>
      <c r="Q591" s="309"/>
      <c r="R591" s="309"/>
      <c r="S591" s="309"/>
      <c r="T591" s="309"/>
      <c r="U591" s="309"/>
      <c r="V591" s="309"/>
      <c r="W591" s="309"/>
      <c r="X591" s="309"/>
    </row>
    <row r="592" hidden="1">
      <c r="A592" s="348"/>
      <c r="B592" s="488"/>
      <c r="C592" s="309"/>
      <c r="D592" s="309"/>
      <c r="E592" s="489"/>
      <c r="F592" s="309"/>
      <c r="G592" s="407"/>
      <c r="H592" s="490"/>
      <c r="I592" s="491"/>
      <c r="J592" s="492"/>
      <c r="K592" s="493"/>
      <c r="L592" s="494"/>
      <c r="M592" s="309"/>
      <c r="N592" s="309"/>
      <c r="O592" s="309"/>
      <c r="P592" s="309"/>
      <c r="Q592" s="309"/>
      <c r="R592" s="309"/>
      <c r="S592" s="309"/>
      <c r="T592" s="309"/>
      <c r="U592" s="309"/>
      <c r="V592" s="309"/>
      <c r="W592" s="309"/>
      <c r="X592" s="309"/>
    </row>
    <row r="593" hidden="1">
      <c r="A593" s="348"/>
      <c r="B593" s="488"/>
      <c r="C593" s="309"/>
      <c r="D593" s="309"/>
      <c r="E593" s="489"/>
      <c r="F593" s="309"/>
      <c r="G593" s="407"/>
      <c r="H593" s="490"/>
      <c r="I593" s="491"/>
      <c r="J593" s="492"/>
      <c r="K593" s="493"/>
      <c r="L593" s="494"/>
      <c r="M593" s="309"/>
      <c r="N593" s="309"/>
      <c r="O593" s="309"/>
      <c r="P593" s="309"/>
      <c r="Q593" s="309"/>
      <c r="R593" s="309"/>
      <c r="S593" s="309"/>
      <c r="T593" s="309"/>
      <c r="U593" s="309"/>
      <c r="V593" s="309"/>
      <c r="W593" s="309"/>
      <c r="X593" s="309"/>
    </row>
    <row r="594" hidden="1">
      <c r="A594" s="348"/>
      <c r="B594" s="488"/>
      <c r="C594" s="309"/>
      <c r="D594" s="309"/>
      <c r="E594" s="489"/>
      <c r="F594" s="309"/>
      <c r="G594" s="407"/>
      <c r="H594" s="490"/>
      <c r="I594" s="491"/>
      <c r="J594" s="492"/>
      <c r="K594" s="493"/>
      <c r="L594" s="494"/>
      <c r="M594" s="309"/>
      <c r="N594" s="309"/>
      <c r="O594" s="309"/>
      <c r="P594" s="309"/>
      <c r="Q594" s="309"/>
      <c r="R594" s="309"/>
      <c r="S594" s="309"/>
      <c r="T594" s="309"/>
      <c r="U594" s="309"/>
      <c r="V594" s="309"/>
      <c r="W594" s="309"/>
      <c r="X594" s="309"/>
    </row>
    <row r="595" hidden="1">
      <c r="A595" s="348"/>
      <c r="B595" s="488"/>
      <c r="C595" s="309"/>
      <c r="D595" s="309"/>
      <c r="E595" s="489"/>
      <c r="F595" s="309"/>
      <c r="G595" s="407"/>
      <c r="H595" s="490"/>
      <c r="I595" s="491"/>
      <c r="J595" s="492"/>
      <c r="K595" s="493"/>
      <c r="L595" s="494"/>
      <c r="M595" s="309"/>
      <c r="N595" s="309"/>
      <c r="O595" s="309"/>
      <c r="P595" s="309"/>
      <c r="Q595" s="309"/>
      <c r="R595" s="309"/>
      <c r="S595" s="309"/>
      <c r="T595" s="309"/>
      <c r="U595" s="309"/>
      <c r="V595" s="309"/>
      <c r="W595" s="309"/>
      <c r="X595" s="309"/>
    </row>
    <row r="596" hidden="1">
      <c r="A596" s="348"/>
      <c r="B596" s="488"/>
      <c r="C596" s="309"/>
      <c r="D596" s="309"/>
      <c r="E596" s="489"/>
      <c r="F596" s="309"/>
      <c r="G596" s="407"/>
      <c r="H596" s="490"/>
      <c r="I596" s="491"/>
      <c r="J596" s="492"/>
      <c r="K596" s="493"/>
      <c r="L596" s="494"/>
      <c r="M596" s="309"/>
      <c r="N596" s="309"/>
      <c r="O596" s="309"/>
      <c r="P596" s="309"/>
      <c r="Q596" s="309"/>
      <c r="R596" s="309"/>
      <c r="S596" s="309"/>
      <c r="T596" s="309"/>
      <c r="U596" s="309"/>
      <c r="V596" s="309"/>
      <c r="W596" s="309"/>
      <c r="X596" s="309"/>
    </row>
    <row r="597" hidden="1">
      <c r="A597" s="348"/>
      <c r="B597" s="488"/>
      <c r="C597" s="309"/>
      <c r="D597" s="309"/>
      <c r="E597" s="489"/>
      <c r="F597" s="309"/>
      <c r="G597" s="407"/>
      <c r="H597" s="490"/>
      <c r="I597" s="491"/>
      <c r="J597" s="492"/>
      <c r="K597" s="493"/>
      <c r="L597" s="494"/>
      <c r="M597" s="309"/>
      <c r="N597" s="309"/>
      <c r="O597" s="309"/>
      <c r="P597" s="309"/>
      <c r="Q597" s="309"/>
      <c r="R597" s="309"/>
      <c r="S597" s="309"/>
      <c r="T597" s="309"/>
      <c r="U597" s="309"/>
      <c r="V597" s="309"/>
      <c r="W597" s="309"/>
      <c r="X597" s="309"/>
    </row>
    <row r="598" hidden="1">
      <c r="A598" s="348"/>
      <c r="B598" s="488"/>
      <c r="C598" s="309"/>
      <c r="D598" s="309"/>
      <c r="E598" s="489"/>
      <c r="F598" s="309"/>
      <c r="G598" s="407"/>
      <c r="H598" s="490"/>
      <c r="I598" s="491"/>
      <c r="J598" s="492"/>
      <c r="K598" s="493"/>
      <c r="L598" s="494"/>
      <c r="M598" s="309"/>
      <c r="N598" s="309"/>
      <c r="O598" s="309"/>
      <c r="P598" s="309"/>
      <c r="Q598" s="309"/>
      <c r="R598" s="309"/>
      <c r="S598" s="309"/>
      <c r="T598" s="309"/>
      <c r="U598" s="309"/>
      <c r="V598" s="309"/>
      <c r="W598" s="309"/>
      <c r="X598" s="309"/>
    </row>
    <row r="599" hidden="1">
      <c r="A599" s="348"/>
      <c r="B599" s="488"/>
      <c r="C599" s="309"/>
      <c r="D599" s="309"/>
      <c r="E599" s="489"/>
      <c r="F599" s="309"/>
      <c r="G599" s="407"/>
      <c r="H599" s="490"/>
      <c r="I599" s="491"/>
      <c r="J599" s="492"/>
      <c r="K599" s="493"/>
      <c r="L599" s="494"/>
      <c r="M599" s="309"/>
      <c r="N599" s="309"/>
      <c r="O599" s="309"/>
      <c r="P599" s="309"/>
      <c r="Q599" s="309"/>
      <c r="R599" s="309"/>
      <c r="S599" s="309"/>
      <c r="T599" s="309"/>
      <c r="U599" s="309"/>
      <c r="V599" s="309"/>
      <c r="W599" s="309"/>
      <c r="X599" s="309"/>
    </row>
    <row r="600" hidden="1">
      <c r="A600" s="348"/>
      <c r="B600" s="488"/>
      <c r="C600" s="309"/>
      <c r="D600" s="309"/>
      <c r="E600" s="489"/>
      <c r="F600" s="309"/>
      <c r="G600" s="407"/>
      <c r="H600" s="490"/>
      <c r="I600" s="491"/>
      <c r="J600" s="492"/>
      <c r="K600" s="493"/>
      <c r="L600" s="494"/>
      <c r="M600" s="309"/>
      <c r="N600" s="309"/>
      <c r="O600" s="309"/>
      <c r="P600" s="309"/>
      <c r="Q600" s="309"/>
      <c r="R600" s="309"/>
      <c r="S600" s="309"/>
      <c r="T600" s="309"/>
      <c r="U600" s="309"/>
      <c r="V600" s="309"/>
      <c r="W600" s="309"/>
      <c r="X600" s="309"/>
    </row>
    <row r="601" hidden="1">
      <c r="A601" s="348"/>
      <c r="B601" s="488"/>
      <c r="C601" s="309"/>
      <c r="D601" s="309"/>
      <c r="E601" s="489"/>
      <c r="F601" s="309"/>
      <c r="G601" s="407"/>
      <c r="H601" s="490"/>
      <c r="I601" s="491"/>
      <c r="J601" s="492"/>
      <c r="K601" s="493"/>
      <c r="L601" s="494"/>
      <c r="M601" s="309"/>
      <c r="N601" s="309"/>
      <c r="O601" s="309"/>
      <c r="P601" s="309"/>
      <c r="Q601" s="309"/>
      <c r="R601" s="309"/>
      <c r="S601" s="309"/>
      <c r="T601" s="309"/>
      <c r="U601" s="309"/>
      <c r="V601" s="309"/>
      <c r="W601" s="309"/>
      <c r="X601" s="309"/>
    </row>
    <row r="602" hidden="1">
      <c r="A602" s="348"/>
      <c r="B602" s="488"/>
      <c r="C602" s="309"/>
      <c r="D602" s="309"/>
      <c r="E602" s="489"/>
      <c r="F602" s="309"/>
      <c r="G602" s="407"/>
      <c r="H602" s="490"/>
      <c r="I602" s="491"/>
      <c r="J602" s="492"/>
      <c r="K602" s="493"/>
      <c r="L602" s="494"/>
      <c r="M602" s="309"/>
      <c r="N602" s="309"/>
      <c r="O602" s="309"/>
      <c r="P602" s="309"/>
      <c r="Q602" s="309"/>
      <c r="R602" s="309"/>
      <c r="S602" s="309"/>
      <c r="T602" s="309"/>
      <c r="U602" s="309"/>
      <c r="V602" s="309"/>
      <c r="W602" s="309"/>
      <c r="X602" s="309"/>
    </row>
    <row r="603" hidden="1">
      <c r="A603" s="348"/>
      <c r="B603" s="488"/>
      <c r="C603" s="309"/>
      <c r="D603" s="309"/>
      <c r="E603" s="489"/>
      <c r="F603" s="309"/>
      <c r="G603" s="407"/>
      <c r="H603" s="490"/>
      <c r="I603" s="491"/>
      <c r="J603" s="492"/>
      <c r="K603" s="493"/>
      <c r="L603" s="494"/>
      <c r="M603" s="309"/>
      <c r="N603" s="309"/>
      <c r="O603" s="309"/>
      <c r="P603" s="309"/>
      <c r="Q603" s="309"/>
      <c r="R603" s="309"/>
      <c r="S603" s="309"/>
      <c r="T603" s="309"/>
      <c r="U603" s="309"/>
      <c r="V603" s="309"/>
      <c r="W603" s="309"/>
      <c r="X603" s="309"/>
    </row>
    <row r="604" hidden="1">
      <c r="A604" s="348"/>
      <c r="B604" s="488"/>
      <c r="C604" s="309"/>
      <c r="D604" s="309"/>
      <c r="E604" s="489"/>
      <c r="F604" s="309"/>
      <c r="G604" s="407"/>
      <c r="H604" s="490"/>
      <c r="I604" s="491"/>
      <c r="J604" s="492"/>
      <c r="K604" s="493"/>
      <c r="L604" s="494"/>
      <c r="M604" s="309"/>
      <c r="N604" s="309"/>
      <c r="O604" s="309"/>
      <c r="P604" s="309"/>
      <c r="Q604" s="309"/>
      <c r="R604" s="309"/>
      <c r="S604" s="309"/>
      <c r="T604" s="309"/>
      <c r="U604" s="309"/>
      <c r="V604" s="309"/>
      <c r="W604" s="309"/>
      <c r="X604" s="309"/>
    </row>
    <row r="605" hidden="1">
      <c r="A605" s="348"/>
      <c r="B605" s="488"/>
      <c r="C605" s="309"/>
      <c r="D605" s="309"/>
      <c r="E605" s="489"/>
      <c r="F605" s="309"/>
      <c r="G605" s="407"/>
      <c r="H605" s="490"/>
      <c r="I605" s="491"/>
      <c r="J605" s="492"/>
      <c r="K605" s="493"/>
      <c r="L605" s="494"/>
      <c r="M605" s="309"/>
      <c r="N605" s="309"/>
      <c r="O605" s="309"/>
      <c r="P605" s="309"/>
      <c r="Q605" s="309"/>
      <c r="R605" s="309"/>
      <c r="S605" s="309"/>
      <c r="T605" s="309"/>
      <c r="U605" s="309"/>
      <c r="V605" s="309"/>
      <c r="W605" s="309"/>
      <c r="X605" s="309"/>
    </row>
    <row r="606" hidden="1">
      <c r="A606" s="348"/>
      <c r="B606" s="488"/>
      <c r="C606" s="309"/>
      <c r="D606" s="309"/>
      <c r="E606" s="489"/>
      <c r="F606" s="309"/>
      <c r="G606" s="407"/>
      <c r="H606" s="490"/>
      <c r="I606" s="491"/>
      <c r="J606" s="492"/>
      <c r="K606" s="493"/>
      <c r="L606" s="494"/>
      <c r="M606" s="309"/>
      <c r="N606" s="309"/>
      <c r="O606" s="309"/>
      <c r="P606" s="309"/>
      <c r="Q606" s="309"/>
      <c r="R606" s="309"/>
      <c r="S606" s="309"/>
      <c r="T606" s="309"/>
      <c r="U606" s="309"/>
      <c r="V606" s="309"/>
      <c r="W606" s="309"/>
      <c r="X606" s="309"/>
    </row>
    <row r="607" hidden="1">
      <c r="A607" s="348"/>
      <c r="B607" s="488"/>
      <c r="C607" s="309"/>
      <c r="D607" s="309"/>
      <c r="E607" s="489"/>
      <c r="F607" s="309"/>
      <c r="G607" s="407"/>
      <c r="H607" s="490"/>
      <c r="I607" s="491"/>
      <c r="J607" s="492"/>
      <c r="K607" s="493"/>
      <c r="L607" s="494"/>
      <c r="M607" s="309"/>
      <c r="N607" s="309"/>
      <c r="O607" s="309"/>
      <c r="P607" s="309"/>
      <c r="Q607" s="309"/>
      <c r="R607" s="309"/>
      <c r="S607" s="309"/>
      <c r="T607" s="309"/>
      <c r="U607" s="309"/>
      <c r="V607" s="309"/>
      <c r="W607" s="309"/>
      <c r="X607" s="309"/>
    </row>
    <row r="608" hidden="1">
      <c r="A608" s="348"/>
      <c r="B608" s="488"/>
      <c r="C608" s="309"/>
      <c r="D608" s="309"/>
      <c r="E608" s="489"/>
      <c r="F608" s="309"/>
      <c r="G608" s="407"/>
      <c r="H608" s="490"/>
      <c r="I608" s="491"/>
      <c r="J608" s="492"/>
      <c r="K608" s="493"/>
      <c r="L608" s="494"/>
      <c r="M608" s="309"/>
      <c r="N608" s="309"/>
      <c r="O608" s="309"/>
      <c r="P608" s="309"/>
      <c r="Q608" s="309"/>
      <c r="R608" s="309"/>
      <c r="S608" s="309"/>
      <c r="T608" s="309"/>
      <c r="U608" s="309"/>
      <c r="V608" s="309"/>
      <c r="W608" s="309"/>
      <c r="X608" s="309"/>
    </row>
    <row r="609" hidden="1">
      <c r="A609" s="348"/>
      <c r="B609" s="488"/>
      <c r="C609" s="309"/>
      <c r="D609" s="309"/>
      <c r="E609" s="489"/>
      <c r="F609" s="309"/>
      <c r="G609" s="407"/>
      <c r="H609" s="490"/>
      <c r="I609" s="491"/>
      <c r="J609" s="492"/>
      <c r="K609" s="493"/>
      <c r="L609" s="494"/>
      <c r="M609" s="309"/>
      <c r="N609" s="309"/>
      <c r="O609" s="309"/>
      <c r="P609" s="309"/>
      <c r="Q609" s="309"/>
      <c r="R609" s="309"/>
      <c r="S609" s="309"/>
      <c r="T609" s="309"/>
      <c r="U609" s="309"/>
      <c r="V609" s="309"/>
      <c r="W609" s="309"/>
      <c r="X609" s="309"/>
    </row>
    <row r="610" hidden="1">
      <c r="A610" s="348"/>
      <c r="B610" s="488"/>
      <c r="C610" s="309"/>
      <c r="D610" s="309"/>
      <c r="E610" s="489"/>
      <c r="F610" s="309"/>
      <c r="G610" s="407"/>
      <c r="H610" s="490"/>
      <c r="I610" s="491"/>
      <c r="J610" s="492"/>
      <c r="K610" s="493"/>
      <c r="L610" s="494"/>
      <c r="M610" s="309"/>
      <c r="N610" s="309"/>
      <c r="O610" s="309"/>
      <c r="P610" s="309"/>
      <c r="Q610" s="309"/>
      <c r="R610" s="309"/>
      <c r="S610" s="309"/>
      <c r="T610" s="309"/>
      <c r="U610" s="309"/>
      <c r="V610" s="309"/>
      <c r="W610" s="309"/>
      <c r="X610" s="309"/>
    </row>
    <row r="611" hidden="1">
      <c r="A611" s="348"/>
      <c r="B611" s="488"/>
      <c r="C611" s="309"/>
      <c r="D611" s="309"/>
      <c r="E611" s="489"/>
      <c r="F611" s="309"/>
      <c r="G611" s="407"/>
      <c r="H611" s="490"/>
      <c r="I611" s="491"/>
      <c r="J611" s="492"/>
      <c r="K611" s="493"/>
      <c r="L611" s="494"/>
      <c r="M611" s="309"/>
      <c r="N611" s="309"/>
      <c r="O611" s="309"/>
      <c r="P611" s="309"/>
      <c r="Q611" s="309"/>
      <c r="R611" s="309"/>
      <c r="S611" s="309"/>
      <c r="T611" s="309"/>
      <c r="U611" s="309"/>
      <c r="V611" s="309"/>
      <c r="W611" s="309"/>
      <c r="X611" s="309"/>
    </row>
    <row r="612" hidden="1">
      <c r="A612" s="348"/>
      <c r="B612" s="488"/>
      <c r="C612" s="309"/>
      <c r="D612" s="309"/>
      <c r="E612" s="489"/>
      <c r="F612" s="309"/>
      <c r="G612" s="407"/>
      <c r="H612" s="490"/>
      <c r="I612" s="491"/>
      <c r="J612" s="492"/>
      <c r="K612" s="493"/>
      <c r="L612" s="494"/>
      <c r="M612" s="309"/>
      <c r="N612" s="309"/>
      <c r="O612" s="309"/>
      <c r="P612" s="309"/>
      <c r="Q612" s="309"/>
      <c r="R612" s="309"/>
      <c r="S612" s="309"/>
      <c r="T612" s="309"/>
      <c r="U612" s="309"/>
      <c r="V612" s="309"/>
      <c r="W612" s="309"/>
      <c r="X612" s="309"/>
    </row>
    <row r="613" hidden="1">
      <c r="A613" s="348"/>
      <c r="B613" s="488"/>
      <c r="C613" s="309"/>
      <c r="D613" s="309"/>
      <c r="E613" s="489"/>
      <c r="F613" s="309"/>
      <c r="G613" s="407"/>
      <c r="H613" s="490"/>
      <c r="I613" s="491"/>
      <c r="J613" s="492"/>
      <c r="K613" s="493"/>
      <c r="L613" s="494"/>
      <c r="M613" s="309"/>
      <c r="N613" s="309"/>
      <c r="O613" s="309"/>
      <c r="P613" s="309"/>
      <c r="Q613" s="309"/>
      <c r="R613" s="309"/>
      <c r="S613" s="309"/>
      <c r="T613" s="309"/>
      <c r="U613" s="309"/>
      <c r="V613" s="309"/>
      <c r="W613" s="309"/>
      <c r="X613" s="309"/>
    </row>
    <row r="614" hidden="1">
      <c r="A614" s="348"/>
      <c r="B614" s="488"/>
      <c r="C614" s="309"/>
      <c r="D614" s="309"/>
      <c r="E614" s="489"/>
      <c r="F614" s="309"/>
      <c r="G614" s="407"/>
      <c r="H614" s="490"/>
      <c r="I614" s="491"/>
      <c r="J614" s="492"/>
      <c r="K614" s="493"/>
      <c r="L614" s="494"/>
      <c r="M614" s="309"/>
      <c r="N614" s="309"/>
      <c r="O614" s="309"/>
      <c r="P614" s="309"/>
      <c r="Q614" s="309"/>
      <c r="R614" s="309"/>
      <c r="S614" s="309"/>
      <c r="T614" s="309"/>
      <c r="U614" s="309"/>
      <c r="V614" s="309"/>
      <c r="W614" s="309"/>
      <c r="X614" s="309"/>
    </row>
    <row r="615" hidden="1">
      <c r="A615" s="348"/>
      <c r="B615" s="488"/>
      <c r="C615" s="309"/>
      <c r="D615" s="309"/>
      <c r="E615" s="489"/>
      <c r="F615" s="309"/>
      <c r="G615" s="407"/>
      <c r="H615" s="490"/>
      <c r="I615" s="491"/>
      <c r="J615" s="492"/>
      <c r="K615" s="493"/>
      <c r="L615" s="494"/>
      <c r="M615" s="309"/>
      <c r="N615" s="309"/>
      <c r="O615" s="309"/>
      <c r="P615" s="309"/>
      <c r="Q615" s="309"/>
      <c r="R615" s="309"/>
      <c r="S615" s="309"/>
      <c r="T615" s="309"/>
      <c r="U615" s="309"/>
      <c r="V615" s="309"/>
      <c r="W615" s="309"/>
      <c r="X615" s="309"/>
    </row>
    <row r="616" hidden="1">
      <c r="A616" s="348"/>
      <c r="B616" s="488"/>
      <c r="C616" s="309"/>
      <c r="D616" s="309"/>
      <c r="E616" s="489"/>
      <c r="F616" s="309"/>
      <c r="G616" s="407"/>
      <c r="H616" s="490"/>
      <c r="I616" s="491"/>
      <c r="J616" s="492"/>
      <c r="K616" s="493"/>
      <c r="L616" s="494"/>
      <c r="M616" s="309"/>
      <c r="N616" s="309"/>
      <c r="O616" s="309"/>
      <c r="P616" s="309"/>
      <c r="Q616" s="309"/>
      <c r="R616" s="309"/>
      <c r="S616" s="309"/>
      <c r="T616" s="309"/>
      <c r="U616" s="309"/>
      <c r="V616" s="309"/>
      <c r="W616" s="309"/>
      <c r="X616" s="309"/>
    </row>
    <row r="617" hidden="1">
      <c r="A617" s="348"/>
      <c r="B617" s="488"/>
      <c r="C617" s="309"/>
      <c r="D617" s="309"/>
      <c r="E617" s="489"/>
      <c r="F617" s="309"/>
      <c r="G617" s="407"/>
      <c r="H617" s="490"/>
      <c r="I617" s="491"/>
      <c r="J617" s="492"/>
      <c r="K617" s="493"/>
      <c r="L617" s="494"/>
      <c r="M617" s="309"/>
      <c r="N617" s="309"/>
      <c r="O617" s="309"/>
      <c r="P617" s="309"/>
      <c r="Q617" s="309"/>
      <c r="R617" s="309"/>
      <c r="S617" s="309"/>
      <c r="T617" s="309"/>
      <c r="U617" s="309"/>
      <c r="V617" s="309"/>
      <c r="W617" s="309"/>
      <c r="X617" s="309"/>
    </row>
    <row r="618" hidden="1">
      <c r="A618" s="348"/>
      <c r="B618" s="488"/>
      <c r="C618" s="309"/>
      <c r="D618" s="309"/>
      <c r="E618" s="489"/>
      <c r="F618" s="309"/>
      <c r="G618" s="407"/>
      <c r="H618" s="490"/>
      <c r="I618" s="491"/>
      <c r="J618" s="492"/>
      <c r="K618" s="493"/>
      <c r="L618" s="494"/>
      <c r="M618" s="309"/>
      <c r="N618" s="309"/>
      <c r="O618" s="309"/>
      <c r="P618" s="309"/>
      <c r="Q618" s="309"/>
      <c r="R618" s="309"/>
      <c r="S618" s="309"/>
      <c r="T618" s="309"/>
      <c r="U618" s="309"/>
      <c r="V618" s="309"/>
      <c r="W618" s="309"/>
      <c r="X618" s="309"/>
    </row>
    <row r="619" hidden="1">
      <c r="A619" s="348"/>
      <c r="B619" s="488"/>
      <c r="C619" s="309"/>
      <c r="D619" s="309"/>
      <c r="E619" s="489"/>
      <c r="F619" s="309"/>
      <c r="G619" s="407"/>
      <c r="H619" s="490"/>
      <c r="I619" s="491"/>
      <c r="J619" s="492"/>
      <c r="K619" s="493"/>
      <c r="L619" s="494"/>
      <c r="M619" s="309"/>
      <c r="N619" s="309"/>
      <c r="O619" s="309"/>
      <c r="P619" s="309"/>
      <c r="Q619" s="309"/>
      <c r="R619" s="309"/>
      <c r="S619" s="309"/>
      <c r="T619" s="309"/>
      <c r="U619" s="309"/>
      <c r="V619" s="309"/>
      <c r="W619" s="309"/>
      <c r="X619" s="309"/>
    </row>
    <row r="620" hidden="1">
      <c r="A620" s="348"/>
      <c r="B620" s="488"/>
      <c r="C620" s="309"/>
      <c r="D620" s="309"/>
      <c r="E620" s="489"/>
      <c r="F620" s="309"/>
      <c r="G620" s="407"/>
      <c r="H620" s="490"/>
      <c r="I620" s="491"/>
      <c r="J620" s="492"/>
      <c r="K620" s="493"/>
      <c r="L620" s="494"/>
      <c r="M620" s="309"/>
      <c r="N620" s="309"/>
      <c r="O620" s="309"/>
      <c r="P620" s="309"/>
      <c r="Q620" s="309"/>
      <c r="R620" s="309"/>
      <c r="S620" s="309"/>
      <c r="T620" s="309"/>
      <c r="U620" s="309"/>
      <c r="V620" s="309"/>
      <c r="W620" s="309"/>
      <c r="X620" s="309"/>
    </row>
    <row r="621" hidden="1">
      <c r="A621" s="348"/>
      <c r="B621" s="488"/>
      <c r="C621" s="309"/>
      <c r="D621" s="309"/>
      <c r="E621" s="489"/>
      <c r="F621" s="309"/>
      <c r="G621" s="407"/>
      <c r="H621" s="490"/>
      <c r="I621" s="491"/>
      <c r="J621" s="492"/>
      <c r="K621" s="493"/>
      <c r="L621" s="494"/>
      <c r="M621" s="309"/>
      <c r="N621" s="309"/>
      <c r="O621" s="309"/>
      <c r="P621" s="309"/>
      <c r="Q621" s="309"/>
      <c r="R621" s="309"/>
      <c r="S621" s="309"/>
      <c r="T621" s="309"/>
      <c r="U621" s="309"/>
      <c r="V621" s="309"/>
      <c r="W621" s="309"/>
      <c r="X621" s="309"/>
    </row>
    <row r="622" hidden="1">
      <c r="A622" s="348"/>
      <c r="B622" s="488"/>
      <c r="C622" s="309"/>
      <c r="D622" s="309"/>
      <c r="E622" s="489"/>
      <c r="F622" s="309"/>
      <c r="G622" s="407"/>
      <c r="H622" s="490"/>
      <c r="I622" s="491"/>
      <c r="J622" s="492"/>
      <c r="K622" s="493"/>
      <c r="L622" s="494"/>
      <c r="M622" s="309"/>
      <c r="N622" s="309"/>
      <c r="O622" s="309"/>
      <c r="P622" s="309"/>
      <c r="Q622" s="309"/>
      <c r="R622" s="309"/>
      <c r="S622" s="309"/>
      <c r="T622" s="309"/>
      <c r="U622" s="309"/>
      <c r="V622" s="309"/>
      <c r="W622" s="309"/>
      <c r="X622" s="309"/>
    </row>
    <row r="623" hidden="1">
      <c r="A623" s="348"/>
      <c r="B623" s="488"/>
      <c r="C623" s="309"/>
      <c r="D623" s="309"/>
      <c r="E623" s="489"/>
      <c r="F623" s="309"/>
      <c r="G623" s="407"/>
      <c r="H623" s="490"/>
      <c r="I623" s="491"/>
      <c r="J623" s="492"/>
      <c r="K623" s="493"/>
      <c r="L623" s="494"/>
      <c r="M623" s="309"/>
      <c r="N623" s="309"/>
      <c r="O623" s="309"/>
      <c r="P623" s="309"/>
      <c r="Q623" s="309"/>
      <c r="R623" s="309"/>
      <c r="S623" s="309"/>
      <c r="T623" s="309"/>
      <c r="U623" s="309"/>
      <c r="V623" s="309"/>
      <c r="W623" s="309"/>
      <c r="X623" s="309"/>
    </row>
    <row r="624" hidden="1">
      <c r="A624" s="348"/>
      <c r="B624" s="488"/>
      <c r="C624" s="309"/>
      <c r="D624" s="309"/>
      <c r="E624" s="489"/>
      <c r="F624" s="309"/>
      <c r="G624" s="407"/>
      <c r="H624" s="490"/>
      <c r="I624" s="491"/>
      <c r="J624" s="492"/>
      <c r="K624" s="493"/>
      <c r="L624" s="494"/>
      <c r="M624" s="309"/>
      <c r="N624" s="309"/>
      <c r="O624" s="309"/>
      <c r="P624" s="309"/>
      <c r="Q624" s="309"/>
      <c r="R624" s="309"/>
      <c r="S624" s="309"/>
      <c r="T624" s="309"/>
      <c r="U624" s="309"/>
      <c r="V624" s="309"/>
      <c r="W624" s="309"/>
      <c r="X624" s="309"/>
    </row>
    <row r="625" hidden="1">
      <c r="A625" s="348"/>
      <c r="B625" s="488"/>
      <c r="C625" s="309"/>
      <c r="D625" s="309"/>
      <c r="E625" s="489"/>
      <c r="F625" s="309"/>
      <c r="G625" s="407"/>
      <c r="H625" s="490"/>
      <c r="I625" s="491"/>
      <c r="J625" s="492"/>
      <c r="K625" s="493"/>
      <c r="L625" s="494"/>
      <c r="M625" s="309"/>
      <c r="N625" s="309"/>
      <c r="O625" s="309"/>
      <c r="P625" s="309"/>
      <c r="Q625" s="309"/>
      <c r="R625" s="309"/>
      <c r="S625" s="309"/>
      <c r="T625" s="309"/>
      <c r="U625" s="309"/>
      <c r="V625" s="309"/>
      <c r="W625" s="309"/>
      <c r="X625" s="309"/>
    </row>
    <row r="626" hidden="1">
      <c r="A626" s="348"/>
      <c r="B626" s="488"/>
      <c r="C626" s="309"/>
      <c r="D626" s="309"/>
      <c r="E626" s="489"/>
      <c r="F626" s="309"/>
      <c r="G626" s="407"/>
      <c r="H626" s="490"/>
      <c r="I626" s="491"/>
      <c r="J626" s="492"/>
      <c r="K626" s="493"/>
      <c r="L626" s="494"/>
      <c r="M626" s="309"/>
      <c r="N626" s="309"/>
      <c r="O626" s="309"/>
      <c r="P626" s="309"/>
      <c r="Q626" s="309"/>
      <c r="R626" s="309"/>
      <c r="S626" s="309"/>
      <c r="T626" s="309"/>
      <c r="U626" s="309"/>
      <c r="V626" s="309"/>
      <c r="W626" s="309"/>
      <c r="X626" s="309"/>
    </row>
    <row r="627" hidden="1">
      <c r="A627" s="348"/>
      <c r="B627" s="488"/>
      <c r="C627" s="309"/>
      <c r="D627" s="309"/>
      <c r="E627" s="489"/>
      <c r="F627" s="309"/>
      <c r="G627" s="407"/>
      <c r="H627" s="490"/>
      <c r="I627" s="491"/>
      <c r="J627" s="492"/>
      <c r="K627" s="493"/>
      <c r="L627" s="494"/>
      <c r="M627" s="309"/>
      <c r="N627" s="309"/>
      <c r="O627" s="309"/>
      <c r="P627" s="309"/>
      <c r="Q627" s="309"/>
      <c r="R627" s="309"/>
      <c r="S627" s="309"/>
      <c r="T627" s="309"/>
      <c r="U627" s="309"/>
      <c r="V627" s="309"/>
      <c r="W627" s="309"/>
      <c r="X627" s="309"/>
    </row>
    <row r="628" hidden="1">
      <c r="A628" s="348"/>
      <c r="B628" s="488"/>
      <c r="C628" s="309"/>
      <c r="D628" s="309"/>
      <c r="E628" s="489"/>
      <c r="F628" s="309"/>
      <c r="G628" s="407"/>
      <c r="H628" s="490"/>
      <c r="I628" s="491"/>
      <c r="J628" s="492"/>
      <c r="K628" s="493"/>
      <c r="L628" s="494"/>
      <c r="M628" s="309"/>
      <c r="N628" s="309"/>
      <c r="O628" s="309"/>
      <c r="P628" s="309"/>
      <c r="Q628" s="309"/>
      <c r="R628" s="309"/>
      <c r="S628" s="309"/>
      <c r="T628" s="309"/>
      <c r="U628" s="309"/>
      <c r="V628" s="309"/>
      <c r="W628" s="309"/>
      <c r="X628" s="309"/>
    </row>
    <row r="629" hidden="1">
      <c r="A629" s="348"/>
      <c r="B629" s="488"/>
      <c r="C629" s="309"/>
      <c r="D629" s="309"/>
      <c r="E629" s="489"/>
      <c r="F629" s="309"/>
      <c r="G629" s="407"/>
      <c r="H629" s="490"/>
      <c r="I629" s="491"/>
      <c r="J629" s="492"/>
      <c r="K629" s="493"/>
      <c r="L629" s="494"/>
      <c r="M629" s="309"/>
      <c r="N629" s="309"/>
      <c r="O629" s="309"/>
      <c r="P629" s="309"/>
      <c r="Q629" s="309"/>
      <c r="R629" s="309"/>
      <c r="S629" s="309"/>
      <c r="T629" s="309"/>
      <c r="U629" s="309"/>
      <c r="V629" s="309"/>
      <c r="W629" s="309"/>
      <c r="X629" s="309"/>
    </row>
    <row r="630" hidden="1">
      <c r="A630" s="348"/>
      <c r="B630" s="488"/>
      <c r="C630" s="309"/>
      <c r="D630" s="309"/>
      <c r="E630" s="489"/>
      <c r="F630" s="309"/>
      <c r="G630" s="407"/>
      <c r="H630" s="490"/>
      <c r="I630" s="491"/>
      <c r="J630" s="492"/>
      <c r="K630" s="493"/>
      <c r="L630" s="494"/>
      <c r="M630" s="309"/>
      <c r="N630" s="309"/>
      <c r="O630" s="309"/>
      <c r="P630" s="309"/>
      <c r="Q630" s="309"/>
      <c r="R630" s="309"/>
      <c r="S630" s="309"/>
      <c r="T630" s="309"/>
      <c r="U630" s="309"/>
      <c r="V630" s="309"/>
      <c r="W630" s="309"/>
      <c r="X630" s="309"/>
    </row>
    <row r="631" hidden="1">
      <c r="A631" s="348"/>
      <c r="B631" s="488"/>
      <c r="C631" s="309"/>
      <c r="D631" s="309"/>
      <c r="E631" s="489"/>
      <c r="F631" s="309"/>
      <c r="G631" s="407"/>
      <c r="H631" s="490"/>
      <c r="I631" s="491"/>
      <c r="J631" s="492"/>
      <c r="K631" s="493"/>
      <c r="L631" s="494"/>
      <c r="M631" s="309"/>
      <c r="N631" s="309"/>
      <c r="O631" s="309"/>
      <c r="P631" s="309"/>
      <c r="Q631" s="309"/>
      <c r="R631" s="309"/>
      <c r="S631" s="309"/>
      <c r="T631" s="309"/>
      <c r="U631" s="309"/>
      <c r="V631" s="309"/>
      <c r="W631" s="309"/>
      <c r="X631" s="309"/>
    </row>
    <row r="632" hidden="1">
      <c r="A632" s="348"/>
      <c r="B632" s="488"/>
      <c r="C632" s="309"/>
      <c r="D632" s="309"/>
      <c r="E632" s="489"/>
      <c r="F632" s="309"/>
      <c r="G632" s="407"/>
      <c r="H632" s="490"/>
      <c r="I632" s="491"/>
      <c r="J632" s="492"/>
      <c r="K632" s="493"/>
      <c r="L632" s="494"/>
      <c r="M632" s="309"/>
      <c r="N632" s="309"/>
      <c r="O632" s="309"/>
      <c r="P632" s="309"/>
      <c r="Q632" s="309"/>
      <c r="R632" s="309"/>
      <c r="S632" s="309"/>
      <c r="T632" s="309"/>
      <c r="U632" s="309"/>
      <c r="V632" s="309"/>
      <c r="W632" s="309"/>
      <c r="X632" s="309"/>
    </row>
    <row r="633" hidden="1">
      <c r="A633" s="348"/>
      <c r="B633" s="488"/>
      <c r="C633" s="309"/>
      <c r="D633" s="309"/>
      <c r="E633" s="489"/>
      <c r="F633" s="309"/>
      <c r="G633" s="407"/>
      <c r="H633" s="490"/>
      <c r="I633" s="491"/>
      <c r="J633" s="492"/>
      <c r="K633" s="493"/>
      <c r="L633" s="494"/>
      <c r="M633" s="309"/>
      <c r="N633" s="309"/>
      <c r="O633" s="309"/>
      <c r="P633" s="309"/>
      <c r="Q633" s="309"/>
      <c r="R633" s="309"/>
      <c r="S633" s="309"/>
      <c r="T633" s="309"/>
      <c r="U633" s="309"/>
      <c r="V633" s="309"/>
      <c r="W633" s="309"/>
      <c r="X633" s="309"/>
    </row>
    <row r="634" hidden="1">
      <c r="A634" s="348"/>
      <c r="B634" s="488"/>
      <c r="C634" s="309"/>
      <c r="D634" s="309"/>
      <c r="E634" s="489"/>
      <c r="F634" s="309"/>
      <c r="G634" s="407"/>
      <c r="H634" s="490"/>
      <c r="I634" s="491"/>
      <c r="J634" s="492"/>
      <c r="K634" s="493"/>
      <c r="L634" s="494"/>
      <c r="M634" s="309"/>
      <c r="N634" s="309"/>
      <c r="O634" s="309"/>
      <c r="P634" s="309"/>
      <c r="Q634" s="309"/>
      <c r="R634" s="309"/>
      <c r="S634" s="309"/>
      <c r="T634" s="309"/>
      <c r="U634" s="309"/>
      <c r="V634" s="309"/>
      <c r="W634" s="309"/>
      <c r="X634" s="309"/>
    </row>
    <row r="635" hidden="1">
      <c r="A635" s="348"/>
      <c r="B635" s="488"/>
      <c r="C635" s="309"/>
      <c r="D635" s="309"/>
      <c r="E635" s="489"/>
      <c r="F635" s="309"/>
      <c r="G635" s="407"/>
      <c r="H635" s="490"/>
      <c r="I635" s="491"/>
      <c r="J635" s="492"/>
      <c r="K635" s="493"/>
      <c r="L635" s="494"/>
      <c r="M635" s="309"/>
      <c r="N635" s="309"/>
      <c r="O635" s="309"/>
      <c r="P635" s="309"/>
      <c r="Q635" s="309"/>
      <c r="R635" s="309"/>
      <c r="S635" s="309"/>
      <c r="T635" s="309"/>
      <c r="U635" s="309"/>
      <c r="V635" s="309"/>
      <c r="W635" s="309"/>
      <c r="X635" s="309"/>
    </row>
    <row r="636" hidden="1">
      <c r="A636" s="348"/>
      <c r="B636" s="488"/>
      <c r="C636" s="309"/>
      <c r="D636" s="309"/>
      <c r="E636" s="489"/>
      <c r="F636" s="309"/>
      <c r="G636" s="407"/>
      <c r="H636" s="490"/>
      <c r="I636" s="491"/>
      <c r="J636" s="492"/>
      <c r="K636" s="493"/>
      <c r="L636" s="494"/>
      <c r="M636" s="309"/>
      <c r="N636" s="309"/>
      <c r="O636" s="309"/>
      <c r="P636" s="309"/>
      <c r="Q636" s="309"/>
      <c r="R636" s="309"/>
      <c r="S636" s="309"/>
      <c r="T636" s="309"/>
      <c r="U636" s="309"/>
      <c r="V636" s="309"/>
      <c r="W636" s="309"/>
      <c r="X636" s="309"/>
    </row>
    <row r="637" hidden="1">
      <c r="A637" s="348"/>
      <c r="B637" s="488"/>
      <c r="C637" s="309"/>
      <c r="D637" s="309"/>
      <c r="E637" s="489"/>
      <c r="F637" s="309"/>
      <c r="G637" s="407"/>
      <c r="H637" s="490"/>
      <c r="I637" s="491"/>
      <c r="J637" s="492"/>
      <c r="K637" s="493"/>
      <c r="L637" s="494"/>
      <c r="M637" s="309"/>
      <c r="N637" s="309"/>
      <c r="O637" s="309"/>
      <c r="P637" s="309"/>
      <c r="Q637" s="309"/>
      <c r="R637" s="309"/>
      <c r="S637" s="309"/>
      <c r="T637" s="309"/>
      <c r="U637" s="309"/>
      <c r="V637" s="309"/>
      <c r="W637" s="309"/>
      <c r="X637" s="309"/>
    </row>
    <row r="638" hidden="1">
      <c r="A638" s="348"/>
      <c r="B638" s="488"/>
      <c r="C638" s="309"/>
      <c r="D638" s="309"/>
      <c r="E638" s="489"/>
      <c r="F638" s="309"/>
      <c r="G638" s="407"/>
      <c r="H638" s="490"/>
      <c r="I638" s="491"/>
      <c r="J638" s="492"/>
      <c r="K638" s="493"/>
      <c r="L638" s="494"/>
      <c r="M638" s="309"/>
      <c r="N638" s="309"/>
      <c r="O638" s="309"/>
      <c r="P638" s="309"/>
      <c r="Q638" s="309"/>
      <c r="R638" s="309"/>
      <c r="S638" s="309"/>
      <c r="T638" s="309"/>
      <c r="U638" s="309"/>
      <c r="V638" s="309"/>
      <c r="W638" s="309"/>
      <c r="X638" s="309"/>
    </row>
    <row r="639" hidden="1">
      <c r="A639" s="348"/>
      <c r="B639" s="488"/>
      <c r="C639" s="309"/>
      <c r="D639" s="309"/>
      <c r="E639" s="489"/>
      <c r="F639" s="309"/>
      <c r="G639" s="407"/>
      <c r="H639" s="490"/>
      <c r="I639" s="491"/>
      <c r="J639" s="492"/>
      <c r="K639" s="493"/>
      <c r="L639" s="494"/>
      <c r="M639" s="309"/>
      <c r="N639" s="309"/>
      <c r="O639" s="309"/>
      <c r="P639" s="309"/>
      <c r="Q639" s="309"/>
      <c r="R639" s="309"/>
      <c r="S639" s="309"/>
      <c r="T639" s="309"/>
      <c r="U639" s="309"/>
      <c r="V639" s="309"/>
      <c r="W639" s="309"/>
      <c r="X639" s="309"/>
    </row>
    <row r="640" hidden="1">
      <c r="A640" s="348"/>
      <c r="B640" s="488"/>
      <c r="C640" s="309"/>
      <c r="D640" s="309"/>
      <c r="E640" s="489"/>
      <c r="F640" s="309"/>
      <c r="G640" s="407"/>
      <c r="H640" s="490"/>
      <c r="I640" s="491"/>
      <c r="J640" s="492"/>
      <c r="K640" s="493"/>
      <c r="L640" s="494"/>
      <c r="M640" s="309"/>
      <c r="N640" s="309"/>
      <c r="O640" s="309"/>
      <c r="P640" s="309"/>
      <c r="Q640" s="309"/>
      <c r="R640" s="309"/>
      <c r="S640" s="309"/>
      <c r="T640" s="309"/>
      <c r="U640" s="309"/>
      <c r="V640" s="309"/>
      <c r="W640" s="309"/>
      <c r="X640" s="309"/>
    </row>
    <row r="641" hidden="1">
      <c r="A641" s="348"/>
      <c r="B641" s="488"/>
      <c r="C641" s="309"/>
      <c r="D641" s="309"/>
      <c r="E641" s="489"/>
      <c r="F641" s="309"/>
      <c r="G641" s="407"/>
      <c r="H641" s="490"/>
      <c r="I641" s="491"/>
      <c r="J641" s="492"/>
      <c r="K641" s="493"/>
      <c r="L641" s="494"/>
      <c r="M641" s="309"/>
      <c r="N641" s="309"/>
      <c r="O641" s="309"/>
      <c r="P641" s="309"/>
      <c r="Q641" s="309"/>
      <c r="R641" s="309"/>
      <c r="S641" s="309"/>
      <c r="T641" s="309"/>
      <c r="U641" s="309"/>
      <c r="V641" s="309"/>
      <c r="W641" s="309"/>
      <c r="X641" s="309"/>
    </row>
    <row r="642" hidden="1">
      <c r="A642" s="348"/>
      <c r="B642" s="488"/>
      <c r="C642" s="309"/>
      <c r="D642" s="309"/>
      <c r="E642" s="489"/>
      <c r="F642" s="309"/>
      <c r="G642" s="407"/>
      <c r="H642" s="490"/>
      <c r="I642" s="491"/>
      <c r="J642" s="492"/>
      <c r="K642" s="493"/>
      <c r="L642" s="494"/>
      <c r="M642" s="309"/>
      <c r="N642" s="309"/>
      <c r="O642" s="309"/>
      <c r="P642" s="309"/>
      <c r="Q642" s="309"/>
      <c r="R642" s="309"/>
      <c r="S642" s="309"/>
      <c r="T642" s="309"/>
      <c r="U642" s="309"/>
      <c r="V642" s="309"/>
      <c r="W642" s="309"/>
      <c r="X642" s="309"/>
    </row>
    <row r="643" hidden="1">
      <c r="A643" s="348"/>
      <c r="B643" s="488"/>
      <c r="C643" s="309"/>
      <c r="D643" s="309"/>
      <c r="E643" s="489"/>
      <c r="F643" s="309"/>
      <c r="G643" s="407"/>
      <c r="H643" s="490"/>
      <c r="I643" s="491"/>
      <c r="J643" s="492"/>
      <c r="K643" s="493"/>
      <c r="L643" s="494"/>
      <c r="M643" s="309"/>
      <c r="N643" s="309"/>
      <c r="O643" s="309"/>
      <c r="P643" s="309"/>
      <c r="Q643" s="309"/>
      <c r="R643" s="309"/>
      <c r="S643" s="309"/>
      <c r="T643" s="309"/>
      <c r="U643" s="309"/>
      <c r="V643" s="309"/>
      <c r="W643" s="309"/>
      <c r="X643" s="309"/>
    </row>
    <row r="644" hidden="1">
      <c r="A644" s="348"/>
      <c r="B644" s="488"/>
      <c r="C644" s="309"/>
      <c r="D644" s="309"/>
      <c r="E644" s="489"/>
      <c r="F644" s="309"/>
      <c r="G644" s="407"/>
      <c r="H644" s="490"/>
      <c r="I644" s="491"/>
      <c r="J644" s="492"/>
      <c r="K644" s="493"/>
      <c r="L644" s="494"/>
      <c r="M644" s="309"/>
      <c r="N644" s="309"/>
      <c r="O644" s="309"/>
      <c r="P644" s="309"/>
      <c r="Q644" s="309"/>
      <c r="R644" s="309"/>
      <c r="S644" s="309"/>
      <c r="T644" s="309"/>
      <c r="U644" s="309"/>
      <c r="V644" s="309"/>
      <c r="W644" s="309"/>
      <c r="X644" s="309"/>
    </row>
    <row r="645" hidden="1">
      <c r="A645" s="348"/>
      <c r="B645" s="488"/>
      <c r="C645" s="309"/>
      <c r="D645" s="309"/>
      <c r="E645" s="489"/>
      <c r="F645" s="309"/>
      <c r="G645" s="407"/>
      <c r="H645" s="490"/>
      <c r="I645" s="491"/>
      <c r="J645" s="492"/>
      <c r="K645" s="493"/>
      <c r="L645" s="494"/>
      <c r="M645" s="309"/>
      <c r="N645" s="309"/>
      <c r="O645" s="309"/>
      <c r="P645" s="309"/>
      <c r="Q645" s="309"/>
      <c r="R645" s="309"/>
      <c r="S645" s="309"/>
      <c r="T645" s="309"/>
      <c r="U645" s="309"/>
      <c r="V645" s="309"/>
      <c r="W645" s="309"/>
      <c r="X645" s="309"/>
    </row>
    <row r="646" hidden="1">
      <c r="A646" s="348"/>
      <c r="B646" s="488"/>
      <c r="C646" s="309"/>
      <c r="D646" s="309"/>
      <c r="E646" s="489"/>
      <c r="F646" s="309"/>
      <c r="G646" s="407"/>
      <c r="H646" s="490"/>
      <c r="I646" s="491"/>
      <c r="J646" s="492"/>
      <c r="K646" s="493"/>
      <c r="L646" s="494"/>
      <c r="M646" s="309"/>
      <c r="N646" s="309"/>
      <c r="O646" s="309"/>
      <c r="P646" s="309"/>
      <c r="Q646" s="309"/>
      <c r="R646" s="309"/>
      <c r="S646" s="309"/>
      <c r="T646" s="309"/>
      <c r="U646" s="309"/>
      <c r="V646" s="309"/>
      <c r="W646" s="309"/>
      <c r="X646" s="309"/>
    </row>
    <row r="647" hidden="1">
      <c r="A647" s="348"/>
      <c r="B647" s="488"/>
      <c r="C647" s="309"/>
      <c r="D647" s="309"/>
      <c r="E647" s="489"/>
      <c r="F647" s="309"/>
      <c r="G647" s="407"/>
      <c r="H647" s="490"/>
      <c r="I647" s="491"/>
      <c r="J647" s="492"/>
      <c r="K647" s="493"/>
      <c r="L647" s="494"/>
      <c r="M647" s="309"/>
      <c r="N647" s="309"/>
      <c r="O647" s="309"/>
      <c r="P647" s="309"/>
      <c r="Q647" s="309"/>
      <c r="R647" s="309"/>
      <c r="S647" s="309"/>
      <c r="T647" s="309"/>
      <c r="U647" s="309"/>
      <c r="V647" s="309"/>
      <c r="W647" s="309"/>
      <c r="X647" s="309"/>
    </row>
    <row r="648" hidden="1">
      <c r="A648" s="348"/>
      <c r="B648" s="488"/>
      <c r="C648" s="309"/>
      <c r="D648" s="309"/>
      <c r="E648" s="489"/>
      <c r="F648" s="309"/>
      <c r="G648" s="407"/>
      <c r="H648" s="490"/>
      <c r="I648" s="491"/>
      <c r="J648" s="492"/>
      <c r="K648" s="493"/>
      <c r="L648" s="494"/>
      <c r="M648" s="309"/>
      <c r="N648" s="309"/>
      <c r="O648" s="309"/>
      <c r="P648" s="309"/>
      <c r="Q648" s="309"/>
      <c r="R648" s="309"/>
      <c r="S648" s="309"/>
      <c r="T648" s="309"/>
      <c r="U648" s="309"/>
      <c r="V648" s="309"/>
      <c r="W648" s="309"/>
      <c r="X648" s="309"/>
    </row>
    <row r="649" hidden="1">
      <c r="A649" s="348"/>
      <c r="B649" s="488"/>
      <c r="C649" s="309"/>
      <c r="D649" s="309"/>
      <c r="E649" s="489"/>
      <c r="F649" s="309"/>
      <c r="G649" s="407"/>
      <c r="H649" s="490"/>
      <c r="I649" s="491"/>
      <c r="J649" s="492"/>
      <c r="K649" s="493"/>
      <c r="L649" s="494"/>
      <c r="M649" s="309"/>
      <c r="N649" s="309"/>
      <c r="O649" s="309"/>
      <c r="P649" s="309"/>
      <c r="Q649" s="309"/>
      <c r="R649" s="309"/>
      <c r="S649" s="309"/>
      <c r="T649" s="309"/>
      <c r="U649" s="309"/>
      <c r="V649" s="309"/>
      <c r="W649" s="309"/>
      <c r="X649" s="309"/>
    </row>
    <row r="650" hidden="1">
      <c r="A650" s="348"/>
      <c r="B650" s="488"/>
      <c r="C650" s="309"/>
      <c r="D650" s="309"/>
      <c r="E650" s="489"/>
      <c r="F650" s="309"/>
      <c r="G650" s="407"/>
      <c r="H650" s="490"/>
      <c r="I650" s="491"/>
      <c r="J650" s="492"/>
      <c r="K650" s="493"/>
      <c r="L650" s="494"/>
      <c r="M650" s="309"/>
      <c r="N650" s="309"/>
      <c r="O650" s="309"/>
      <c r="P650" s="309"/>
      <c r="Q650" s="309"/>
      <c r="R650" s="309"/>
      <c r="S650" s="309"/>
      <c r="T650" s="309"/>
      <c r="U650" s="309"/>
      <c r="V650" s="309"/>
      <c r="W650" s="309"/>
      <c r="X650" s="309"/>
    </row>
    <row r="651" hidden="1">
      <c r="A651" s="348"/>
      <c r="B651" s="488"/>
      <c r="C651" s="309"/>
      <c r="D651" s="309"/>
      <c r="E651" s="489"/>
      <c r="F651" s="309"/>
      <c r="G651" s="407"/>
      <c r="H651" s="490"/>
      <c r="I651" s="491"/>
      <c r="J651" s="492"/>
      <c r="K651" s="493"/>
      <c r="L651" s="494"/>
      <c r="M651" s="309"/>
      <c r="N651" s="309"/>
      <c r="O651" s="309"/>
      <c r="P651" s="309"/>
      <c r="Q651" s="309"/>
      <c r="R651" s="309"/>
      <c r="S651" s="309"/>
      <c r="T651" s="309"/>
      <c r="U651" s="309"/>
      <c r="V651" s="309"/>
      <c r="W651" s="309"/>
      <c r="X651" s="309"/>
    </row>
    <row r="652" hidden="1">
      <c r="A652" s="348"/>
      <c r="B652" s="488"/>
      <c r="C652" s="309"/>
      <c r="D652" s="309"/>
      <c r="E652" s="489"/>
      <c r="F652" s="309"/>
      <c r="G652" s="407"/>
      <c r="H652" s="490"/>
      <c r="I652" s="491"/>
      <c r="J652" s="492"/>
      <c r="K652" s="493"/>
      <c r="L652" s="494"/>
      <c r="M652" s="309"/>
      <c r="N652" s="309"/>
      <c r="O652" s="309"/>
      <c r="P652" s="309"/>
      <c r="Q652" s="309"/>
      <c r="R652" s="309"/>
      <c r="S652" s="309"/>
      <c r="T652" s="309"/>
      <c r="U652" s="309"/>
      <c r="V652" s="309"/>
      <c r="W652" s="309"/>
      <c r="X652" s="309"/>
    </row>
    <row r="653" hidden="1">
      <c r="A653" s="348"/>
      <c r="B653" s="488"/>
      <c r="C653" s="309"/>
      <c r="D653" s="309"/>
      <c r="E653" s="489"/>
      <c r="F653" s="309"/>
      <c r="G653" s="407"/>
      <c r="H653" s="490"/>
      <c r="I653" s="491"/>
      <c r="J653" s="492"/>
      <c r="K653" s="493"/>
      <c r="L653" s="494"/>
      <c r="M653" s="309"/>
      <c r="N653" s="309"/>
      <c r="O653" s="309"/>
      <c r="P653" s="309"/>
      <c r="Q653" s="309"/>
      <c r="R653" s="309"/>
      <c r="S653" s="309"/>
      <c r="T653" s="309"/>
      <c r="U653" s="309"/>
      <c r="V653" s="309"/>
      <c r="W653" s="309"/>
      <c r="X653" s="309"/>
    </row>
    <row r="654" hidden="1">
      <c r="A654" s="348"/>
      <c r="B654" s="488"/>
      <c r="C654" s="309"/>
      <c r="D654" s="309"/>
      <c r="E654" s="489"/>
      <c r="F654" s="309"/>
      <c r="G654" s="407"/>
      <c r="H654" s="490"/>
      <c r="I654" s="491"/>
      <c r="J654" s="492"/>
      <c r="K654" s="493"/>
      <c r="L654" s="494"/>
      <c r="M654" s="309"/>
      <c r="N654" s="309"/>
      <c r="O654" s="309"/>
      <c r="P654" s="309"/>
      <c r="Q654" s="309"/>
      <c r="R654" s="309"/>
      <c r="S654" s="309"/>
      <c r="T654" s="309"/>
      <c r="U654" s="309"/>
      <c r="V654" s="309"/>
      <c r="W654" s="309"/>
      <c r="X654" s="309"/>
    </row>
    <row r="655" hidden="1">
      <c r="A655" s="348"/>
      <c r="B655" s="488"/>
      <c r="C655" s="309"/>
      <c r="D655" s="309"/>
      <c r="E655" s="489"/>
      <c r="F655" s="309"/>
      <c r="G655" s="407"/>
      <c r="H655" s="490"/>
      <c r="I655" s="491"/>
      <c r="J655" s="492"/>
      <c r="K655" s="493"/>
      <c r="L655" s="494"/>
      <c r="M655" s="309"/>
      <c r="N655" s="309"/>
      <c r="O655" s="309"/>
      <c r="P655" s="309"/>
      <c r="Q655" s="309"/>
      <c r="R655" s="309"/>
      <c r="S655" s="309"/>
      <c r="T655" s="309"/>
      <c r="U655" s="309"/>
      <c r="V655" s="309"/>
      <c r="W655" s="309"/>
      <c r="X655" s="309"/>
    </row>
    <row r="656" hidden="1">
      <c r="A656" s="348"/>
      <c r="B656" s="488"/>
      <c r="C656" s="309"/>
      <c r="D656" s="309"/>
      <c r="E656" s="489"/>
      <c r="F656" s="309"/>
      <c r="G656" s="407"/>
      <c r="H656" s="490"/>
      <c r="I656" s="491"/>
      <c r="J656" s="492"/>
      <c r="K656" s="493"/>
      <c r="L656" s="494"/>
      <c r="M656" s="309"/>
      <c r="N656" s="309"/>
      <c r="O656" s="309"/>
      <c r="P656" s="309"/>
      <c r="Q656" s="309"/>
      <c r="R656" s="309"/>
      <c r="S656" s="309"/>
      <c r="T656" s="309"/>
      <c r="U656" s="309"/>
      <c r="V656" s="309"/>
      <c r="W656" s="309"/>
      <c r="X656" s="309"/>
    </row>
    <row r="657" hidden="1">
      <c r="A657" s="348"/>
      <c r="B657" s="488"/>
      <c r="C657" s="309"/>
      <c r="D657" s="309"/>
      <c r="E657" s="489"/>
      <c r="F657" s="309"/>
      <c r="G657" s="407"/>
      <c r="H657" s="490"/>
      <c r="I657" s="491"/>
      <c r="J657" s="492"/>
      <c r="K657" s="493"/>
      <c r="L657" s="494"/>
      <c r="M657" s="309"/>
      <c r="N657" s="309"/>
      <c r="O657" s="309"/>
      <c r="P657" s="309"/>
      <c r="Q657" s="309"/>
      <c r="R657" s="309"/>
      <c r="S657" s="309"/>
      <c r="T657" s="309"/>
      <c r="U657" s="309"/>
      <c r="V657" s="309"/>
      <c r="W657" s="309"/>
      <c r="X657" s="309"/>
    </row>
    <row r="658" hidden="1">
      <c r="A658" s="348"/>
      <c r="B658" s="488"/>
      <c r="C658" s="309"/>
      <c r="D658" s="309"/>
      <c r="E658" s="489"/>
      <c r="F658" s="309"/>
      <c r="G658" s="407"/>
      <c r="H658" s="490"/>
      <c r="I658" s="491"/>
      <c r="J658" s="492"/>
      <c r="K658" s="493"/>
      <c r="L658" s="494"/>
      <c r="M658" s="309"/>
      <c r="N658" s="309"/>
      <c r="O658" s="309"/>
      <c r="P658" s="309"/>
      <c r="Q658" s="309"/>
      <c r="R658" s="309"/>
      <c r="S658" s="309"/>
      <c r="T658" s="309"/>
      <c r="U658" s="309"/>
      <c r="V658" s="309"/>
      <c r="W658" s="309"/>
      <c r="X658" s="309"/>
    </row>
    <row r="659" hidden="1">
      <c r="A659" s="348"/>
      <c r="B659" s="488"/>
      <c r="C659" s="309"/>
      <c r="D659" s="309"/>
      <c r="E659" s="489"/>
      <c r="F659" s="309"/>
      <c r="G659" s="407"/>
      <c r="H659" s="490"/>
      <c r="I659" s="491"/>
      <c r="J659" s="492"/>
      <c r="K659" s="493"/>
      <c r="L659" s="494"/>
      <c r="M659" s="309"/>
      <c r="N659" s="309"/>
      <c r="O659" s="309"/>
      <c r="P659" s="309"/>
      <c r="Q659" s="309"/>
      <c r="R659" s="309"/>
      <c r="S659" s="309"/>
      <c r="T659" s="309"/>
      <c r="U659" s="309"/>
      <c r="V659" s="309"/>
      <c r="W659" s="309"/>
      <c r="X659" s="309"/>
    </row>
    <row r="660" hidden="1">
      <c r="A660" s="348"/>
      <c r="B660" s="488"/>
      <c r="C660" s="309"/>
      <c r="D660" s="309"/>
      <c r="E660" s="489"/>
      <c r="F660" s="309"/>
      <c r="G660" s="407"/>
      <c r="H660" s="490"/>
      <c r="I660" s="491"/>
      <c r="J660" s="492"/>
      <c r="K660" s="493"/>
      <c r="L660" s="494"/>
      <c r="M660" s="309"/>
      <c r="N660" s="309"/>
      <c r="O660" s="309"/>
      <c r="P660" s="309"/>
      <c r="Q660" s="309"/>
      <c r="R660" s="309"/>
      <c r="S660" s="309"/>
      <c r="T660" s="309"/>
      <c r="U660" s="309"/>
      <c r="V660" s="309"/>
      <c r="W660" s="309"/>
      <c r="X660" s="309"/>
    </row>
    <row r="661" hidden="1">
      <c r="A661" s="348"/>
      <c r="B661" s="488"/>
      <c r="C661" s="309"/>
      <c r="D661" s="309"/>
      <c r="E661" s="489"/>
      <c r="F661" s="309"/>
      <c r="G661" s="407"/>
      <c r="H661" s="490"/>
      <c r="I661" s="491"/>
      <c r="J661" s="492"/>
      <c r="K661" s="493"/>
      <c r="L661" s="494"/>
      <c r="M661" s="309"/>
      <c r="N661" s="309"/>
      <c r="O661" s="309"/>
      <c r="P661" s="309"/>
      <c r="Q661" s="309"/>
      <c r="R661" s="309"/>
      <c r="S661" s="309"/>
      <c r="T661" s="309"/>
      <c r="U661" s="309"/>
      <c r="V661" s="309"/>
      <c r="W661" s="309"/>
      <c r="X661" s="309"/>
    </row>
    <row r="662" hidden="1">
      <c r="A662" s="348"/>
      <c r="B662" s="488"/>
      <c r="C662" s="309"/>
      <c r="D662" s="309"/>
      <c r="E662" s="489"/>
      <c r="F662" s="309"/>
      <c r="G662" s="407"/>
      <c r="H662" s="490"/>
      <c r="I662" s="491"/>
      <c r="J662" s="492"/>
      <c r="K662" s="493"/>
      <c r="L662" s="494"/>
      <c r="M662" s="309"/>
      <c r="N662" s="309"/>
      <c r="O662" s="309"/>
      <c r="P662" s="309"/>
      <c r="Q662" s="309"/>
      <c r="R662" s="309"/>
      <c r="S662" s="309"/>
      <c r="T662" s="309"/>
      <c r="U662" s="309"/>
      <c r="V662" s="309"/>
      <c r="W662" s="309"/>
      <c r="X662" s="309"/>
    </row>
    <row r="663" hidden="1">
      <c r="A663" s="348"/>
      <c r="B663" s="488"/>
      <c r="C663" s="309"/>
      <c r="D663" s="309"/>
      <c r="E663" s="489"/>
      <c r="F663" s="309"/>
      <c r="G663" s="407"/>
      <c r="H663" s="490"/>
      <c r="I663" s="491"/>
      <c r="J663" s="492"/>
      <c r="K663" s="493"/>
      <c r="L663" s="494"/>
      <c r="M663" s="309"/>
      <c r="N663" s="309"/>
      <c r="O663" s="309"/>
      <c r="P663" s="309"/>
      <c r="Q663" s="309"/>
      <c r="R663" s="309"/>
      <c r="S663" s="309"/>
      <c r="T663" s="309"/>
      <c r="U663" s="309"/>
      <c r="V663" s="309"/>
      <c r="W663" s="309"/>
      <c r="X663" s="309"/>
    </row>
    <row r="664" hidden="1">
      <c r="A664" s="348"/>
      <c r="B664" s="488"/>
      <c r="C664" s="309"/>
      <c r="D664" s="309"/>
      <c r="E664" s="489"/>
      <c r="F664" s="309"/>
      <c r="G664" s="407"/>
      <c r="H664" s="490"/>
      <c r="I664" s="491"/>
      <c r="J664" s="492"/>
      <c r="K664" s="493"/>
      <c r="L664" s="494"/>
      <c r="M664" s="309"/>
      <c r="N664" s="309"/>
      <c r="O664" s="309"/>
      <c r="P664" s="309"/>
      <c r="Q664" s="309"/>
      <c r="R664" s="309"/>
      <c r="S664" s="309"/>
      <c r="T664" s="309"/>
      <c r="U664" s="309"/>
      <c r="V664" s="309"/>
      <c r="W664" s="309"/>
      <c r="X664" s="309"/>
    </row>
    <row r="665" hidden="1">
      <c r="A665" s="348"/>
      <c r="B665" s="488"/>
      <c r="C665" s="309"/>
      <c r="D665" s="309"/>
      <c r="E665" s="489"/>
      <c r="F665" s="309"/>
      <c r="G665" s="407"/>
      <c r="H665" s="490"/>
      <c r="I665" s="491"/>
      <c r="J665" s="492"/>
      <c r="K665" s="493"/>
      <c r="L665" s="494"/>
      <c r="M665" s="309"/>
      <c r="N665" s="309"/>
      <c r="O665" s="309"/>
      <c r="P665" s="309"/>
      <c r="Q665" s="309"/>
      <c r="R665" s="309"/>
      <c r="S665" s="309"/>
      <c r="T665" s="309"/>
      <c r="U665" s="309"/>
      <c r="V665" s="309"/>
      <c r="W665" s="309"/>
      <c r="X665" s="309"/>
    </row>
    <row r="666" hidden="1">
      <c r="A666" s="348"/>
      <c r="B666" s="488"/>
      <c r="C666" s="309"/>
      <c r="D666" s="309"/>
      <c r="E666" s="489"/>
      <c r="F666" s="309"/>
      <c r="G666" s="407"/>
      <c r="H666" s="490"/>
      <c r="I666" s="491"/>
      <c r="J666" s="492"/>
      <c r="K666" s="493"/>
      <c r="L666" s="494"/>
      <c r="M666" s="309"/>
      <c r="N666" s="309"/>
      <c r="O666" s="309"/>
      <c r="P666" s="309"/>
      <c r="Q666" s="309"/>
      <c r="R666" s="309"/>
      <c r="S666" s="309"/>
      <c r="T666" s="309"/>
      <c r="U666" s="309"/>
      <c r="V666" s="309"/>
      <c r="W666" s="309"/>
      <c r="X666" s="309"/>
    </row>
    <row r="667" hidden="1">
      <c r="A667" s="348"/>
      <c r="B667" s="488"/>
      <c r="C667" s="309"/>
      <c r="D667" s="309"/>
      <c r="E667" s="489"/>
      <c r="F667" s="309"/>
      <c r="G667" s="407"/>
      <c r="H667" s="490"/>
      <c r="I667" s="491"/>
      <c r="J667" s="492"/>
      <c r="K667" s="493"/>
      <c r="L667" s="494"/>
      <c r="M667" s="309"/>
      <c r="N667" s="309"/>
      <c r="O667" s="309"/>
      <c r="P667" s="309"/>
      <c r="Q667" s="309"/>
      <c r="R667" s="309"/>
      <c r="S667" s="309"/>
      <c r="T667" s="309"/>
      <c r="U667" s="309"/>
      <c r="V667" s="309"/>
      <c r="W667" s="309"/>
      <c r="X667" s="309"/>
    </row>
    <row r="668" hidden="1">
      <c r="A668" s="348"/>
      <c r="B668" s="488"/>
      <c r="C668" s="309"/>
      <c r="D668" s="309"/>
      <c r="E668" s="489"/>
      <c r="F668" s="309"/>
      <c r="G668" s="407"/>
      <c r="H668" s="490"/>
      <c r="I668" s="491"/>
      <c r="J668" s="492"/>
      <c r="K668" s="493"/>
      <c r="L668" s="494"/>
      <c r="M668" s="309"/>
      <c r="N668" s="309"/>
      <c r="O668" s="309"/>
      <c r="P668" s="309"/>
      <c r="Q668" s="309"/>
      <c r="R668" s="309"/>
      <c r="S668" s="309"/>
      <c r="T668" s="309"/>
      <c r="U668" s="309"/>
      <c r="V668" s="309"/>
      <c r="W668" s="309"/>
      <c r="X668" s="309"/>
    </row>
    <row r="669" hidden="1">
      <c r="A669" s="348"/>
      <c r="B669" s="488"/>
      <c r="C669" s="309"/>
      <c r="D669" s="309"/>
      <c r="E669" s="489"/>
      <c r="F669" s="309"/>
      <c r="G669" s="407"/>
      <c r="H669" s="490"/>
      <c r="I669" s="491"/>
      <c r="J669" s="492"/>
      <c r="K669" s="493"/>
      <c r="L669" s="494"/>
      <c r="M669" s="309"/>
      <c r="N669" s="309"/>
      <c r="O669" s="309"/>
      <c r="P669" s="309"/>
      <c r="Q669" s="309"/>
      <c r="R669" s="309"/>
      <c r="S669" s="309"/>
      <c r="T669" s="309"/>
      <c r="U669" s="309"/>
      <c r="V669" s="309"/>
      <c r="W669" s="309"/>
      <c r="X669" s="309"/>
    </row>
    <row r="670" hidden="1">
      <c r="A670" s="348"/>
      <c r="B670" s="488"/>
      <c r="C670" s="309"/>
      <c r="D670" s="309"/>
      <c r="E670" s="489"/>
      <c r="F670" s="309"/>
      <c r="G670" s="407"/>
      <c r="H670" s="490"/>
      <c r="I670" s="491"/>
      <c r="J670" s="492"/>
      <c r="K670" s="493"/>
      <c r="L670" s="494"/>
      <c r="M670" s="309"/>
      <c r="N670" s="309"/>
      <c r="O670" s="309"/>
      <c r="P670" s="309"/>
      <c r="Q670" s="309"/>
      <c r="R670" s="309"/>
      <c r="S670" s="309"/>
      <c r="T670" s="309"/>
      <c r="U670" s="309"/>
      <c r="V670" s="309"/>
      <c r="W670" s="309"/>
      <c r="X670" s="309"/>
    </row>
    <row r="671" hidden="1">
      <c r="A671" s="348"/>
      <c r="B671" s="488"/>
      <c r="C671" s="309"/>
      <c r="D671" s="309"/>
      <c r="E671" s="489"/>
      <c r="F671" s="309"/>
      <c r="G671" s="407"/>
      <c r="H671" s="490"/>
      <c r="I671" s="491"/>
      <c r="J671" s="492"/>
      <c r="K671" s="493"/>
      <c r="L671" s="494"/>
      <c r="M671" s="309"/>
      <c r="N671" s="309"/>
      <c r="O671" s="309"/>
      <c r="P671" s="309"/>
      <c r="Q671" s="309"/>
      <c r="R671" s="309"/>
      <c r="S671" s="309"/>
      <c r="T671" s="309"/>
      <c r="U671" s="309"/>
      <c r="V671" s="309"/>
      <c r="W671" s="309"/>
      <c r="X671" s="309"/>
    </row>
    <row r="672" hidden="1">
      <c r="A672" s="348"/>
      <c r="B672" s="488"/>
      <c r="C672" s="309"/>
      <c r="D672" s="309"/>
      <c r="E672" s="489"/>
      <c r="F672" s="309"/>
      <c r="G672" s="407"/>
      <c r="H672" s="490"/>
      <c r="I672" s="491"/>
      <c r="J672" s="492"/>
      <c r="K672" s="493"/>
      <c r="L672" s="494"/>
      <c r="M672" s="309"/>
      <c r="N672" s="309"/>
      <c r="O672" s="309"/>
      <c r="P672" s="309"/>
      <c r="Q672" s="309"/>
      <c r="R672" s="309"/>
      <c r="S672" s="309"/>
      <c r="T672" s="309"/>
      <c r="U672" s="309"/>
      <c r="V672" s="309"/>
      <c r="W672" s="309"/>
      <c r="X672" s="309"/>
    </row>
    <row r="673" hidden="1">
      <c r="A673" s="348"/>
      <c r="B673" s="488"/>
      <c r="C673" s="309"/>
      <c r="D673" s="309"/>
      <c r="E673" s="489"/>
      <c r="F673" s="309"/>
      <c r="G673" s="407"/>
      <c r="H673" s="490"/>
      <c r="I673" s="491"/>
      <c r="J673" s="492"/>
      <c r="K673" s="493"/>
      <c r="L673" s="494"/>
      <c r="M673" s="309"/>
      <c r="N673" s="309"/>
      <c r="O673" s="309"/>
      <c r="P673" s="309"/>
      <c r="Q673" s="309"/>
      <c r="R673" s="309"/>
      <c r="S673" s="309"/>
      <c r="T673" s="309"/>
      <c r="U673" s="309"/>
      <c r="V673" s="309"/>
      <c r="W673" s="309"/>
      <c r="X673" s="309"/>
    </row>
    <row r="674" hidden="1">
      <c r="A674" s="348"/>
      <c r="B674" s="488"/>
      <c r="C674" s="309"/>
      <c r="D674" s="309"/>
      <c r="E674" s="489"/>
      <c r="F674" s="309"/>
      <c r="G674" s="407"/>
      <c r="H674" s="490"/>
      <c r="I674" s="491"/>
      <c r="J674" s="492"/>
      <c r="K674" s="493"/>
      <c r="L674" s="494"/>
      <c r="M674" s="309"/>
      <c r="N674" s="309"/>
      <c r="O674" s="309"/>
      <c r="P674" s="309"/>
      <c r="Q674" s="309"/>
      <c r="R674" s="309"/>
      <c r="S674" s="309"/>
      <c r="T674" s="309"/>
      <c r="U674" s="309"/>
      <c r="V674" s="309"/>
      <c r="W674" s="309"/>
      <c r="X674" s="309"/>
    </row>
    <row r="675" hidden="1">
      <c r="A675" s="348"/>
      <c r="B675" s="488"/>
      <c r="C675" s="309"/>
      <c r="D675" s="309"/>
      <c r="E675" s="489"/>
      <c r="F675" s="309"/>
      <c r="G675" s="407"/>
      <c r="H675" s="490"/>
      <c r="I675" s="491"/>
      <c r="J675" s="492"/>
      <c r="K675" s="493"/>
      <c r="L675" s="494"/>
      <c r="M675" s="309"/>
      <c r="N675" s="309"/>
      <c r="O675" s="309"/>
      <c r="P675" s="309"/>
      <c r="Q675" s="309"/>
      <c r="R675" s="309"/>
      <c r="S675" s="309"/>
      <c r="T675" s="309"/>
      <c r="U675" s="309"/>
      <c r="V675" s="309"/>
      <c r="W675" s="309"/>
      <c r="X675" s="309"/>
    </row>
    <row r="676" hidden="1">
      <c r="A676" s="348"/>
      <c r="B676" s="488"/>
      <c r="C676" s="309"/>
      <c r="D676" s="309"/>
      <c r="E676" s="489"/>
      <c r="F676" s="309"/>
      <c r="G676" s="407"/>
      <c r="H676" s="490"/>
      <c r="I676" s="491"/>
      <c r="J676" s="492"/>
      <c r="K676" s="493"/>
      <c r="L676" s="494"/>
      <c r="M676" s="309"/>
      <c r="N676" s="309"/>
      <c r="O676" s="309"/>
      <c r="P676" s="309"/>
      <c r="Q676" s="309"/>
      <c r="R676" s="309"/>
      <c r="S676" s="309"/>
      <c r="T676" s="309"/>
      <c r="U676" s="309"/>
      <c r="V676" s="309"/>
      <c r="W676" s="309"/>
      <c r="X676" s="309"/>
    </row>
    <row r="677" hidden="1">
      <c r="A677" s="348"/>
      <c r="B677" s="488"/>
      <c r="C677" s="309"/>
      <c r="D677" s="309"/>
      <c r="E677" s="489"/>
      <c r="F677" s="309"/>
      <c r="G677" s="407"/>
      <c r="H677" s="490"/>
      <c r="I677" s="491"/>
      <c r="J677" s="492"/>
      <c r="K677" s="493"/>
      <c r="L677" s="494"/>
      <c r="M677" s="309"/>
      <c r="N677" s="309"/>
      <c r="O677" s="309"/>
      <c r="P677" s="309"/>
      <c r="Q677" s="309"/>
      <c r="R677" s="309"/>
      <c r="S677" s="309"/>
      <c r="T677" s="309"/>
      <c r="U677" s="309"/>
      <c r="V677" s="309"/>
      <c r="W677" s="309"/>
      <c r="X677" s="309"/>
    </row>
    <row r="678" hidden="1">
      <c r="A678" s="348"/>
      <c r="B678" s="488"/>
      <c r="C678" s="309"/>
      <c r="D678" s="309"/>
      <c r="E678" s="489"/>
      <c r="F678" s="309"/>
      <c r="G678" s="407"/>
      <c r="H678" s="490"/>
      <c r="I678" s="491"/>
      <c r="J678" s="492"/>
      <c r="K678" s="493"/>
      <c r="L678" s="494"/>
      <c r="M678" s="309"/>
      <c r="N678" s="309"/>
      <c r="O678" s="309"/>
      <c r="P678" s="309"/>
      <c r="Q678" s="309"/>
      <c r="R678" s="309"/>
      <c r="S678" s="309"/>
      <c r="T678" s="309"/>
      <c r="U678" s="309"/>
      <c r="V678" s="309"/>
      <c r="W678" s="309"/>
      <c r="X678" s="309"/>
    </row>
    <row r="679" hidden="1">
      <c r="A679" s="348"/>
      <c r="B679" s="488"/>
      <c r="C679" s="309"/>
      <c r="D679" s="309"/>
      <c r="E679" s="489"/>
      <c r="F679" s="309"/>
      <c r="G679" s="407"/>
      <c r="H679" s="490"/>
      <c r="I679" s="491"/>
      <c r="J679" s="492"/>
      <c r="K679" s="493"/>
      <c r="L679" s="494"/>
      <c r="M679" s="309"/>
      <c r="N679" s="309"/>
      <c r="O679" s="309"/>
      <c r="P679" s="309"/>
      <c r="Q679" s="309"/>
      <c r="R679" s="309"/>
      <c r="S679" s="309"/>
      <c r="T679" s="309"/>
      <c r="U679" s="309"/>
      <c r="V679" s="309"/>
      <c r="W679" s="309"/>
      <c r="X679" s="309"/>
    </row>
    <row r="680" hidden="1">
      <c r="A680" s="348"/>
      <c r="B680" s="488"/>
      <c r="C680" s="309"/>
      <c r="D680" s="309"/>
      <c r="E680" s="489"/>
      <c r="F680" s="309"/>
      <c r="G680" s="407"/>
      <c r="H680" s="490"/>
      <c r="I680" s="491"/>
      <c r="J680" s="492"/>
      <c r="K680" s="493"/>
      <c r="L680" s="494"/>
      <c r="M680" s="309"/>
      <c r="N680" s="309"/>
      <c r="O680" s="309"/>
      <c r="P680" s="309"/>
      <c r="Q680" s="309"/>
      <c r="R680" s="309"/>
      <c r="S680" s="309"/>
      <c r="T680" s="309"/>
      <c r="U680" s="309"/>
      <c r="V680" s="309"/>
      <c r="W680" s="309"/>
      <c r="X680" s="309"/>
    </row>
    <row r="681" hidden="1">
      <c r="A681" s="348"/>
      <c r="B681" s="488"/>
      <c r="C681" s="309"/>
      <c r="D681" s="309"/>
      <c r="E681" s="489"/>
      <c r="F681" s="309"/>
      <c r="G681" s="407"/>
      <c r="H681" s="490"/>
      <c r="I681" s="491"/>
      <c r="J681" s="492"/>
      <c r="K681" s="493"/>
      <c r="L681" s="494"/>
      <c r="M681" s="309"/>
      <c r="N681" s="309"/>
      <c r="O681" s="309"/>
      <c r="P681" s="309"/>
      <c r="Q681" s="309"/>
      <c r="R681" s="309"/>
      <c r="S681" s="309"/>
      <c r="T681" s="309"/>
      <c r="U681" s="309"/>
      <c r="V681" s="309"/>
      <c r="W681" s="309"/>
      <c r="X681" s="309"/>
    </row>
    <row r="682" hidden="1">
      <c r="A682" s="348"/>
      <c r="B682" s="488"/>
      <c r="C682" s="309"/>
      <c r="D682" s="309"/>
      <c r="E682" s="489"/>
      <c r="F682" s="309"/>
      <c r="G682" s="407"/>
      <c r="H682" s="490"/>
      <c r="I682" s="491"/>
      <c r="J682" s="492"/>
      <c r="K682" s="493"/>
      <c r="L682" s="494"/>
      <c r="M682" s="309"/>
      <c r="N682" s="309"/>
      <c r="O682" s="309"/>
      <c r="P682" s="309"/>
      <c r="Q682" s="309"/>
      <c r="R682" s="309"/>
      <c r="S682" s="309"/>
      <c r="T682" s="309"/>
      <c r="U682" s="309"/>
      <c r="V682" s="309"/>
      <c r="W682" s="309"/>
      <c r="X682" s="309"/>
    </row>
    <row r="683" hidden="1">
      <c r="A683" s="348"/>
      <c r="B683" s="488"/>
      <c r="C683" s="309"/>
      <c r="D683" s="309"/>
      <c r="E683" s="489"/>
      <c r="F683" s="309"/>
      <c r="G683" s="407"/>
      <c r="H683" s="490"/>
      <c r="I683" s="491"/>
      <c r="J683" s="492"/>
      <c r="K683" s="493"/>
      <c r="L683" s="494"/>
      <c r="M683" s="309"/>
      <c r="N683" s="309"/>
      <c r="O683" s="309"/>
      <c r="P683" s="309"/>
      <c r="Q683" s="309"/>
      <c r="R683" s="309"/>
      <c r="S683" s="309"/>
      <c r="T683" s="309"/>
      <c r="U683" s="309"/>
      <c r="V683" s="309"/>
      <c r="W683" s="309"/>
      <c r="X683" s="309"/>
    </row>
    <row r="684" hidden="1">
      <c r="A684" s="348"/>
      <c r="B684" s="488"/>
      <c r="C684" s="309"/>
      <c r="D684" s="309"/>
      <c r="E684" s="489"/>
      <c r="F684" s="309"/>
      <c r="G684" s="407"/>
      <c r="H684" s="490"/>
      <c r="I684" s="491"/>
      <c r="J684" s="492"/>
      <c r="K684" s="493"/>
      <c r="L684" s="494"/>
      <c r="M684" s="309"/>
      <c r="N684" s="309"/>
      <c r="O684" s="309"/>
      <c r="P684" s="309"/>
      <c r="Q684" s="309"/>
      <c r="R684" s="309"/>
      <c r="S684" s="309"/>
      <c r="T684" s="309"/>
      <c r="U684" s="309"/>
      <c r="V684" s="309"/>
      <c r="W684" s="309"/>
      <c r="X684" s="309"/>
    </row>
    <row r="685" hidden="1">
      <c r="A685" s="348"/>
      <c r="B685" s="488"/>
      <c r="C685" s="309"/>
      <c r="D685" s="309"/>
      <c r="E685" s="489"/>
      <c r="F685" s="309"/>
      <c r="G685" s="407"/>
      <c r="H685" s="490"/>
      <c r="I685" s="491"/>
      <c r="J685" s="492"/>
      <c r="K685" s="493"/>
      <c r="L685" s="494"/>
      <c r="M685" s="309"/>
      <c r="N685" s="309"/>
      <c r="O685" s="309"/>
      <c r="P685" s="309"/>
      <c r="Q685" s="309"/>
      <c r="R685" s="309"/>
      <c r="S685" s="309"/>
      <c r="T685" s="309"/>
      <c r="U685" s="309"/>
      <c r="V685" s="309"/>
      <c r="W685" s="309"/>
      <c r="X685" s="309"/>
    </row>
    <row r="686" hidden="1">
      <c r="A686" s="348"/>
      <c r="B686" s="488"/>
      <c r="C686" s="309"/>
      <c r="D686" s="309"/>
      <c r="E686" s="489"/>
      <c r="F686" s="309"/>
      <c r="G686" s="407"/>
      <c r="H686" s="490"/>
      <c r="I686" s="491"/>
      <c r="J686" s="492"/>
      <c r="K686" s="493"/>
      <c r="L686" s="494"/>
      <c r="M686" s="309"/>
      <c r="N686" s="309"/>
      <c r="O686" s="309"/>
      <c r="P686" s="309"/>
      <c r="Q686" s="309"/>
      <c r="R686" s="309"/>
      <c r="S686" s="309"/>
      <c r="T686" s="309"/>
      <c r="U686" s="309"/>
      <c r="V686" s="309"/>
      <c r="W686" s="309"/>
      <c r="X686" s="309"/>
    </row>
    <row r="687" hidden="1">
      <c r="A687" s="348"/>
      <c r="B687" s="488"/>
      <c r="C687" s="309"/>
      <c r="D687" s="309"/>
      <c r="E687" s="489"/>
      <c r="F687" s="309"/>
      <c r="G687" s="407"/>
      <c r="H687" s="490"/>
      <c r="I687" s="491"/>
      <c r="J687" s="492"/>
      <c r="K687" s="493"/>
      <c r="L687" s="494"/>
      <c r="M687" s="309"/>
      <c r="N687" s="309"/>
      <c r="O687" s="309"/>
      <c r="P687" s="309"/>
      <c r="Q687" s="309"/>
      <c r="R687" s="309"/>
      <c r="S687" s="309"/>
      <c r="T687" s="309"/>
      <c r="U687" s="309"/>
      <c r="V687" s="309"/>
      <c r="W687" s="309"/>
      <c r="X687" s="309"/>
    </row>
    <row r="688" hidden="1">
      <c r="A688" s="348"/>
      <c r="B688" s="488"/>
      <c r="C688" s="309"/>
      <c r="D688" s="309"/>
      <c r="E688" s="489"/>
      <c r="F688" s="309"/>
      <c r="G688" s="407"/>
      <c r="H688" s="490"/>
      <c r="I688" s="491"/>
      <c r="J688" s="492"/>
      <c r="K688" s="493"/>
      <c r="L688" s="494"/>
      <c r="M688" s="309"/>
      <c r="N688" s="309"/>
      <c r="O688" s="309"/>
      <c r="P688" s="309"/>
      <c r="Q688" s="309"/>
      <c r="R688" s="309"/>
      <c r="S688" s="309"/>
      <c r="T688" s="309"/>
      <c r="U688" s="309"/>
      <c r="V688" s="309"/>
      <c r="W688" s="309"/>
      <c r="X688" s="309"/>
    </row>
    <row r="689" hidden="1">
      <c r="A689" s="348"/>
      <c r="B689" s="488"/>
      <c r="C689" s="309"/>
      <c r="D689" s="309"/>
      <c r="E689" s="489"/>
      <c r="F689" s="309"/>
      <c r="G689" s="407"/>
      <c r="H689" s="490"/>
      <c r="I689" s="491"/>
      <c r="J689" s="492"/>
      <c r="K689" s="493"/>
      <c r="L689" s="494"/>
      <c r="M689" s="309"/>
      <c r="N689" s="309"/>
      <c r="O689" s="309"/>
      <c r="P689" s="309"/>
      <c r="Q689" s="309"/>
      <c r="R689" s="309"/>
      <c r="S689" s="309"/>
      <c r="T689" s="309"/>
      <c r="U689" s="309"/>
      <c r="V689" s="309"/>
      <c r="W689" s="309"/>
      <c r="X689" s="309"/>
    </row>
    <row r="690" hidden="1">
      <c r="A690" s="348"/>
      <c r="B690" s="488"/>
      <c r="C690" s="309"/>
      <c r="D690" s="309"/>
      <c r="E690" s="489"/>
      <c r="F690" s="309"/>
      <c r="G690" s="407"/>
      <c r="H690" s="490"/>
      <c r="I690" s="491"/>
      <c r="J690" s="492"/>
      <c r="K690" s="493"/>
      <c r="L690" s="494"/>
      <c r="M690" s="309"/>
      <c r="N690" s="309"/>
      <c r="O690" s="309"/>
      <c r="P690" s="309"/>
      <c r="Q690" s="309"/>
      <c r="R690" s="309"/>
      <c r="S690" s="309"/>
      <c r="T690" s="309"/>
      <c r="U690" s="309"/>
      <c r="V690" s="309"/>
      <c r="W690" s="309"/>
      <c r="X690" s="309"/>
    </row>
    <row r="691" hidden="1">
      <c r="A691" s="348"/>
      <c r="B691" s="488"/>
      <c r="C691" s="309"/>
      <c r="D691" s="309"/>
      <c r="E691" s="489"/>
      <c r="F691" s="309"/>
      <c r="G691" s="407"/>
      <c r="H691" s="490"/>
      <c r="I691" s="491"/>
      <c r="J691" s="492"/>
      <c r="K691" s="493"/>
      <c r="L691" s="494"/>
      <c r="M691" s="309"/>
      <c r="N691" s="309"/>
      <c r="O691" s="309"/>
      <c r="P691" s="309"/>
      <c r="Q691" s="309"/>
      <c r="R691" s="309"/>
      <c r="S691" s="309"/>
      <c r="T691" s="309"/>
      <c r="U691" s="309"/>
      <c r="V691" s="309"/>
      <c r="W691" s="309"/>
      <c r="X691" s="309"/>
    </row>
    <row r="692" hidden="1">
      <c r="A692" s="348"/>
      <c r="B692" s="488"/>
      <c r="C692" s="309"/>
      <c r="D692" s="309"/>
      <c r="E692" s="489"/>
      <c r="F692" s="309"/>
      <c r="G692" s="407"/>
      <c r="H692" s="490"/>
      <c r="I692" s="491"/>
      <c r="J692" s="492"/>
      <c r="K692" s="493"/>
      <c r="L692" s="494"/>
      <c r="M692" s="309"/>
      <c r="N692" s="309"/>
      <c r="O692" s="309"/>
      <c r="P692" s="309"/>
      <c r="Q692" s="309"/>
      <c r="R692" s="309"/>
      <c r="S692" s="309"/>
      <c r="T692" s="309"/>
      <c r="U692" s="309"/>
      <c r="V692" s="309"/>
      <c r="W692" s="309"/>
      <c r="X692" s="309"/>
    </row>
    <row r="693" hidden="1">
      <c r="A693" s="348"/>
      <c r="B693" s="488"/>
      <c r="C693" s="309"/>
      <c r="D693" s="309"/>
      <c r="E693" s="489"/>
      <c r="F693" s="309"/>
      <c r="G693" s="407"/>
      <c r="H693" s="490"/>
      <c r="I693" s="491"/>
      <c r="J693" s="492"/>
      <c r="K693" s="493"/>
      <c r="L693" s="494"/>
      <c r="M693" s="309"/>
      <c r="N693" s="309"/>
      <c r="O693" s="309"/>
      <c r="P693" s="309"/>
      <c r="Q693" s="309"/>
      <c r="R693" s="309"/>
      <c r="S693" s="309"/>
      <c r="T693" s="309"/>
      <c r="U693" s="309"/>
      <c r="V693" s="309"/>
      <c r="W693" s="309"/>
      <c r="X693" s="309"/>
    </row>
    <row r="694" hidden="1">
      <c r="A694" s="348"/>
      <c r="B694" s="488"/>
      <c r="C694" s="309"/>
      <c r="D694" s="309"/>
      <c r="E694" s="489"/>
      <c r="F694" s="309"/>
      <c r="G694" s="407"/>
      <c r="H694" s="490"/>
      <c r="I694" s="491"/>
      <c r="J694" s="492"/>
      <c r="K694" s="493"/>
      <c r="L694" s="494"/>
      <c r="M694" s="309"/>
      <c r="N694" s="309"/>
      <c r="O694" s="309"/>
      <c r="P694" s="309"/>
      <c r="Q694" s="309"/>
      <c r="R694" s="309"/>
      <c r="S694" s="309"/>
      <c r="T694" s="309"/>
      <c r="U694" s="309"/>
      <c r="V694" s="309"/>
      <c r="W694" s="309"/>
      <c r="X694" s="309"/>
    </row>
    <row r="695" hidden="1">
      <c r="A695" s="348"/>
      <c r="B695" s="488"/>
      <c r="C695" s="309"/>
      <c r="D695" s="309"/>
      <c r="E695" s="489"/>
      <c r="F695" s="309"/>
      <c r="G695" s="407"/>
      <c r="H695" s="490"/>
      <c r="I695" s="491"/>
      <c r="J695" s="492"/>
      <c r="K695" s="493"/>
      <c r="L695" s="494"/>
      <c r="M695" s="309"/>
      <c r="N695" s="309"/>
      <c r="O695" s="309"/>
      <c r="P695" s="309"/>
      <c r="Q695" s="309"/>
      <c r="R695" s="309"/>
      <c r="S695" s="309"/>
      <c r="T695" s="309"/>
      <c r="U695" s="309"/>
      <c r="V695" s="309"/>
      <c r="W695" s="309"/>
      <c r="X695" s="309"/>
    </row>
    <row r="696" hidden="1">
      <c r="A696" s="348"/>
      <c r="B696" s="488"/>
      <c r="C696" s="309"/>
      <c r="D696" s="309"/>
      <c r="E696" s="489"/>
      <c r="F696" s="309"/>
      <c r="G696" s="407"/>
      <c r="H696" s="490"/>
      <c r="I696" s="491"/>
      <c r="J696" s="492"/>
      <c r="K696" s="493"/>
      <c r="L696" s="494"/>
      <c r="M696" s="309"/>
      <c r="N696" s="309"/>
      <c r="O696" s="309"/>
      <c r="P696" s="309"/>
      <c r="Q696" s="309"/>
      <c r="R696" s="309"/>
      <c r="S696" s="309"/>
      <c r="T696" s="309"/>
      <c r="U696" s="309"/>
      <c r="V696" s="309"/>
      <c r="W696" s="309"/>
      <c r="X696" s="309"/>
    </row>
    <row r="697" hidden="1">
      <c r="A697" s="348"/>
      <c r="B697" s="488"/>
      <c r="C697" s="309"/>
      <c r="D697" s="309"/>
      <c r="E697" s="489"/>
      <c r="F697" s="309"/>
      <c r="G697" s="407"/>
      <c r="H697" s="490"/>
      <c r="I697" s="491"/>
      <c r="J697" s="492"/>
      <c r="K697" s="493"/>
      <c r="L697" s="494"/>
      <c r="M697" s="309"/>
      <c r="N697" s="309"/>
      <c r="O697" s="309"/>
      <c r="P697" s="309"/>
      <c r="Q697" s="309"/>
      <c r="R697" s="309"/>
      <c r="S697" s="309"/>
      <c r="T697" s="309"/>
      <c r="U697" s="309"/>
      <c r="V697" s="309"/>
      <c r="W697" s="309"/>
      <c r="X697" s="309"/>
    </row>
    <row r="698" hidden="1">
      <c r="A698" s="348"/>
      <c r="B698" s="488"/>
      <c r="C698" s="309"/>
      <c r="D698" s="309"/>
      <c r="E698" s="489"/>
      <c r="F698" s="309"/>
      <c r="G698" s="407"/>
      <c r="H698" s="490"/>
      <c r="I698" s="491"/>
      <c r="J698" s="492"/>
      <c r="K698" s="493"/>
      <c r="L698" s="494"/>
      <c r="M698" s="309"/>
      <c r="N698" s="309"/>
      <c r="O698" s="309"/>
      <c r="P698" s="309"/>
      <c r="Q698" s="309"/>
      <c r="R698" s="309"/>
      <c r="S698" s="309"/>
      <c r="T698" s="309"/>
      <c r="U698" s="309"/>
      <c r="V698" s="309"/>
      <c r="W698" s="309"/>
      <c r="X698" s="309"/>
    </row>
    <row r="699" hidden="1">
      <c r="A699" s="348"/>
      <c r="B699" s="488"/>
      <c r="C699" s="309"/>
      <c r="D699" s="309"/>
      <c r="E699" s="489"/>
      <c r="F699" s="309"/>
      <c r="G699" s="407"/>
      <c r="H699" s="490"/>
      <c r="I699" s="491"/>
      <c r="J699" s="492"/>
      <c r="K699" s="493"/>
      <c r="L699" s="494"/>
      <c r="M699" s="309"/>
      <c r="N699" s="309"/>
      <c r="O699" s="309"/>
      <c r="P699" s="309"/>
      <c r="Q699" s="309"/>
      <c r="R699" s="309"/>
      <c r="S699" s="309"/>
      <c r="T699" s="309"/>
      <c r="U699" s="309"/>
      <c r="V699" s="309"/>
      <c r="W699" s="309"/>
      <c r="X699" s="309"/>
    </row>
    <row r="700" hidden="1">
      <c r="A700" s="348"/>
      <c r="B700" s="488"/>
      <c r="C700" s="309"/>
      <c r="D700" s="309"/>
      <c r="E700" s="489"/>
      <c r="F700" s="309"/>
      <c r="G700" s="407"/>
      <c r="H700" s="490"/>
      <c r="I700" s="491"/>
      <c r="J700" s="492"/>
      <c r="K700" s="493"/>
      <c r="L700" s="494"/>
      <c r="M700" s="309"/>
      <c r="N700" s="309"/>
      <c r="O700" s="309"/>
      <c r="P700" s="309"/>
      <c r="Q700" s="309"/>
      <c r="R700" s="309"/>
      <c r="S700" s="309"/>
      <c r="T700" s="309"/>
      <c r="U700" s="309"/>
      <c r="V700" s="309"/>
      <c r="W700" s="309"/>
      <c r="X700" s="309"/>
    </row>
    <row r="701" hidden="1">
      <c r="A701" s="348"/>
      <c r="B701" s="488"/>
      <c r="C701" s="309"/>
      <c r="D701" s="309"/>
      <c r="E701" s="489"/>
      <c r="F701" s="309"/>
      <c r="G701" s="407"/>
      <c r="H701" s="490"/>
      <c r="I701" s="491"/>
      <c r="J701" s="492"/>
      <c r="K701" s="493"/>
      <c r="L701" s="494"/>
      <c r="M701" s="309"/>
      <c r="N701" s="309"/>
      <c r="O701" s="309"/>
      <c r="P701" s="309"/>
      <c r="Q701" s="309"/>
      <c r="R701" s="309"/>
      <c r="S701" s="309"/>
      <c r="T701" s="309"/>
      <c r="U701" s="309"/>
      <c r="V701" s="309"/>
      <c r="W701" s="309"/>
      <c r="X701" s="309"/>
    </row>
    <row r="702" hidden="1">
      <c r="A702" s="348"/>
      <c r="B702" s="488"/>
      <c r="C702" s="309"/>
      <c r="D702" s="309"/>
      <c r="E702" s="489"/>
      <c r="F702" s="309"/>
      <c r="G702" s="407"/>
      <c r="H702" s="490"/>
      <c r="I702" s="491"/>
      <c r="J702" s="492"/>
      <c r="K702" s="493"/>
      <c r="L702" s="494"/>
      <c r="M702" s="309"/>
      <c r="N702" s="309"/>
      <c r="O702" s="309"/>
      <c r="P702" s="309"/>
      <c r="Q702" s="309"/>
      <c r="R702" s="309"/>
      <c r="S702" s="309"/>
      <c r="T702" s="309"/>
      <c r="U702" s="309"/>
      <c r="V702" s="309"/>
      <c r="W702" s="309"/>
      <c r="X702" s="309"/>
    </row>
    <row r="703" hidden="1">
      <c r="A703" s="348"/>
      <c r="B703" s="488"/>
      <c r="C703" s="309"/>
      <c r="D703" s="309"/>
      <c r="E703" s="489"/>
      <c r="F703" s="309"/>
      <c r="G703" s="407"/>
      <c r="H703" s="490"/>
      <c r="I703" s="491"/>
      <c r="J703" s="492"/>
      <c r="K703" s="493"/>
      <c r="L703" s="494"/>
      <c r="M703" s="309"/>
      <c r="N703" s="309"/>
      <c r="O703" s="309"/>
      <c r="P703" s="309"/>
      <c r="Q703" s="309"/>
      <c r="R703" s="309"/>
      <c r="S703" s="309"/>
      <c r="T703" s="309"/>
      <c r="U703" s="309"/>
      <c r="V703" s="309"/>
      <c r="W703" s="309"/>
      <c r="X703" s="309"/>
    </row>
    <row r="704" hidden="1">
      <c r="A704" s="348"/>
      <c r="B704" s="488"/>
      <c r="C704" s="309"/>
      <c r="D704" s="309"/>
      <c r="E704" s="489"/>
      <c r="F704" s="309"/>
      <c r="G704" s="407"/>
      <c r="H704" s="490"/>
      <c r="I704" s="491"/>
      <c r="J704" s="492"/>
      <c r="K704" s="493"/>
      <c r="L704" s="494"/>
      <c r="M704" s="309"/>
      <c r="N704" s="309"/>
      <c r="O704" s="309"/>
      <c r="P704" s="309"/>
      <c r="Q704" s="309"/>
      <c r="R704" s="309"/>
      <c r="S704" s="309"/>
      <c r="T704" s="309"/>
      <c r="U704" s="309"/>
      <c r="V704" s="309"/>
      <c r="W704" s="309"/>
      <c r="X704" s="309"/>
    </row>
    <row r="705" hidden="1">
      <c r="A705" s="348"/>
      <c r="B705" s="488"/>
      <c r="C705" s="309"/>
      <c r="D705" s="309"/>
      <c r="E705" s="489"/>
      <c r="F705" s="309"/>
      <c r="G705" s="407"/>
      <c r="H705" s="490"/>
      <c r="I705" s="491"/>
      <c r="J705" s="492"/>
      <c r="K705" s="493"/>
      <c r="L705" s="494"/>
      <c r="M705" s="309"/>
      <c r="N705" s="309"/>
      <c r="O705" s="309"/>
      <c r="P705" s="309"/>
      <c r="Q705" s="309"/>
      <c r="R705" s="309"/>
      <c r="S705" s="309"/>
      <c r="T705" s="309"/>
      <c r="U705" s="309"/>
      <c r="V705" s="309"/>
      <c r="W705" s="309"/>
      <c r="X705" s="309"/>
    </row>
    <row r="706" hidden="1">
      <c r="A706" s="348"/>
      <c r="B706" s="488"/>
      <c r="C706" s="309"/>
      <c r="D706" s="309"/>
      <c r="E706" s="489"/>
      <c r="F706" s="309"/>
      <c r="G706" s="407"/>
      <c r="H706" s="490"/>
      <c r="I706" s="491"/>
      <c r="J706" s="492"/>
      <c r="K706" s="493"/>
      <c r="L706" s="494"/>
      <c r="M706" s="309"/>
      <c r="N706" s="309"/>
      <c r="O706" s="309"/>
      <c r="P706" s="309"/>
      <c r="Q706" s="309"/>
      <c r="R706" s="309"/>
      <c r="S706" s="309"/>
      <c r="T706" s="309"/>
      <c r="U706" s="309"/>
      <c r="V706" s="309"/>
      <c r="W706" s="309"/>
      <c r="X706" s="309"/>
    </row>
    <row r="707" hidden="1">
      <c r="A707" s="348"/>
      <c r="B707" s="488"/>
      <c r="C707" s="309"/>
      <c r="D707" s="309"/>
      <c r="E707" s="489"/>
      <c r="F707" s="309"/>
      <c r="G707" s="407"/>
      <c r="H707" s="490"/>
      <c r="I707" s="491"/>
      <c r="J707" s="492"/>
      <c r="K707" s="493"/>
      <c r="L707" s="494"/>
      <c r="M707" s="309"/>
      <c r="N707" s="309"/>
      <c r="O707" s="309"/>
      <c r="P707" s="309"/>
      <c r="Q707" s="309"/>
      <c r="R707" s="309"/>
      <c r="S707" s="309"/>
      <c r="T707" s="309"/>
      <c r="U707" s="309"/>
      <c r="V707" s="309"/>
      <c r="W707" s="309"/>
      <c r="X707" s="309"/>
    </row>
    <row r="708" hidden="1">
      <c r="A708" s="348"/>
      <c r="B708" s="488"/>
      <c r="C708" s="309"/>
      <c r="D708" s="309"/>
      <c r="E708" s="489"/>
      <c r="F708" s="309"/>
      <c r="G708" s="407"/>
      <c r="H708" s="490"/>
      <c r="I708" s="491"/>
      <c r="J708" s="492"/>
      <c r="K708" s="493"/>
      <c r="L708" s="494"/>
      <c r="M708" s="309"/>
      <c r="N708" s="309"/>
      <c r="O708" s="309"/>
      <c r="P708" s="309"/>
      <c r="Q708" s="309"/>
      <c r="R708" s="309"/>
      <c r="S708" s="309"/>
      <c r="T708" s="309"/>
      <c r="U708" s="309"/>
      <c r="V708" s="309"/>
      <c r="W708" s="309"/>
      <c r="X708" s="309"/>
    </row>
    <row r="709" hidden="1">
      <c r="A709" s="348"/>
      <c r="B709" s="488"/>
      <c r="C709" s="309"/>
      <c r="D709" s="309"/>
      <c r="E709" s="489"/>
      <c r="F709" s="309"/>
      <c r="G709" s="407"/>
      <c r="H709" s="490"/>
      <c r="I709" s="491"/>
      <c r="J709" s="492"/>
      <c r="K709" s="493"/>
      <c r="L709" s="494"/>
      <c r="M709" s="309"/>
      <c r="N709" s="309"/>
      <c r="O709" s="309"/>
      <c r="P709" s="309"/>
      <c r="Q709" s="309"/>
      <c r="R709" s="309"/>
      <c r="S709" s="309"/>
      <c r="T709" s="309"/>
      <c r="U709" s="309"/>
      <c r="V709" s="309"/>
      <c r="W709" s="309"/>
      <c r="X709" s="309"/>
    </row>
    <row r="710" hidden="1">
      <c r="A710" s="348"/>
      <c r="B710" s="488"/>
      <c r="C710" s="309"/>
      <c r="D710" s="309"/>
      <c r="E710" s="489"/>
      <c r="F710" s="309"/>
      <c r="G710" s="407"/>
      <c r="H710" s="490"/>
      <c r="I710" s="491"/>
      <c r="J710" s="492"/>
      <c r="K710" s="493"/>
      <c r="L710" s="494"/>
      <c r="M710" s="309"/>
      <c r="N710" s="309"/>
      <c r="O710" s="309"/>
      <c r="P710" s="309"/>
      <c r="Q710" s="309"/>
      <c r="R710" s="309"/>
      <c r="S710" s="309"/>
      <c r="T710" s="309"/>
      <c r="U710" s="309"/>
      <c r="V710" s="309"/>
      <c r="W710" s="309"/>
      <c r="X710" s="309"/>
    </row>
    <row r="711" hidden="1">
      <c r="A711" s="348"/>
      <c r="B711" s="488"/>
      <c r="C711" s="309"/>
      <c r="D711" s="309"/>
      <c r="E711" s="489"/>
      <c r="F711" s="309"/>
      <c r="G711" s="407"/>
      <c r="H711" s="490"/>
      <c r="I711" s="491"/>
      <c r="J711" s="492"/>
      <c r="K711" s="493"/>
      <c r="L711" s="494"/>
      <c r="M711" s="309"/>
      <c r="N711" s="309"/>
      <c r="O711" s="309"/>
      <c r="P711" s="309"/>
      <c r="Q711" s="309"/>
      <c r="R711" s="309"/>
      <c r="S711" s="309"/>
      <c r="T711" s="309"/>
      <c r="U711" s="309"/>
      <c r="V711" s="309"/>
      <c r="W711" s="309"/>
      <c r="X711" s="309"/>
    </row>
    <row r="712" hidden="1">
      <c r="A712" s="348"/>
      <c r="B712" s="488"/>
      <c r="C712" s="309"/>
      <c r="D712" s="309"/>
      <c r="E712" s="489"/>
      <c r="F712" s="309"/>
      <c r="G712" s="407"/>
      <c r="H712" s="490"/>
      <c r="I712" s="491"/>
      <c r="J712" s="492"/>
      <c r="K712" s="493"/>
      <c r="L712" s="494"/>
      <c r="M712" s="309"/>
      <c r="N712" s="309"/>
      <c r="O712" s="309"/>
      <c r="P712" s="309"/>
      <c r="Q712" s="309"/>
      <c r="R712" s="309"/>
      <c r="S712" s="309"/>
      <c r="T712" s="309"/>
      <c r="U712" s="309"/>
      <c r="V712" s="309"/>
      <c r="W712" s="309"/>
      <c r="X712" s="309"/>
    </row>
    <row r="713" hidden="1">
      <c r="A713" s="348"/>
      <c r="B713" s="488"/>
      <c r="C713" s="309"/>
      <c r="D713" s="309"/>
      <c r="E713" s="489"/>
      <c r="F713" s="309"/>
      <c r="G713" s="407"/>
      <c r="H713" s="490"/>
      <c r="I713" s="491"/>
      <c r="J713" s="492"/>
      <c r="K713" s="493"/>
      <c r="L713" s="494"/>
      <c r="M713" s="309"/>
      <c r="N713" s="309"/>
      <c r="O713" s="309"/>
      <c r="P713" s="309"/>
      <c r="Q713" s="309"/>
      <c r="R713" s="309"/>
      <c r="S713" s="309"/>
      <c r="T713" s="309"/>
      <c r="U713" s="309"/>
      <c r="V713" s="309"/>
      <c r="W713" s="309"/>
      <c r="X713" s="309"/>
    </row>
    <row r="714" hidden="1">
      <c r="A714" s="348"/>
      <c r="B714" s="488"/>
      <c r="C714" s="309"/>
      <c r="D714" s="309"/>
      <c r="E714" s="489"/>
      <c r="F714" s="309"/>
      <c r="G714" s="407"/>
      <c r="H714" s="490"/>
      <c r="I714" s="491"/>
      <c r="J714" s="492"/>
      <c r="K714" s="493"/>
      <c r="L714" s="494"/>
      <c r="M714" s="309"/>
      <c r="N714" s="309"/>
      <c r="O714" s="309"/>
      <c r="P714" s="309"/>
      <c r="Q714" s="309"/>
      <c r="R714" s="309"/>
      <c r="S714" s="309"/>
      <c r="T714" s="309"/>
      <c r="U714" s="309"/>
      <c r="V714" s="309"/>
      <c r="W714" s="309"/>
      <c r="X714" s="309"/>
    </row>
    <row r="715" hidden="1">
      <c r="A715" s="348"/>
      <c r="B715" s="488"/>
      <c r="C715" s="309"/>
      <c r="D715" s="309"/>
      <c r="E715" s="489"/>
      <c r="F715" s="309"/>
      <c r="G715" s="407"/>
      <c r="H715" s="490"/>
      <c r="I715" s="491"/>
      <c r="J715" s="492"/>
      <c r="K715" s="493"/>
      <c r="L715" s="494"/>
      <c r="M715" s="309"/>
      <c r="N715" s="309"/>
      <c r="O715" s="309"/>
      <c r="P715" s="309"/>
      <c r="Q715" s="309"/>
      <c r="R715" s="309"/>
      <c r="S715" s="309"/>
      <c r="T715" s="309"/>
      <c r="U715" s="309"/>
      <c r="V715" s="309"/>
      <c r="W715" s="309"/>
      <c r="X715" s="309"/>
    </row>
    <row r="716" hidden="1">
      <c r="A716" s="348"/>
      <c r="B716" s="488"/>
      <c r="C716" s="309"/>
      <c r="D716" s="309"/>
      <c r="E716" s="489"/>
      <c r="F716" s="309"/>
      <c r="G716" s="407"/>
      <c r="H716" s="490"/>
      <c r="I716" s="491"/>
      <c r="J716" s="492"/>
      <c r="K716" s="493"/>
      <c r="L716" s="494"/>
      <c r="M716" s="309"/>
      <c r="N716" s="309"/>
      <c r="O716" s="309"/>
      <c r="P716" s="309"/>
      <c r="Q716" s="309"/>
      <c r="R716" s="309"/>
      <c r="S716" s="309"/>
      <c r="T716" s="309"/>
      <c r="U716" s="309"/>
      <c r="V716" s="309"/>
      <c r="W716" s="309"/>
      <c r="X716" s="309"/>
    </row>
    <row r="717" hidden="1">
      <c r="A717" s="348"/>
      <c r="B717" s="488"/>
      <c r="C717" s="309"/>
      <c r="D717" s="309"/>
      <c r="E717" s="489"/>
      <c r="F717" s="309"/>
      <c r="G717" s="407"/>
      <c r="H717" s="490"/>
      <c r="I717" s="491"/>
      <c r="J717" s="492"/>
      <c r="K717" s="493"/>
      <c r="L717" s="494"/>
      <c r="M717" s="309"/>
      <c r="N717" s="309"/>
      <c r="O717" s="309"/>
      <c r="P717" s="309"/>
      <c r="Q717" s="309"/>
      <c r="R717" s="309"/>
      <c r="S717" s="309"/>
      <c r="T717" s="309"/>
      <c r="U717" s="309"/>
      <c r="V717" s="309"/>
      <c r="W717" s="309"/>
      <c r="X717" s="309"/>
    </row>
    <row r="718" hidden="1">
      <c r="A718" s="348"/>
      <c r="B718" s="488"/>
      <c r="C718" s="309"/>
      <c r="D718" s="309"/>
      <c r="E718" s="489"/>
      <c r="F718" s="309"/>
      <c r="G718" s="407"/>
      <c r="H718" s="490"/>
      <c r="I718" s="491"/>
      <c r="J718" s="492"/>
      <c r="K718" s="493"/>
      <c r="L718" s="494"/>
      <c r="M718" s="309"/>
      <c r="N718" s="309"/>
      <c r="O718" s="309"/>
      <c r="P718" s="309"/>
      <c r="Q718" s="309"/>
      <c r="R718" s="309"/>
      <c r="S718" s="309"/>
      <c r="T718" s="309"/>
      <c r="U718" s="309"/>
      <c r="V718" s="309"/>
      <c r="W718" s="309"/>
      <c r="X718" s="309"/>
    </row>
    <row r="719" hidden="1">
      <c r="A719" s="348"/>
      <c r="B719" s="488"/>
      <c r="C719" s="309"/>
      <c r="D719" s="309"/>
      <c r="E719" s="489"/>
      <c r="F719" s="309"/>
      <c r="G719" s="407"/>
      <c r="H719" s="490"/>
      <c r="I719" s="491"/>
      <c r="J719" s="492"/>
      <c r="K719" s="493"/>
      <c r="L719" s="494"/>
      <c r="M719" s="309"/>
      <c r="N719" s="309"/>
      <c r="O719" s="309"/>
      <c r="P719" s="309"/>
      <c r="Q719" s="309"/>
      <c r="R719" s="309"/>
      <c r="S719" s="309"/>
      <c r="T719" s="309"/>
      <c r="U719" s="309"/>
      <c r="V719" s="309"/>
      <c r="W719" s="309"/>
      <c r="X719" s="309"/>
    </row>
    <row r="720" hidden="1">
      <c r="A720" s="348"/>
      <c r="B720" s="488"/>
      <c r="C720" s="309"/>
      <c r="D720" s="309"/>
      <c r="E720" s="489"/>
      <c r="F720" s="309"/>
      <c r="G720" s="407"/>
      <c r="H720" s="490"/>
      <c r="I720" s="491"/>
      <c r="J720" s="492"/>
      <c r="K720" s="493"/>
      <c r="L720" s="494"/>
      <c r="M720" s="309"/>
      <c r="N720" s="309"/>
      <c r="O720" s="309"/>
      <c r="P720" s="309"/>
      <c r="Q720" s="309"/>
      <c r="R720" s="309"/>
      <c r="S720" s="309"/>
      <c r="T720" s="309"/>
      <c r="U720" s="309"/>
      <c r="V720" s="309"/>
      <c r="W720" s="309"/>
      <c r="X720" s="309"/>
    </row>
    <row r="721" hidden="1">
      <c r="A721" s="348"/>
      <c r="B721" s="488"/>
      <c r="C721" s="309"/>
      <c r="D721" s="309"/>
      <c r="E721" s="489"/>
      <c r="F721" s="309"/>
      <c r="G721" s="407"/>
      <c r="H721" s="490"/>
      <c r="I721" s="491"/>
      <c r="J721" s="492"/>
      <c r="K721" s="493"/>
      <c r="L721" s="494"/>
      <c r="M721" s="309"/>
      <c r="N721" s="309"/>
      <c r="O721" s="309"/>
      <c r="P721" s="309"/>
      <c r="Q721" s="309"/>
      <c r="R721" s="309"/>
      <c r="S721" s="309"/>
      <c r="T721" s="309"/>
      <c r="U721" s="309"/>
      <c r="V721" s="309"/>
      <c r="W721" s="309"/>
      <c r="X721" s="309"/>
    </row>
    <row r="722" hidden="1">
      <c r="A722" s="348"/>
      <c r="B722" s="488"/>
      <c r="C722" s="309"/>
      <c r="D722" s="309"/>
      <c r="E722" s="489"/>
      <c r="F722" s="309"/>
      <c r="G722" s="407"/>
      <c r="H722" s="490"/>
      <c r="I722" s="491"/>
      <c r="J722" s="492"/>
      <c r="K722" s="493"/>
      <c r="L722" s="494"/>
      <c r="M722" s="309"/>
      <c r="N722" s="309"/>
      <c r="O722" s="309"/>
      <c r="P722" s="309"/>
      <c r="Q722" s="309"/>
      <c r="R722" s="309"/>
      <c r="S722" s="309"/>
      <c r="T722" s="309"/>
      <c r="U722" s="309"/>
      <c r="V722" s="309"/>
      <c r="W722" s="309"/>
      <c r="X722" s="309"/>
    </row>
    <row r="723" hidden="1">
      <c r="A723" s="348"/>
      <c r="B723" s="488"/>
      <c r="C723" s="309"/>
      <c r="D723" s="309"/>
      <c r="E723" s="489"/>
      <c r="F723" s="309"/>
      <c r="G723" s="407"/>
      <c r="H723" s="490"/>
      <c r="I723" s="491"/>
      <c r="J723" s="492"/>
      <c r="K723" s="493"/>
      <c r="L723" s="494"/>
      <c r="M723" s="309"/>
      <c r="N723" s="309"/>
      <c r="O723" s="309"/>
      <c r="P723" s="309"/>
      <c r="Q723" s="309"/>
      <c r="R723" s="309"/>
      <c r="S723" s="309"/>
      <c r="T723" s="309"/>
      <c r="U723" s="309"/>
      <c r="V723" s="309"/>
      <c r="W723" s="309"/>
      <c r="X723" s="309"/>
    </row>
    <row r="724" hidden="1">
      <c r="A724" s="348"/>
      <c r="B724" s="488"/>
      <c r="C724" s="309"/>
      <c r="D724" s="309"/>
      <c r="E724" s="489"/>
      <c r="F724" s="309"/>
      <c r="G724" s="407"/>
      <c r="H724" s="490"/>
      <c r="I724" s="491"/>
      <c r="J724" s="492"/>
      <c r="K724" s="493"/>
      <c r="L724" s="494"/>
      <c r="M724" s="309"/>
      <c r="N724" s="309"/>
      <c r="O724" s="309"/>
      <c r="P724" s="309"/>
      <c r="Q724" s="309"/>
      <c r="R724" s="309"/>
      <c r="S724" s="309"/>
      <c r="T724" s="309"/>
      <c r="U724" s="309"/>
      <c r="V724" s="309"/>
      <c r="W724" s="309"/>
      <c r="X724" s="309"/>
    </row>
    <row r="725" hidden="1">
      <c r="A725" s="348"/>
      <c r="B725" s="488"/>
      <c r="C725" s="309"/>
      <c r="D725" s="309"/>
      <c r="E725" s="489"/>
      <c r="F725" s="309"/>
      <c r="G725" s="407"/>
      <c r="H725" s="490"/>
      <c r="I725" s="491"/>
      <c r="J725" s="492"/>
      <c r="K725" s="493"/>
      <c r="L725" s="494"/>
      <c r="M725" s="309"/>
      <c r="N725" s="309"/>
      <c r="O725" s="309"/>
      <c r="P725" s="309"/>
      <c r="Q725" s="309"/>
      <c r="R725" s="309"/>
      <c r="S725" s="309"/>
      <c r="T725" s="309"/>
      <c r="U725" s="309"/>
      <c r="V725" s="309"/>
      <c r="W725" s="309"/>
      <c r="X725" s="309"/>
    </row>
    <row r="726" hidden="1">
      <c r="A726" s="348"/>
      <c r="B726" s="488"/>
      <c r="C726" s="309"/>
      <c r="D726" s="309"/>
      <c r="E726" s="489"/>
      <c r="F726" s="309"/>
      <c r="G726" s="407"/>
      <c r="H726" s="490"/>
      <c r="I726" s="491"/>
      <c r="J726" s="492"/>
      <c r="K726" s="493"/>
      <c r="L726" s="494"/>
      <c r="M726" s="309"/>
      <c r="N726" s="309"/>
      <c r="O726" s="309"/>
      <c r="P726" s="309"/>
      <c r="Q726" s="309"/>
      <c r="R726" s="309"/>
      <c r="S726" s="309"/>
      <c r="T726" s="309"/>
      <c r="U726" s="309"/>
      <c r="V726" s="309"/>
      <c r="W726" s="309"/>
      <c r="X726" s="309"/>
    </row>
    <row r="727" hidden="1">
      <c r="A727" s="348"/>
      <c r="B727" s="488"/>
      <c r="C727" s="309"/>
      <c r="D727" s="309"/>
      <c r="E727" s="489"/>
      <c r="F727" s="309"/>
      <c r="G727" s="407"/>
      <c r="H727" s="490"/>
      <c r="I727" s="491"/>
      <c r="J727" s="492"/>
      <c r="K727" s="493"/>
      <c r="L727" s="494"/>
      <c r="M727" s="309"/>
      <c r="N727" s="309"/>
      <c r="O727" s="309"/>
      <c r="P727" s="309"/>
      <c r="Q727" s="309"/>
      <c r="R727" s="309"/>
      <c r="S727" s="309"/>
      <c r="T727" s="309"/>
      <c r="U727" s="309"/>
      <c r="V727" s="309"/>
      <c r="W727" s="309"/>
      <c r="X727" s="309"/>
    </row>
    <row r="728" hidden="1">
      <c r="A728" s="348"/>
      <c r="B728" s="488"/>
      <c r="C728" s="309"/>
      <c r="D728" s="309"/>
      <c r="E728" s="489"/>
      <c r="F728" s="309"/>
      <c r="G728" s="407"/>
      <c r="H728" s="490"/>
      <c r="I728" s="491"/>
      <c r="J728" s="492"/>
      <c r="K728" s="493"/>
      <c r="L728" s="494"/>
      <c r="M728" s="309"/>
      <c r="N728" s="309"/>
      <c r="O728" s="309"/>
      <c r="P728" s="309"/>
      <c r="Q728" s="309"/>
      <c r="R728" s="309"/>
      <c r="S728" s="309"/>
      <c r="T728" s="309"/>
      <c r="U728" s="309"/>
      <c r="V728" s="309"/>
      <c r="W728" s="309"/>
      <c r="X728" s="309"/>
    </row>
    <row r="729" hidden="1">
      <c r="A729" s="348"/>
      <c r="B729" s="488"/>
      <c r="C729" s="309"/>
      <c r="D729" s="309"/>
      <c r="E729" s="489"/>
      <c r="F729" s="309"/>
      <c r="G729" s="407"/>
      <c r="H729" s="490"/>
      <c r="I729" s="491"/>
      <c r="J729" s="492"/>
      <c r="K729" s="493"/>
      <c r="L729" s="494"/>
      <c r="M729" s="309"/>
      <c r="N729" s="309"/>
      <c r="O729" s="309"/>
      <c r="P729" s="309"/>
      <c r="Q729" s="309"/>
      <c r="R729" s="309"/>
      <c r="S729" s="309"/>
      <c r="T729" s="309"/>
      <c r="U729" s="309"/>
      <c r="V729" s="309"/>
      <c r="W729" s="309"/>
      <c r="X729" s="309"/>
    </row>
    <row r="730" hidden="1">
      <c r="A730" s="348"/>
      <c r="B730" s="488"/>
      <c r="C730" s="309"/>
      <c r="D730" s="309"/>
      <c r="E730" s="489"/>
      <c r="F730" s="309"/>
      <c r="G730" s="407"/>
      <c r="H730" s="490"/>
      <c r="I730" s="491"/>
      <c r="J730" s="492"/>
      <c r="K730" s="493"/>
      <c r="L730" s="494"/>
      <c r="M730" s="309"/>
      <c r="N730" s="309"/>
      <c r="O730" s="309"/>
      <c r="P730" s="309"/>
      <c r="Q730" s="309"/>
      <c r="R730" s="309"/>
      <c r="S730" s="309"/>
      <c r="T730" s="309"/>
      <c r="U730" s="309"/>
      <c r="V730" s="309"/>
      <c r="W730" s="309"/>
      <c r="X730" s="309"/>
    </row>
    <row r="731" hidden="1">
      <c r="A731" s="348"/>
      <c r="B731" s="488"/>
      <c r="C731" s="309"/>
      <c r="D731" s="309"/>
      <c r="E731" s="489"/>
      <c r="F731" s="309"/>
      <c r="G731" s="407"/>
      <c r="H731" s="490"/>
      <c r="I731" s="491"/>
      <c r="J731" s="492"/>
      <c r="K731" s="493"/>
      <c r="L731" s="494"/>
      <c r="M731" s="309"/>
      <c r="N731" s="309"/>
      <c r="O731" s="309"/>
      <c r="P731" s="309"/>
      <c r="Q731" s="309"/>
      <c r="R731" s="309"/>
      <c r="S731" s="309"/>
      <c r="T731" s="309"/>
      <c r="U731" s="309"/>
      <c r="V731" s="309"/>
      <c r="W731" s="309"/>
      <c r="X731" s="309"/>
    </row>
    <row r="732" hidden="1">
      <c r="A732" s="348"/>
      <c r="B732" s="488"/>
      <c r="C732" s="309"/>
      <c r="D732" s="309"/>
      <c r="E732" s="489"/>
      <c r="F732" s="309"/>
      <c r="G732" s="407"/>
      <c r="H732" s="490"/>
      <c r="I732" s="491"/>
      <c r="J732" s="492"/>
      <c r="K732" s="493"/>
      <c r="L732" s="494"/>
      <c r="M732" s="309"/>
      <c r="N732" s="309"/>
      <c r="O732" s="309"/>
      <c r="P732" s="309"/>
      <c r="Q732" s="309"/>
      <c r="R732" s="309"/>
      <c r="S732" s="309"/>
      <c r="T732" s="309"/>
      <c r="U732" s="309"/>
      <c r="V732" s="309"/>
      <c r="W732" s="309"/>
      <c r="X732" s="309"/>
    </row>
    <row r="733" hidden="1">
      <c r="A733" s="348"/>
      <c r="B733" s="488"/>
      <c r="C733" s="309"/>
      <c r="D733" s="309"/>
      <c r="E733" s="489"/>
      <c r="F733" s="309"/>
      <c r="G733" s="407"/>
      <c r="H733" s="490"/>
      <c r="I733" s="491"/>
      <c r="J733" s="492"/>
      <c r="K733" s="493"/>
      <c r="L733" s="494"/>
      <c r="M733" s="309"/>
      <c r="N733" s="309"/>
      <c r="O733" s="309"/>
      <c r="P733" s="309"/>
      <c r="Q733" s="309"/>
      <c r="R733" s="309"/>
      <c r="S733" s="309"/>
      <c r="T733" s="309"/>
      <c r="U733" s="309"/>
      <c r="V733" s="309"/>
      <c r="W733" s="309"/>
      <c r="X733" s="309"/>
    </row>
    <row r="734" hidden="1">
      <c r="A734" s="348"/>
      <c r="B734" s="488"/>
      <c r="C734" s="309"/>
      <c r="D734" s="309"/>
      <c r="E734" s="489"/>
      <c r="F734" s="309"/>
      <c r="G734" s="407"/>
      <c r="H734" s="490"/>
      <c r="I734" s="491"/>
      <c r="J734" s="492"/>
      <c r="K734" s="493"/>
      <c r="L734" s="494"/>
      <c r="M734" s="309"/>
      <c r="N734" s="309"/>
      <c r="O734" s="309"/>
      <c r="P734" s="309"/>
      <c r="Q734" s="309"/>
      <c r="R734" s="309"/>
      <c r="S734" s="309"/>
      <c r="T734" s="309"/>
      <c r="U734" s="309"/>
      <c r="V734" s="309"/>
      <c r="W734" s="309"/>
      <c r="X734" s="309"/>
    </row>
    <row r="735" hidden="1">
      <c r="A735" s="348"/>
      <c r="B735" s="488"/>
      <c r="C735" s="309"/>
      <c r="D735" s="309"/>
      <c r="E735" s="489"/>
      <c r="F735" s="309"/>
      <c r="G735" s="407"/>
      <c r="H735" s="490"/>
      <c r="I735" s="491"/>
      <c r="J735" s="492"/>
      <c r="K735" s="493"/>
      <c r="L735" s="494"/>
      <c r="M735" s="309"/>
      <c r="N735" s="309"/>
      <c r="O735" s="309"/>
      <c r="P735" s="309"/>
      <c r="Q735" s="309"/>
      <c r="R735" s="309"/>
      <c r="S735" s="309"/>
      <c r="T735" s="309"/>
      <c r="U735" s="309"/>
      <c r="V735" s="309"/>
      <c r="W735" s="309"/>
      <c r="X735" s="309"/>
    </row>
    <row r="736" hidden="1">
      <c r="A736" s="348"/>
      <c r="B736" s="488"/>
      <c r="C736" s="309"/>
      <c r="D736" s="309"/>
      <c r="E736" s="489"/>
      <c r="F736" s="309"/>
      <c r="G736" s="407"/>
      <c r="H736" s="490"/>
      <c r="I736" s="491"/>
      <c r="J736" s="492"/>
      <c r="K736" s="493"/>
      <c r="L736" s="494"/>
      <c r="M736" s="309"/>
      <c r="N736" s="309"/>
      <c r="O736" s="309"/>
      <c r="P736" s="309"/>
      <c r="Q736" s="309"/>
      <c r="R736" s="309"/>
      <c r="S736" s="309"/>
      <c r="T736" s="309"/>
      <c r="U736" s="309"/>
      <c r="V736" s="309"/>
      <c r="W736" s="309"/>
      <c r="X736" s="309"/>
    </row>
    <row r="737" hidden="1">
      <c r="A737" s="348"/>
      <c r="B737" s="488"/>
      <c r="C737" s="309"/>
      <c r="D737" s="309"/>
      <c r="E737" s="489"/>
      <c r="F737" s="309"/>
      <c r="G737" s="407"/>
      <c r="H737" s="490"/>
      <c r="I737" s="491"/>
      <c r="J737" s="492"/>
      <c r="K737" s="493"/>
      <c r="L737" s="494"/>
      <c r="M737" s="309"/>
      <c r="N737" s="309"/>
      <c r="O737" s="309"/>
      <c r="P737" s="309"/>
      <c r="Q737" s="309"/>
      <c r="R737" s="309"/>
      <c r="S737" s="309"/>
      <c r="T737" s="309"/>
      <c r="U737" s="309"/>
      <c r="V737" s="309"/>
      <c r="W737" s="309"/>
      <c r="X737" s="309"/>
    </row>
    <row r="738" hidden="1">
      <c r="A738" s="348"/>
      <c r="B738" s="488"/>
      <c r="C738" s="309"/>
      <c r="D738" s="309"/>
      <c r="E738" s="489"/>
      <c r="F738" s="309"/>
      <c r="G738" s="407"/>
      <c r="H738" s="490"/>
      <c r="I738" s="491"/>
      <c r="J738" s="492"/>
      <c r="K738" s="493"/>
      <c r="L738" s="494"/>
      <c r="M738" s="309"/>
      <c r="N738" s="309"/>
      <c r="O738" s="309"/>
      <c r="P738" s="309"/>
      <c r="Q738" s="309"/>
      <c r="R738" s="309"/>
      <c r="S738" s="309"/>
      <c r="T738" s="309"/>
      <c r="U738" s="309"/>
      <c r="V738" s="309"/>
      <c r="W738" s="309"/>
      <c r="X738" s="309"/>
    </row>
    <row r="739" hidden="1">
      <c r="A739" s="348"/>
      <c r="B739" s="488"/>
      <c r="C739" s="309"/>
      <c r="D739" s="309"/>
      <c r="E739" s="489"/>
      <c r="F739" s="309"/>
      <c r="G739" s="407"/>
      <c r="H739" s="490"/>
      <c r="I739" s="491"/>
      <c r="J739" s="492"/>
      <c r="K739" s="493"/>
      <c r="L739" s="494"/>
      <c r="M739" s="309"/>
      <c r="N739" s="309"/>
      <c r="O739" s="309"/>
      <c r="P739" s="309"/>
      <c r="Q739" s="309"/>
      <c r="R739" s="309"/>
      <c r="S739" s="309"/>
      <c r="T739" s="309"/>
      <c r="U739" s="309"/>
      <c r="V739" s="309"/>
      <c r="W739" s="309"/>
      <c r="X739" s="309"/>
    </row>
    <row r="740" hidden="1">
      <c r="A740" s="348"/>
      <c r="B740" s="488"/>
      <c r="C740" s="309"/>
      <c r="D740" s="309"/>
      <c r="E740" s="489"/>
      <c r="F740" s="309"/>
      <c r="G740" s="407"/>
      <c r="H740" s="490"/>
      <c r="I740" s="491"/>
      <c r="J740" s="492"/>
      <c r="K740" s="493"/>
      <c r="L740" s="494"/>
      <c r="M740" s="309"/>
      <c r="N740" s="309"/>
      <c r="O740" s="309"/>
      <c r="P740" s="309"/>
      <c r="Q740" s="309"/>
      <c r="R740" s="309"/>
      <c r="S740" s="309"/>
      <c r="T740" s="309"/>
      <c r="U740" s="309"/>
      <c r="V740" s="309"/>
      <c r="W740" s="309"/>
      <c r="X740" s="309"/>
    </row>
    <row r="741" hidden="1">
      <c r="A741" s="348"/>
      <c r="B741" s="488"/>
      <c r="C741" s="309"/>
      <c r="D741" s="309"/>
      <c r="E741" s="489"/>
      <c r="F741" s="309"/>
      <c r="G741" s="407"/>
      <c r="H741" s="490"/>
      <c r="I741" s="491"/>
      <c r="J741" s="492"/>
      <c r="K741" s="493"/>
      <c r="L741" s="494"/>
      <c r="M741" s="309"/>
      <c r="N741" s="309"/>
      <c r="O741" s="309"/>
      <c r="P741" s="309"/>
      <c r="Q741" s="309"/>
      <c r="R741" s="309"/>
      <c r="S741" s="309"/>
      <c r="T741" s="309"/>
      <c r="U741" s="309"/>
      <c r="V741" s="309"/>
      <c r="W741" s="309"/>
      <c r="X741" s="309"/>
    </row>
    <row r="742" hidden="1">
      <c r="A742" s="348"/>
      <c r="B742" s="488"/>
      <c r="C742" s="309"/>
      <c r="D742" s="309"/>
      <c r="E742" s="489"/>
      <c r="F742" s="309"/>
      <c r="G742" s="407"/>
      <c r="H742" s="490"/>
      <c r="I742" s="491"/>
      <c r="J742" s="492"/>
      <c r="K742" s="493"/>
      <c r="L742" s="494"/>
      <c r="M742" s="309"/>
      <c r="N742" s="309"/>
      <c r="O742" s="309"/>
      <c r="P742" s="309"/>
      <c r="Q742" s="309"/>
      <c r="R742" s="309"/>
      <c r="S742" s="309"/>
      <c r="T742" s="309"/>
      <c r="U742" s="309"/>
      <c r="V742" s="309"/>
      <c r="W742" s="309"/>
      <c r="X742" s="309"/>
    </row>
    <row r="743" hidden="1">
      <c r="A743" s="348"/>
      <c r="B743" s="488"/>
      <c r="C743" s="309"/>
      <c r="D743" s="309"/>
      <c r="E743" s="489"/>
      <c r="F743" s="309"/>
      <c r="G743" s="407"/>
      <c r="H743" s="490"/>
      <c r="I743" s="491"/>
      <c r="J743" s="492"/>
      <c r="K743" s="493"/>
      <c r="L743" s="494"/>
      <c r="M743" s="309"/>
      <c r="N743" s="309"/>
      <c r="O743" s="309"/>
      <c r="P743" s="309"/>
      <c r="Q743" s="309"/>
      <c r="R743" s="309"/>
      <c r="S743" s="309"/>
      <c r="T743" s="309"/>
      <c r="U743" s="309"/>
      <c r="V743" s="309"/>
      <c r="W743" s="309"/>
      <c r="X743" s="309"/>
    </row>
    <row r="744" hidden="1">
      <c r="A744" s="348"/>
      <c r="B744" s="488"/>
      <c r="C744" s="309"/>
      <c r="D744" s="309"/>
      <c r="E744" s="489"/>
      <c r="F744" s="309"/>
      <c r="G744" s="407"/>
      <c r="H744" s="490"/>
      <c r="I744" s="491"/>
      <c r="J744" s="492"/>
      <c r="K744" s="493"/>
      <c r="L744" s="494"/>
      <c r="M744" s="309"/>
      <c r="N744" s="309"/>
      <c r="O744" s="309"/>
      <c r="P744" s="309"/>
      <c r="Q744" s="309"/>
      <c r="R744" s="309"/>
      <c r="S744" s="309"/>
      <c r="T744" s="309"/>
      <c r="U744" s="309"/>
      <c r="V744" s="309"/>
      <c r="W744" s="309"/>
      <c r="X744" s="309"/>
    </row>
    <row r="745" hidden="1">
      <c r="A745" s="348"/>
      <c r="B745" s="488"/>
      <c r="C745" s="309"/>
      <c r="D745" s="309"/>
      <c r="E745" s="489"/>
      <c r="F745" s="309"/>
      <c r="G745" s="407"/>
      <c r="H745" s="490"/>
      <c r="I745" s="491"/>
      <c r="J745" s="492"/>
      <c r="K745" s="493"/>
      <c r="L745" s="494"/>
      <c r="M745" s="309"/>
      <c r="N745" s="309"/>
      <c r="O745" s="309"/>
      <c r="P745" s="309"/>
      <c r="Q745" s="309"/>
      <c r="R745" s="309"/>
      <c r="S745" s="309"/>
      <c r="T745" s="309"/>
      <c r="U745" s="309"/>
      <c r="V745" s="309"/>
      <c r="W745" s="309"/>
      <c r="X745" s="309"/>
    </row>
    <row r="746" hidden="1">
      <c r="A746" s="348"/>
      <c r="B746" s="488"/>
      <c r="C746" s="309"/>
      <c r="D746" s="309"/>
      <c r="E746" s="489"/>
      <c r="F746" s="309"/>
      <c r="G746" s="407"/>
      <c r="H746" s="490"/>
      <c r="I746" s="491"/>
      <c r="J746" s="492"/>
      <c r="K746" s="493"/>
      <c r="L746" s="494"/>
      <c r="M746" s="309"/>
      <c r="N746" s="309"/>
      <c r="O746" s="309"/>
      <c r="P746" s="309"/>
      <c r="Q746" s="309"/>
      <c r="R746" s="309"/>
      <c r="S746" s="309"/>
      <c r="T746" s="309"/>
      <c r="U746" s="309"/>
      <c r="V746" s="309"/>
      <c r="W746" s="309"/>
      <c r="X746" s="309"/>
    </row>
    <row r="747" hidden="1">
      <c r="A747" s="348"/>
      <c r="B747" s="488"/>
      <c r="C747" s="309"/>
      <c r="D747" s="309"/>
      <c r="E747" s="489"/>
      <c r="F747" s="309"/>
      <c r="G747" s="407"/>
      <c r="H747" s="490"/>
      <c r="I747" s="491"/>
      <c r="J747" s="492"/>
      <c r="K747" s="493"/>
      <c r="L747" s="494"/>
      <c r="M747" s="309"/>
      <c r="N747" s="309"/>
      <c r="O747" s="309"/>
      <c r="P747" s="309"/>
      <c r="Q747" s="309"/>
      <c r="R747" s="309"/>
      <c r="S747" s="309"/>
      <c r="T747" s="309"/>
      <c r="U747" s="309"/>
      <c r="V747" s="309"/>
      <c r="W747" s="309"/>
      <c r="X747" s="309"/>
    </row>
    <row r="748" hidden="1">
      <c r="A748" s="348"/>
      <c r="B748" s="488"/>
      <c r="C748" s="309"/>
      <c r="D748" s="309"/>
      <c r="E748" s="489"/>
      <c r="F748" s="309"/>
      <c r="G748" s="407"/>
      <c r="H748" s="490"/>
      <c r="I748" s="491"/>
      <c r="J748" s="492"/>
      <c r="K748" s="493"/>
      <c r="L748" s="494"/>
      <c r="M748" s="309"/>
      <c r="N748" s="309"/>
      <c r="O748" s="309"/>
      <c r="P748" s="309"/>
      <c r="Q748" s="309"/>
      <c r="R748" s="309"/>
      <c r="S748" s="309"/>
      <c r="T748" s="309"/>
      <c r="U748" s="309"/>
      <c r="V748" s="309"/>
      <c r="W748" s="309"/>
      <c r="X748" s="309"/>
    </row>
    <row r="749" hidden="1">
      <c r="A749" s="348"/>
      <c r="B749" s="488"/>
      <c r="C749" s="309"/>
      <c r="D749" s="309"/>
      <c r="E749" s="489"/>
      <c r="F749" s="309"/>
      <c r="G749" s="407"/>
      <c r="H749" s="490"/>
      <c r="I749" s="491"/>
      <c r="J749" s="492"/>
      <c r="K749" s="493"/>
      <c r="L749" s="494"/>
      <c r="M749" s="309"/>
      <c r="N749" s="309"/>
      <c r="O749" s="309"/>
      <c r="P749" s="309"/>
      <c r="Q749" s="309"/>
      <c r="R749" s="309"/>
      <c r="S749" s="309"/>
      <c r="T749" s="309"/>
      <c r="U749" s="309"/>
      <c r="V749" s="309"/>
      <c r="W749" s="309"/>
      <c r="X749" s="309"/>
    </row>
    <row r="750" hidden="1">
      <c r="A750" s="348"/>
      <c r="B750" s="488"/>
      <c r="C750" s="309"/>
      <c r="D750" s="309"/>
      <c r="E750" s="489"/>
      <c r="F750" s="309"/>
      <c r="G750" s="407"/>
      <c r="H750" s="490"/>
      <c r="I750" s="491"/>
      <c r="J750" s="492"/>
      <c r="K750" s="493"/>
      <c r="L750" s="494"/>
      <c r="M750" s="309"/>
      <c r="N750" s="309"/>
      <c r="O750" s="309"/>
      <c r="P750" s="309"/>
      <c r="Q750" s="309"/>
      <c r="R750" s="309"/>
      <c r="S750" s="309"/>
      <c r="T750" s="309"/>
      <c r="U750" s="309"/>
      <c r="V750" s="309"/>
      <c r="W750" s="309"/>
      <c r="X750" s="309"/>
    </row>
    <row r="751" hidden="1">
      <c r="A751" s="348"/>
      <c r="B751" s="488"/>
      <c r="C751" s="309"/>
      <c r="D751" s="309"/>
      <c r="E751" s="489"/>
      <c r="F751" s="309"/>
      <c r="G751" s="407"/>
      <c r="H751" s="490"/>
      <c r="I751" s="491"/>
      <c r="J751" s="492"/>
      <c r="K751" s="493"/>
      <c r="L751" s="494"/>
      <c r="M751" s="309"/>
      <c r="N751" s="309"/>
      <c r="O751" s="309"/>
      <c r="P751" s="309"/>
      <c r="Q751" s="309"/>
      <c r="R751" s="309"/>
      <c r="S751" s="309"/>
      <c r="T751" s="309"/>
      <c r="U751" s="309"/>
      <c r="V751" s="309"/>
      <c r="W751" s="309"/>
      <c r="X751" s="309"/>
    </row>
    <row r="752" hidden="1">
      <c r="A752" s="348"/>
      <c r="B752" s="488"/>
      <c r="C752" s="309"/>
      <c r="D752" s="309"/>
      <c r="E752" s="489"/>
      <c r="F752" s="309"/>
      <c r="G752" s="407"/>
      <c r="H752" s="490"/>
      <c r="I752" s="491"/>
      <c r="J752" s="492"/>
      <c r="K752" s="493"/>
      <c r="L752" s="494"/>
      <c r="M752" s="309"/>
      <c r="N752" s="309"/>
      <c r="O752" s="309"/>
      <c r="P752" s="309"/>
      <c r="Q752" s="309"/>
      <c r="R752" s="309"/>
      <c r="S752" s="309"/>
      <c r="T752" s="309"/>
      <c r="U752" s="309"/>
      <c r="V752" s="309"/>
      <c r="W752" s="309"/>
      <c r="X752" s="309"/>
    </row>
    <row r="753" hidden="1">
      <c r="A753" s="348"/>
      <c r="B753" s="488"/>
      <c r="C753" s="309"/>
      <c r="D753" s="309"/>
      <c r="E753" s="489"/>
      <c r="F753" s="309"/>
      <c r="G753" s="407"/>
      <c r="H753" s="490"/>
      <c r="I753" s="491"/>
      <c r="J753" s="492"/>
      <c r="K753" s="493"/>
      <c r="L753" s="494"/>
      <c r="M753" s="309"/>
      <c r="N753" s="309"/>
      <c r="O753" s="309"/>
      <c r="P753" s="309"/>
      <c r="Q753" s="309"/>
      <c r="R753" s="309"/>
      <c r="S753" s="309"/>
      <c r="T753" s="309"/>
      <c r="U753" s="309"/>
      <c r="V753" s="309"/>
      <c r="W753" s="309"/>
      <c r="X753" s="309"/>
    </row>
    <row r="754" hidden="1">
      <c r="A754" s="348"/>
      <c r="B754" s="488"/>
      <c r="C754" s="309"/>
      <c r="D754" s="309"/>
      <c r="E754" s="489"/>
      <c r="F754" s="309"/>
      <c r="G754" s="407"/>
      <c r="H754" s="490"/>
      <c r="I754" s="491"/>
      <c r="J754" s="492"/>
      <c r="K754" s="493"/>
      <c r="L754" s="494"/>
      <c r="M754" s="309"/>
      <c r="N754" s="309"/>
      <c r="O754" s="309"/>
      <c r="P754" s="309"/>
      <c r="Q754" s="309"/>
      <c r="R754" s="309"/>
      <c r="S754" s="309"/>
      <c r="T754" s="309"/>
      <c r="U754" s="309"/>
      <c r="V754" s="309"/>
      <c r="W754" s="309"/>
      <c r="X754" s="309"/>
    </row>
    <row r="755" hidden="1">
      <c r="A755" s="348"/>
      <c r="B755" s="488"/>
      <c r="C755" s="309"/>
      <c r="D755" s="309"/>
      <c r="E755" s="489"/>
      <c r="F755" s="309"/>
      <c r="G755" s="407"/>
      <c r="H755" s="490"/>
      <c r="I755" s="491"/>
      <c r="J755" s="492"/>
      <c r="K755" s="493"/>
      <c r="L755" s="494"/>
      <c r="M755" s="309"/>
      <c r="N755" s="309"/>
      <c r="O755" s="309"/>
      <c r="P755" s="309"/>
      <c r="Q755" s="309"/>
      <c r="R755" s="309"/>
      <c r="S755" s="309"/>
      <c r="T755" s="309"/>
      <c r="U755" s="309"/>
      <c r="V755" s="309"/>
      <c r="W755" s="309"/>
      <c r="X755" s="309"/>
    </row>
    <row r="756" hidden="1">
      <c r="A756" s="348"/>
      <c r="B756" s="488"/>
      <c r="C756" s="309"/>
      <c r="D756" s="309"/>
      <c r="E756" s="489"/>
      <c r="F756" s="309"/>
      <c r="G756" s="407"/>
      <c r="H756" s="490"/>
      <c r="I756" s="491"/>
      <c r="J756" s="492"/>
      <c r="K756" s="493"/>
      <c r="L756" s="494"/>
      <c r="M756" s="309"/>
      <c r="N756" s="309"/>
      <c r="O756" s="309"/>
      <c r="P756" s="309"/>
      <c r="Q756" s="309"/>
      <c r="R756" s="309"/>
      <c r="S756" s="309"/>
      <c r="T756" s="309"/>
      <c r="U756" s="309"/>
      <c r="V756" s="309"/>
      <c r="W756" s="309"/>
      <c r="X756" s="309"/>
    </row>
    <row r="757" hidden="1">
      <c r="A757" s="348"/>
      <c r="B757" s="488"/>
      <c r="C757" s="309"/>
      <c r="D757" s="309"/>
      <c r="E757" s="489"/>
      <c r="F757" s="309"/>
      <c r="G757" s="407"/>
      <c r="H757" s="490"/>
      <c r="I757" s="491"/>
      <c r="J757" s="492"/>
      <c r="K757" s="493"/>
      <c r="L757" s="494"/>
      <c r="M757" s="309"/>
      <c r="N757" s="309"/>
      <c r="O757" s="309"/>
      <c r="P757" s="309"/>
      <c r="Q757" s="309"/>
      <c r="R757" s="309"/>
      <c r="S757" s="309"/>
      <c r="T757" s="309"/>
      <c r="U757" s="309"/>
      <c r="V757" s="309"/>
      <c r="W757" s="309"/>
      <c r="X757" s="309"/>
    </row>
    <row r="758" hidden="1">
      <c r="A758" s="348"/>
      <c r="B758" s="488"/>
      <c r="C758" s="309"/>
      <c r="D758" s="309"/>
      <c r="E758" s="489"/>
      <c r="F758" s="309"/>
      <c r="G758" s="407"/>
      <c r="H758" s="490"/>
      <c r="I758" s="491"/>
      <c r="J758" s="492"/>
      <c r="K758" s="493"/>
      <c r="L758" s="494"/>
      <c r="M758" s="309"/>
      <c r="N758" s="309"/>
      <c r="O758" s="309"/>
      <c r="P758" s="309"/>
      <c r="Q758" s="309"/>
      <c r="R758" s="309"/>
      <c r="S758" s="309"/>
      <c r="T758" s="309"/>
      <c r="U758" s="309"/>
      <c r="V758" s="309"/>
      <c r="W758" s="309"/>
      <c r="X758" s="309"/>
    </row>
    <row r="759" hidden="1">
      <c r="A759" s="348"/>
      <c r="B759" s="488"/>
      <c r="C759" s="309"/>
      <c r="D759" s="309"/>
      <c r="E759" s="489"/>
      <c r="F759" s="309"/>
      <c r="G759" s="407"/>
      <c r="H759" s="490"/>
      <c r="I759" s="491"/>
      <c r="J759" s="492"/>
      <c r="K759" s="493"/>
      <c r="L759" s="494"/>
      <c r="M759" s="309"/>
      <c r="N759" s="309"/>
      <c r="O759" s="309"/>
      <c r="P759" s="309"/>
      <c r="Q759" s="309"/>
      <c r="R759" s="309"/>
      <c r="S759" s="309"/>
      <c r="T759" s="309"/>
      <c r="U759" s="309"/>
      <c r="V759" s="309"/>
      <c r="W759" s="309"/>
      <c r="X759" s="309"/>
    </row>
    <row r="760" hidden="1">
      <c r="A760" s="348"/>
      <c r="B760" s="488"/>
      <c r="C760" s="309"/>
      <c r="D760" s="309"/>
      <c r="E760" s="489"/>
      <c r="F760" s="309"/>
      <c r="G760" s="407"/>
      <c r="H760" s="490"/>
      <c r="I760" s="491"/>
      <c r="J760" s="492"/>
      <c r="K760" s="493"/>
      <c r="L760" s="494"/>
      <c r="M760" s="309"/>
      <c r="N760" s="309"/>
      <c r="O760" s="309"/>
      <c r="P760" s="309"/>
      <c r="Q760" s="309"/>
      <c r="R760" s="309"/>
      <c r="S760" s="309"/>
      <c r="T760" s="309"/>
      <c r="U760" s="309"/>
      <c r="V760" s="309"/>
      <c r="W760" s="309"/>
      <c r="X760" s="309"/>
    </row>
    <row r="761" hidden="1">
      <c r="A761" s="348"/>
      <c r="B761" s="488"/>
      <c r="C761" s="309"/>
      <c r="D761" s="309"/>
      <c r="E761" s="489"/>
      <c r="F761" s="309"/>
      <c r="G761" s="407"/>
      <c r="H761" s="490"/>
      <c r="I761" s="491"/>
      <c r="J761" s="492"/>
      <c r="K761" s="493"/>
      <c r="L761" s="494"/>
      <c r="M761" s="309"/>
      <c r="N761" s="309"/>
      <c r="O761" s="309"/>
      <c r="P761" s="309"/>
      <c r="Q761" s="309"/>
      <c r="R761" s="309"/>
      <c r="S761" s="309"/>
      <c r="T761" s="309"/>
      <c r="U761" s="309"/>
      <c r="V761" s="309"/>
      <c r="W761" s="309"/>
      <c r="X761" s="309"/>
    </row>
    <row r="762" hidden="1">
      <c r="A762" s="348"/>
      <c r="B762" s="488"/>
      <c r="C762" s="309"/>
      <c r="D762" s="309"/>
      <c r="E762" s="489"/>
      <c r="F762" s="309"/>
      <c r="G762" s="407"/>
      <c r="H762" s="490"/>
      <c r="I762" s="491"/>
      <c r="J762" s="492"/>
      <c r="K762" s="493"/>
      <c r="L762" s="494"/>
      <c r="M762" s="309"/>
      <c r="N762" s="309"/>
      <c r="O762" s="309"/>
      <c r="P762" s="309"/>
      <c r="Q762" s="309"/>
      <c r="R762" s="309"/>
      <c r="S762" s="309"/>
      <c r="T762" s="309"/>
      <c r="U762" s="309"/>
      <c r="V762" s="309"/>
      <c r="W762" s="309"/>
      <c r="X762" s="309"/>
    </row>
    <row r="763" hidden="1">
      <c r="A763" s="348"/>
      <c r="B763" s="488"/>
      <c r="C763" s="309"/>
      <c r="D763" s="309"/>
      <c r="E763" s="489"/>
      <c r="F763" s="309"/>
      <c r="G763" s="407"/>
      <c r="H763" s="490"/>
      <c r="I763" s="491"/>
      <c r="J763" s="492"/>
      <c r="K763" s="493"/>
      <c r="L763" s="494"/>
      <c r="M763" s="309"/>
      <c r="N763" s="309"/>
      <c r="O763" s="309"/>
      <c r="P763" s="309"/>
      <c r="Q763" s="309"/>
      <c r="R763" s="309"/>
      <c r="S763" s="309"/>
      <c r="T763" s="309"/>
      <c r="U763" s="309"/>
      <c r="V763" s="309"/>
      <c r="W763" s="309"/>
      <c r="X763" s="309"/>
    </row>
    <row r="764" hidden="1">
      <c r="A764" s="348"/>
      <c r="B764" s="488"/>
      <c r="C764" s="309"/>
      <c r="D764" s="309"/>
      <c r="E764" s="489"/>
      <c r="F764" s="309"/>
      <c r="G764" s="407"/>
      <c r="H764" s="490"/>
      <c r="I764" s="491"/>
      <c r="J764" s="492"/>
      <c r="K764" s="493"/>
      <c r="L764" s="494"/>
      <c r="M764" s="309"/>
      <c r="N764" s="309"/>
      <c r="O764" s="309"/>
      <c r="P764" s="309"/>
      <c r="Q764" s="309"/>
      <c r="R764" s="309"/>
      <c r="S764" s="309"/>
      <c r="T764" s="309"/>
      <c r="U764" s="309"/>
      <c r="V764" s="309"/>
      <c r="W764" s="309"/>
      <c r="X764" s="309"/>
    </row>
    <row r="765" hidden="1">
      <c r="A765" s="348"/>
      <c r="B765" s="488"/>
      <c r="C765" s="309"/>
      <c r="D765" s="309"/>
      <c r="E765" s="489"/>
      <c r="F765" s="309"/>
      <c r="G765" s="407"/>
      <c r="H765" s="490"/>
      <c r="I765" s="491"/>
      <c r="J765" s="492"/>
      <c r="K765" s="493"/>
      <c r="L765" s="494"/>
      <c r="M765" s="309"/>
      <c r="N765" s="309"/>
      <c r="O765" s="309"/>
      <c r="P765" s="309"/>
      <c r="Q765" s="309"/>
      <c r="R765" s="309"/>
      <c r="S765" s="309"/>
      <c r="T765" s="309"/>
      <c r="U765" s="309"/>
      <c r="V765" s="309"/>
      <c r="W765" s="309"/>
      <c r="X765" s="309"/>
    </row>
    <row r="766" hidden="1">
      <c r="A766" s="348"/>
      <c r="B766" s="488"/>
      <c r="C766" s="309"/>
      <c r="D766" s="309"/>
      <c r="E766" s="489"/>
      <c r="F766" s="309"/>
      <c r="G766" s="407"/>
      <c r="H766" s="490"/>
      <c r="I766" s="491"/>
      <c r="J766" s="492"/>
      <c r="K766" s="493"/>
      <c r="L766" s="494"/>
      <c r="M766" s="309"/>
      <c r="N766" s="309"/>
      <c r="O766" s="309"/>
      <c r="P766" s="309"/>
      <c r="Q766" s="309"/>
      <c r="R766" s="309"/>
      <c r="S766" s="309"/>
      <c r="T766" s="309"/>
      <c r="U766" s="309"/>
      <c r="V766" s="309"/>
      <c r="W766" s="309"/>
      <c r="X766" s="309"/>
    </row>
    <row r="767" hidden="1">
      <c r="A767" s="348"/>
      <c r="B767" s="488"/>
      <c r="C767" s="309"/>
      <c r="D767" s="309"/>
      <c r="E767" s="489"/>
      <c r="F767" s="309"/>
      <c r="G767" s="407"/>
      <c r="H767" s="490"/>
      <c r="I767" s="491"/>
      <c r="J767" s="492"/>
      <c r="K767" s="493"/>
      <c r="L767" s="494"/>
      <c r="M767" s="309"/>
      <c r="N767" s="309"/>
      <c r="O767" s="309"/>
      <c r="P767" s="309"/>
      <c r="Q767" s="309"/>
      <c r="R767" s="309"/>
      <c r="S767" s="309"/>
      <c r="T767" s="309"/>
      <c r="U767" s="309"/>
      <c r="V767" s="309"/>
      <c r="W767" s="309"/>
      <c r="X767" s="309"/>
    </row>
    <row r="768" hidden="1">
      <c r="A768" s="348"/>
      <c r="B768" s="488"/>
      <c r="C768" s="309"/>
      <c r="D768" s="309"/>
      <c r="E768" s="489"/>
      <c r="F768" s="309"/>
      <c r="G768" s="407"/>
      <c r="H768" s="490"/>
      <c r="I768" s="491"/>
      <c r="J768" s="492"/>
      <c r="K768" s="493"/>
      <c r="L768" s="494"/>
      <c r="M768" s="309"/>
      <c r="N768" s="309"/>
      <c r="O768" s="309"/>
      <c r="P768" s="309"/>
      <c r="Q768" s="309"/>
      <c r="R768" s="309"/>
      <c r="S768" s="309"/>
      <c r="T768" s="309"/>
      <c r="U768" s="309"/>
      <c r="V768" s="309"/>
      <c r="W768" s="309"/>
      <c r="X768" s="309"/>
    </row>
    <row r="769" hidden="1">
      <c r="A769" s="348"/>
      <c r="B769" s="488"/>
      <c r="C769" s="309"/>
      <c r="D769" s="309"/>
      <c r="E769" s="489"/>
      <c r="F769" s="309"/>
      <c r="G769" s="407"/>
      <c r="H769" s="490"/>
      <c r="I769" s="491"/>
      <c r="J769" s="492"/>
      <c r="K769" s="493"/>
      <c r="L769" s="494"/>
      <c r="M769" s="309"/>
      <c r="N769" s="309"/>
      <c r="O769" s="309"/>
      <c r="P769" s="309"/>
      <c r="Q769" s="309"/>
      <c r="R769" s="309"/>
      <c r="S769" s="309"/>
      <c r="T769" s="309"/>
      <c r="U769" s="309"/>
      <c r="V769" s="309"/>
      <c r="W769" s="309"/>
      <c r="X769" s="309"/>
    </row>
    <row r="770" hidden="1">
      <c r="A770" s="348"/>
      <c r="B770" s="488"/>
      <c r="C770" s="309"/>
      <c r="D770" s="309"/>
      <c r="E770" s="489"/>
      <c r="F770" s="309"/>
      <c r="G770" s="407"/>
      <c r="H770" s="490"/>
      <c r="I770" s="491"/>
      <c r="J770" s="492"/>
      <c r="K770" s="493"/>
      <c r="L770" s="494"/>
      <c r="M770" s="309"/>
      <c r="N770" s="309"/>
      <c r="O770" s="309"/>
      <c r="P770" s="309"/>
      <c r="Q770" s="309"/>
      <c r="R770" s="309"/>
      <c r="S770" s="309"/>
      <c r="T770" s="309"/>
      <c r="U770" s="309"/>
      <c r="V770" s="309"/>
      <c r="W770" s="309"/>
      <c r="X770" s="309"/>
    </row>
    <row r="771" hidden="1">
      <c r="A771" s="348"/>
      <c r="B771" s="488"/>
      <c r="C771" s="309"/>
      <c r="D771" s="309"/>
      <c r="E771" s="489"/>
      <c r="F771" s="309"/>
      <c r="G771" s="407"/>
      <c r="H771" s="490"/>
      <c r="I771" s="491"/>
      <c r="J771" s="492"/>
      <c r="K771" s="493"/>
      <c r="L771" s="494"/>
      <c r="M771" s="309"/>
      <c r="N771" s="309"/>
      <c r="O771" s="309"/>
      <c r="P771" s="309"/>
      <c r="Q771" s="309"/>
      <c r="R771" s="309"/>
      <c r="S771" s="309"/>
      <c r="T771" s="309"/>
      <c r="U771" s="309"/>
      <c r="V771" s="309"/>
      <c r="W771" s="309"/>
      <c r="X771" s="309"/>
    </row>
    <row r="772" hidden="1">
      <c r="A772" s="348"/>
      <c r="B772" s="488"/>
      <c r="C772" s="309"/>
      <c r="D772" s="309"/>
      <c r="E772" s="489"/>
      <c r="F772" s="309"/>
      <c r="G772" s="407"/>
      <c r="H772" s="490"/>
      <c r="I772" s="491"/>
      <c r="J772" s="492"/>
      <c r="K772" s="493"/>
      <c r="L772" s="494"/>
      <c r="M772" s="309"/>
      <c r="N772" s="309"/>
      <c r="O772" s="309"/>
      <c r="P772" s="309"/>
      <c r="Q772" s="309"/>
      <c r="R772" s="309"/>
      <c r="S772" s="309"/>
      <c r="T772" s="309"/>
      <c r="U772" s="309"/>
      <c r="V772" s="309"/>
      <c r="W772" s="309"/>
      <c r="X772" s="309"/>
    </row>
    <row r="773" hidden="1">
      <c r="A773" s="348"/>
      <c r="B773" s="488"/>
      <c r="C773" s="309"/>
      <c r="D773" s="309"/>
      <c r="E773" s="489"/>
      <c r="F773" s="309"/>
      <c r="G773" s="407"/>
      <c r="H773" s="490"/>
      <c r="I773" s="491"/>
      <c r="J773" s="492"/>
      <c r="K773" s="493"/>
      <c r="L773" s="494"/>
      <c r="M773" s="309"/>
      <c r="N773" s="309"/>
      <c r="O773" s="309"/>
      <c r="P773" s="309"/>
      <c r="Q773" s="309"/>
      <c r="R773" s="309"/>
      <c r="S773" s="309"/>
      <c r="T773" s="309"/>
      <c r="U773" s="309"/>
      <c r="V773" s="309"/>
      <c r="W773" s="309"/>
      <c r="X773" s="309"/>
    </row>
    <row r="774" hidden="1">
      <c r="A774" s="348"/>
      <c r="B774" s="488"/>
      <c r="C774" s="309"/>
      <c r="D774" s="309"/>
      <c r="E774" s="489"/>
      <c r="F774" s="309"/>
      <c r="G774" s="407"/>
      <c r="H774" s="490"/>
      <c r="I774" s="491"/>
      <c r="J774" s="492"/>
      <c r="K774" s="493"/>
      <c r="L774" s="494"/>
      <c r="M774" s="309"/>
      <c r="N774" s="309"/>
      <c r="O774" s="309"/>
      <c r="P774" s="309"/>
      <c r="Q774" s="309"/>
      <c r="R774" s="309"/>
      <c r="S774" s="309"/>
      <c r="T774" s="309"/>
      <c r="U774" s="309"/>
      <c r="V774" s="309"/>
      <c r="W774" s="309"/>
      <c r="X774" s="309"/>
    </row>
    <row r="775" hidden="1">
      <c r="A775" s="348"/>
      <c r="B775" s="488"/>
      <c r="C775" s="309"/>
      <c r="D775" s="309"/>
      <c r="E775" s="489"/>
      <c r="F775" s="309"/>
      <c r="G775" s="407"/>
      <c r="H775" s="490"/>
      <c r="I775" s="491"/>
      <c r="J775" s="492"/>
      <c r="K775" s="493"/>
      <c r="L775" s="494"/>
      <c r="M775" s="309"/>
      <c r="N775" s="309"/>
      <c r="O775" s="309"/>
      <c r="P775" s="309"/>
      <c r="Q775" s="309"/>
      <c r="R775" s="309"/>
      <c r="S775" s="309"/>
      <c r="T775" s="309"/>
      <c r="U775" s="309"/>
      <c r="V775" s="309"/>
      <c r="W775" s="309"/>
      <c r="X775" s="309"/>
    </row>
    <row r="776" hidden="1">
      <c r="A776" s="348"/>
      <c r="B776" s="488"/>
      <c r="C776" s="309"/>
      <c r="D776" s="309"/>
      <c r="E776" s="489"/>
      <c r="F776" s="309"/>
      <c r="G776" s="407"/>
      <c r="H776" s="490"/>
      <c r="I776" s="491"/>
      <c r="J776" s="492"/>
      <c r="K776" s="493"/>
      <c r="L776" s="494"/>
      <c r="M776" s="309"/>
      <c r="N776" s="309"/>
      <c r="O776" s="309"/>
      <c r="P776" s="309"/>
      <c r="Q776" s="309"/>
      <c r="R776" s="309"/>
      <c r="S776" s="309"/>
      <c r="T776" s="309"/>
      <c r="U776" s="309"/>
      <c r="V776" s="309"/>
      <c r="W776" s="309"/>
      <c r="X776" s="309"/>
    </row>
    <row r="777" hidden="1">
      <c r="A777" s="348"/>
      <c r="B777" s="488"/>
      <c r="C777" s="309"/>
      <c r="D777" s="309"/>
      <c r="E777" s="489"/>
      <c r="F777" s="309"/>
      <c r="G777" s="407"/>
      <c r="H777" s="490"/>
      <c r="I777" s="491"/>
      <c r="J777" s="492"/>
      <c r="K777" s="493"/>
      <c r="L777" s="494"/>
      <c r="M777" s="309"/>
      <c r="N777" s="309"/>
      <c r="O777" s="309"/>
      <c r="P777" s="309"/>
      <c r="Q777" s="309"/>
      <c r="R777" s="309"/>
      <c r="S777" s="309"/>
      <c r="T777" s="309"/>
      <c r="U777" s="309"/>
      <c r="V777" s="309"/>
      <c r="W777" s="309"/>
      <c r="X777" s="309"/>
    </row>
    <row r="778" hidden="1">
      <c r="A778" s="348"/>
      <c r="B778" s="488"/>
      <c r="C778" s="309"/>
      <c r="D778" s="309"/>
      <c r="E778" s="489"/>
      <c r="F778" s="309"/>
      <c r="G778" s="407"/>
      <c r="H778" s="490"/>
      <c r="I778" s="491"/>
      <c r="J778" s="492"/>
      <c r="K778" s="493"/>
      <c r="L778" s="494"/>
      <c r="M778" s="309"/>
      <c r="N778" s="309"/>
      <c r="O778" s="309"/>
      <c r="P778" s="309"/>
      <c r="Q778" s="309"/>
      <c r="R778" s="309"/>
      <c r="S778" s="309"/>
      <c r="T778" s="309"/>
      <c r="U778" s="309"/>
      <c r="V778" s="309"/>
      <c r="W778" s="309"/>
      <c r="X778" s="309"/>
    </row>
    <row r="779" hidden="1">
      <c r="A779" s="348"/>
      <c r="B779" s="488"/>
      <c r="C779" s="309"/>
      <c r="D779" s="309"/>
      <c r="E779" s="489"/>
      <c r="F779" s="309"/>
      <c r="G779" s="407"/>
      <c r="H779" s="490"/>
      <c r="I779" s="491"/>
      <c r="J779" s="492"/>
      <c r="K779" s="493"/>
      <c r="L779" s="494"/>
      <c r="M779" s="309"/>
      <c r="N779" s="309"/>
      <c r="O779" s="309"/>
      <c r="P779" s="309"/>
      <c r="Q779" s="309"/>
      <c r="R779" s="309"/>
      <c r="S779" s="309"/>
      <c r="T779" s="309"/>
      <c r="U779" s="309"/>
      <c r="V779" s="309"/>
      <c r="W779" s="309"/>
      <c r="X779" s="309"/>
    </row>
    <row r="780" hidden="1">
      <c r="A780" s="348"/>
      <c r="B780" s="488"/>
      <c r="C780" s="309"/>
      <c r="D780" s="309"/>
      <c r="E780" s="489"/>
      <c r="F780" s="309"/>
      <c r="G780" s="407"/>
      <c r="H780" s="490"/>
      <c r="I780" s="491"/>
      <c r="J780" s="492"/>
      <c r="K780" s="493"/>
      <c r="L780" s="494"/>
      <c r="M780" s="309"/>
      <c r="N780" s="309"/>
      <c r="O780" s="309"/>
      <c r="P780" s="309"/>
      <c r="Q780" s="309"/>
      <c r="R780" s="309"/>
      <c r="S780" s="309"/>
      <c r="T780" s="309"/>
      <c r="U780" s="309"/>
      <c r="V780" s="309"/>
      <c r="W780" s="309"/>
      <c r="X780" s="309"/>
    </row>
    <row r="781" hidden="1">
      <c r="A781" s="348"/>
      <c r="B781" s="488"/>
      <c r="C781" s="309"/>
      <c r="D781" s="309"/>
      <c r="E781" s="489"/>
      <c r="F781" s="309"/>
      <c r="G781" s="407"/>
      <c r="H781" s="490"/>
      <c r="I781" s="491"/>
      <c r="J781" s="492"/>
      <c r="K781" s="493"/>
      <c r="L781" s="494"/>
      <c r="M781" s="309"/>
      <c r="N781" s="309"/>
      <c r="O781" s="309"/>
      <c r="P781" s="309"/>
      <c r="Q781" s="309"/>
      <c r="R781" s="309"/>
      <c r="S781" s="309"/>
      <c r="T781" s="309"/>
      <c r="U781" s="309"/>
      <c r="V781" s="309"/>
      <c r="W781" s="309"/>
      <c r="X781" s="309"/>
    </row>
    <row r="782" hidden="1">
      <c r="A782" s="348"/>
      <c r="B782" s="488"/>
      <c r="C782" s="309"/>
      <c r="D782" s="309"/>
      <c r="E782" s="489"/>
      <c r="F782" s="309"/>
      <c r="G782" s="407"/>
      <c r="H782" s="490"/>
      <c r="I782" s="491"/>
      <c r="J782" s="492"/>
      <c r="K782" s="493"/>
      <c r="L782" s="494"/>
      <c r="M782" s="309"/>
      <c r="N782" s="309"/>
      <c r="O782" s="309"/>
      <c r="P782" s="309"/>
      <c r="Q782" s="309"/>
      <c r="R782" s="309"/>
      <c r="S782" s="309"/>
      <c r="T782" s="309"/>
      <c r="U782" s="309"/>
      <c r="V782" s="309"/>
      <c r="W782" s="309"/>
      <c r="X782" s="309"/>
    </row>
    <row r="783" hidden="1">
      <c r="A783" s="348"/>
      <c r="B783" s="488"/>
      <c r="C783" s="309"/>
      <c r="D783" s="309"/>
      <c r="E783" s="489"/>
      <c r="F783" s="309"/>
      <c r="G783" s="407"/>
      <c r="H783" s="490"/>
      <c r="I783" s="491"/>
      <c r="J783" s="492"/>
      <c r="K783" s="493"/>
      <c r="L783" s="494"/>
      <c r="M783" s="309"/>
      <c r="N783" s="309"/>
      <c r="O783" s="309"/>
      <c r="P783" s="309"/>
      <c r="Q783" s="309"/>
      <c r="R783" s="309"/>
      <c r="S783" s="309"/>
      <c r="T783" s="309"/>
      <c r="U783" s="309"/>
      <c r="V783" s="309"/>
      <c r="W783" s="309"/>
      <c r="X783" s="309"/>
    </row>
    <row r="784" hidden="1">
      <c r="A784" s="348"/>
      <c r="B784" s="488"/>
      <c r="C784" s="309"/>
      <c r="D784" s="309"/>
      <c r="E784" s="489"/>
      <c r="F784" s="309"/>
      <c r="G784" s="407"/>
      <c r="H784" s="490"/>
      <c r="I784" s="491"/>
      <c r="J784" s="492"/>
      <c r="K784" s="493"/>
      <c r="L784" s="494"/>
      <c r="M784" s="309"/>
      <c r="N784" s="309"/>
      <c r="O784" s="309"/>
      <c r="P784" s="309"/>
      <c r="Q784" s="309"/>
      <c r="R784" s="309"/>
      <c r="S784" s="309"/>
      <c r="T784" s="309"/>
      <c r="U784" s="309"/>
      <c r="V784" s="309"/>
      <c r="W784" s="309"/>
      <c r="X784" s="309"/>
    </row>
    <row r="785" hidden="1">
      <c r="A785" s="348"/>
      <c r="B785" s="488"/>
      <c r="C785" s="309"/>
      <c r="D785" s="309"/>
      <c r="E785" s="489"/>
      <c r="F785" s="309"/>
      <c r="G785" s="407"/>
      <c r="H785" s="490"/>
      <c r="I785" s="491"/>
      <c r="J785" s="492"/>
      <c r="K785" s="493"/>
      <c r="L785" s="494"/>
      <c r="M785" s="309"/>
      <c r="N785" s="309"/>
      <c r="O785" s="309"/>
      <c r="P785" s="309"/>
      <c r="Q785" s="309"/>
      <c r="R785" s="309"/>
      <c r="S785" s="309"/>
      <c r="T785" s="309"/>
      <c r="U785" s="309"/>
      <c r="V785" s="309"/>
      <c r="W785" s="309"/>
      <c r="X785" s="309"/>
    </row>
    <row r="786" hidden="1">
      <c r="A786" s="348"/>
      <c r="B786" s="488"/>
      <c r="C786" s="309"/>
      <c r="D786" s="309"/>
      <c r="E786" s="489"/>
      <c r="F786" s="309"/>
      <c r="G786" s="407"/>
      <c r="H786" s="490"/>
      <c r="I786" s="491"/>
      <c r="J786" s="492"/>
      <c r="K786" s="493"/>
      <c r="L786" s="494"/>
      <c r="M786" s="309"/>
      <c r="N786" s="309"/>
      <c r="O786" s="309"/>
      <c r="P786" s="309"/>
      <c r="Q786" s="309"/>
      <c r="R786" s="309"/>
      <c r="S786" s="309"/>
      <c r="T786" s="309"/>
      <c r="U786" s="309"/>
      <c r="V786" s="309"/>
      <c r="W786" s="309"/>
      <c r="X786" s="309"/>
    </row>
    <row r="787" hidden="1">
      <c r="A787" s="348"/>
      <c r="B787" s="488"/>
      <c r="C787" s="309"/>
      <c r="D787" s="309"/>
      <c r="E787" s="489"/>
      <c r="F787" s="309"/>
      <c r="G787" s="407"/>
      <c r="H787" s="490"/>
      <c r="I787" s="491"/>
      <c r="J787" s="492"/>
      <c r="K787" s="493"/>
      <c r="L787" s="494"/>
      <c r="M787" s="309"/>
      <c r="N787" s="309"/>
      <c r="O787" s="309"/>
      <c r="P787" s="309"/>
      <c r="Q787" s="309"/>
      <c r="R787" s="309"/>
      <c r="S787" s="309"/>
      <c r="T787" s="309"/>
      <c r="U787" s="309"/>
      <c r="V787" s="309"/>
      <c r="W787" s="309"/>
      <c r="X787" s="309"/>
    </row>
    <row r="788" hidden="1">
      <c r="A788" s="348"/>
      <c r="B788" s="488"/>
      <c r="C788" s="309"/>
      <c r="D788" s="309"/>
      <c r="E788" s="489"/>
      <c r="F788" s="309"/>
      <c r="G788" s="407"/>
      <c r="H788" s="490"/>
      <c r="I788" s="491"/>
      <c r="J788" s="492"/>
      <c r="K788" s="493"/>
      <c r="L788" s="494"/>
      <c r="M788" s="309"/>
      <c r="N788" s="309"/>
      <c r="O788" s="309"/>
      <c r="P788" s="309"/>
      <c r="Q788" s="309"/>
      <c r="R788" s="309"/>
      <c r="S788" s="309"/>
      <c r="T788" s="309"/>
      <c r="U788" s="309"/>
      <c r="V788" s="309"/>
      <c r="W788" s="309"/>
      <c r="X788" s="309"/>
    </row>
    <row r="789" hidden="1">
      <c r="A789" s="348"/>
      <c r="B789" s="488"/>
      <c r="C789" s="309"/>
      <c r="D789" s="309"/>
      <c r="E789" s="489"/>
      <c r="F789" s="309"/>
      <c r="G789" s="407"/>
      <c r="H789" s="490"/>
      <c r="I789" s="491"/>
      <c r="J789" s="492"/>
      <c r="K789" s="493"/>
      <c r="L789" s="494"/>
      <c r="M789" s="309"/>
      <c r="N789" s="309"/>
      <c r="O789" s="309"/>
      <c r="P789" s="309"/>
      <c r="Q789" s="309"/>
      <c r="R789" s="309"/>
      <c r="S789" s="309"/>
      <c r="T789" s="309"/>
      <c r="U789" s="309"/>
      <c r="V789" s="309"/>
      <c r="W789" s="309"/>
      <c r="X789" s="309"/>
    </row>
    <row r="790" hidden="1">
      <c r="A790" s="348"/>
      <c r="B790" s="488"/>
      <c r="C790" s="309"/>
      <c r="D790" s="309"/>
      <c r="E790" s="489"/>
      <c r="F790" s="309"/>
      <c r="G790" s="407"/>
      <c r="H790" s="490"/>
      <c r="I790" s="491"/>
      <c r="J790" s="492"/>
      <c r="K790" s="493"/>
      <c r="L790" s="494"/>
      <c r="M790" s="309"/>
      <c r="N790" s="309"/>
      <c r="O790" s="309"/>
      <c r="P790" s="309"/>
      <c r="Q790" s="309"/>
      <c r="R790" s="309"/>
      <c r="S790" s="309"/>
      <c r="T790" s="309"/>
      <c r="U790" s="309"/>
      <c r="V790" s="309"/>
      <c r="W790" s="309"/>
      <c r="X790" s="309"/>
    </row>
    <row r="791" hidden="1">
      <c r="A791" s="348"/>
      <c r="B791" s="488"/>
      <c r="C791" s="309"/>
      <c r="D791" s="309"/>
      <c r="E791" s="489"/>
      <c r="F791" s="309"/>
      <c r="G791" s="407"/>
      <c r="H791" s="490"/>
      <c r="I791" s="491"/>
      <c r="J791" s="492"/>
      <c r="K791" s="493"/>
      <c r="L791" s="494"/>
      <c r="M791" s="309"/>
      <c r="N791" s="309"/>
      <c r="O791" s="309"/>
      <c r="P791" s="309"/>
      <c r="Q791" s="309"/>
      <c r="R791" s="309"/>
      <c r="S791" s="309"/>
      <c r="T791" s="309"/>
      <c r="U791" s="309"/>
      <c r="V791" s="309"/>
      <c r="W791" s="309"/>
      <c r="X791" s="309"/>
    </row>
    <row r="792" hidden="1">
      <c r="A792" s="348"/>
      <c r="B792" s="488"/>
      <c r="C792" s="309"/>
      <c r="D792" s="309"/>
      <c r="E792" s="489"/>
      <c r="F792" s="309"/>
      <c r="G792" s="407"/>
      <c r="H792" s="490"/>
      <c r="I792" s="491"/>
      <c r="J792" s="492"/>
      <c r="K792" s="493"/>
      <c r="L792" s="494"/>
      <c r="M792" s="309"/>
      <c r="N792" s="309"/>
      <c r="O792" s="309"/>
      <c r="P792" s="309"/>
      <c r="Q792" s="309"/>
      <c r="R792" s="309"/>
      <c r="S792" s="309"/>
      <c r="T792" s="309"/>
      <c r="U792" s="309"/>
      <c r="V792" s="309"/>
      <c r="W792" s="309"/>
      <c r="X792" s="309"/>
    </row>
    <row r="793" hidden="1">
      <c r="A793" s="348"/>
      <c r="B793" s="488"/>
      <c r="C793" s="309"/>
      <c r="D793" s="309"/>
      <c r="E793" s="489"/>
      <c r="F793" s="309"/>
      <c r="G793" s="407"/>
      <c r="H793" s="490"/>
      <c r="I793" s="491"/>
      <c r="J793" s="492"/>
      <c r="K793" s="493"/>
      <c r="L793" s="494"/>
      <c r="M793" s="309"/>
      <c r="N793" s="309"/>
      <c r="O793" s="309"/>
      <c r="P793" s="309"/>
      <c r="Q793" s="309"/>
      <c r="R793" s="309"/>
      <c r="S793" s="309"/>
      <c r="T793" s="309"/>
      <c r="U793" s="309"/>
      <c r="V793" s="309"/>
      <c r="W793" s="309"/>
      <c r="X793" s="309"/>
    </row>
    <row r="794" hidden="1">
      <c r="A794" s="348"/>
      <c r="B794" s="488"/>
      <c r="C794" s="309"/>
      <c r="D794" s="309"/>
      <c r="E794" s="489"/>
      <c r="F794" s="309"/>
      <c r="G794" s="407"/>
      <c r="H794" s="490"/>
      <c r="I794" s="491"/>
      <c r="J794" s="492"/>
      <c r="K794" s="493"/>
      <c r="L794" s="494"/>
      <c r="M794" s="309"/>
      <c r="N794" s="309"/>
      <c r="O794" s="309"/>
      <c r="P794" s="309"/>
      <c r="Q794" s="309"/>
      <c r="R794" s="309"/>
      <c r="S794" s="309"/>
      <c r="T794" s="309"/>
      <c r="U794" s="309"/>
      <c r="V794" s="309"/>
      <c r="W794" s="309"/>
      <c r="X794" s="309"/>
    </row>
    <row r="795" hidden="1">
      <c r="A795" s="348"/>
      <c r="B795" s="488"/>
      <c r="C795" s="309"/>
      <c r="D795" s="309"/>
      <c r="E795" s="489"/>
      <c r="F795" s="309"/>
      <c r="G795" s="407"/>
      <c r="H795" s="490"/>
      <c r="I795" s="491"/>
      <c r="J795" s="492"/>
      <c r="K795" s="493"/>
      <c r="L795" s="494"/>
      <c r="M795" s="309"/>
      <c r="N795" s="309"/>
      <c r="O795" s="309"/>
      <c r="P795" s="309"/>
      <c r="Q795" s="309"/>
      <c r="R795" s="309"/>
      <c r="S795" s="309"/>
      <c r="T795" s="309"/>
      <c r="U795" s="309"/>
      <c r="V795" s="309"/>
      <c r="W795" s="309"/>
      <c r="X795" s="309"/>
    </row>
    <row r="796" hidden="1">
      <c r="A796" s="348"/>
      <c r="B796" s="488"/>
      <c r="C796" s="309"/>
      <c r="D796" s="309"/>
      <c r="E796" s="489"/>
      <c r="F796" s="309"/>
      <c r="G796" s="407"/>
      <c r="H796" s="490"/>
      <c r="I796" s="491"/>
      <c r="J796" s="492"/>
      <c r="K796" s="493"/>
      <c r="L796" s="494"/>
      <c r="M796" s="309"/>
      <c r="N796" s="309"/>
      <c r="O796" s="309"/>
      <c r="P796" s="309"/>
      <c r="Q796" s="309"/>
      <c r="R796" s="309"/>
      <c r="S796" s="309"/>
      <c r="T796" s="309"/>
      <c r="U796" s="309"/>
      <c r="V796" s="309"/>
      <c r="W796" s="309"/>
      <c r="X796" s="309"/>
    </row>
    <row r="797" hidden="1">
      <c r="A797" s="348"/>
      <c r="B797" s="488"/>
      <c r="C797" s="309"/>
      <c r="D797" s="309"/>
      <c r="E797" s="489"/>
      <c r="F797" s="309"/>
      <c r="G797" s="407"/>
      <c r="H797" s="490"/>
      <c r="I797" s="491"/>
      <c r="J797" s="492"/>
      <c r="K797" s="493"/>
      <c r="L797" s="494"/>
      <c r="M797" s="309"/>
      <c r="N797" s="309"/>
      <c r="O797" s="309"/>
      <c r="P797" s="309"/>
      <c r="Q797" s="309"/>
      <c r="R797" s="309"/>
      <c r="S797" s="309"/>
      <c r="T797" s="309"/>
      <c r="U797" s="309"/>
      <c r="V797" s="309"/>
      <c r="W797" s="309"/>
      <c r="X797" s="309"/>
    </row>
    <row r="798" hidden="1">
      <c r="A798" s="348"/>
      <c r="B798" s="488"/>
      <c r="C798" s="309"/>
      <c r="D798" s="309"/>
      <c r="E798" s="489"/>
      <c r="F798" s="309"/>
      <c r="G798" s="407"/>
      <c r="H798" s="490"/>
      <c r="I798" s="491"/>
      <c r="J798" s="492"/>
      <c r="K798" s="493"/>
      <c r="L798" s="494"/>
      <c r="M798" s="309"/>
      <c r="N798" s="309"/>
      <c r="O798" s="309"/>
      <c r="P798" s="309"/>
      <c r="Q798" s="309"/>
      <c r="R798" s="309"/>
      <c r="S798" s="309"/>
      <c r="T798" s="309"/>
      <c r="U798" s="309"/>
      <c r="V798" s="309"/>
      <c r="W798" s="309"/>
      <c r="X798" s="309"/>
    </row>
    <row r="799" hidden="1">
      <c r="A799" s="348"/>
      <c r="B799" s="488"/>
      <c r="C799" s="309"/>
      <c r="D799" s="309"/>
      <c r="E799" s="489"/>
      <c r="F799" s="309"/>
      <c r="G799" s="407"/>
      <c r="H799" s="490"/>
      <c r="I799" s="491"/>
      <c r="J799" s="492"/>
      <c r="K799" s="493"/>
      <c r="L799" s="494"/>
      <c r="M799" s="309"/>
      <c r="N799" s="309"/>
      <c r="O799" s="309"/>
      <c r="P799" s="309"/>
      <c r="Q799" s="309"/>
      <c r="R799" s="309"/>
      <c r="S799" s="309"/>
      <c r="T799" s="309"/>
      <c r="U799" s="309"/>
      <c r="V799" s="309"/>
      <c r="W799" s="309"/>
      <c r="X799" s="309"/>
    </row>
    <row r="800" hidden="1">
      <c r="A800" s="348"/>
      <c r="B800" s="488"/>
      <c r="C800" s="309"/>
      <c r="D800" s="309"/>
      <c r="E800" s="489"/>
      <c r="F800" s="309"/>
      <c r="G800" s="407"/>
      <c r="H800" s="490"/>
      <c r="I800" s="491"/>
      <c r="J800" s="492"/>
      <c r="K800" s="493"/>
      <c r="L800" s="494"/>
      <c r="M800" s="309"/>
      <c r="N800" s="309"/>
      <c r="O800" s="309"/>
      <c r="P800" s="309"/>
      <c r="Q800" s="309"/>
      <c r="R800" s="309"/>
      <c r="S800" s="309"/>
      <c r="T800" s="309"/>
      <c r="U800" s="309"/>
      <c r="V800" s="309"/>
      <c r="W800" s="309"/>
      <c r="X800" s="309"/>
    </row>
    <row r="801" hidden="1">
      <c r="A801" s="348"/>
      <c r="B801" s="488"/>
      <c r="C801" s="309"/>
      <c r="D801" s="309"/>
      <c r="E801" s="489"/>
      <c r="F801" s="309"/>
      <c r="G801" s="407"/>
      <c r="H801" s="490"/>
      <c r="I801" s="491"/>
      <c r="J801" s="492"/>
      <c r="K801" s="493"/>
      <c r="L801" s="494"/>
      <c r="M801" s="309"/>
      <c r="N801" s="309"/>
      <c r="O801" s="309"/>
      <c r="P801" s="309"/>
      <c r="Q801" s="309"/>
      <c r="R801" s="309"/>
      <c r="S801" s="309"/>
      <c r="T801" s="309"/>
      <c r="U801" s="309"/>
      <c r="V801" s="309"/>
      <c r="W801" s="309"/>
      <c r="X801" s="309"/>
    </row>
    <row r="802" hidden="1">
      <c r="A802" s="348"/>
      <c r="B802" s="488"/>
      <c r="C802" s="309"/>
      <c r="D802" s="309"/>
      <c r="E802" s="489"/>
      <c r="F802" s="309"/>
      <c r="G802" s="407"/>
      <c r="H802" s="490"/>
      <c r="I802" s="491"/>
      <c r="J802" s="492"/>
      <c r="K802" s="493"/>
      <c r="L802" s="494"/>
      <c r="M802" s="309"/>
      <c r="N802" s="309"/>
      <c r="O802" s="309"/>
      <c r="P802" s="309"/>
      <c r="Q802" s="309"/>
      <c r="R802" s="309"/>
      <c r="S802" s="309"/>
      <c r="T802" s="309"/>
      <c r="U802" s="309"/>
      <c r="V802" s="309"/>
      <c r="W802" s="309"/>
      <c r="X802" s="309"/>
    </row>
    <row r="803" hidden="1">
      <c r="A803" s="348"/>
      <c r="B803" s="488"/>
      <c r="C803" s="309"/>
      <c r="D803" s="309"/>
      <c r="E803" s="489"/>
      <c r="F803" s="309"/>
      <c r="G803" s="407"/>
      <c r="H803" s="490"/>
      <c r="I803" s="491"/>
      <c r="J803" s="492"/>
      <c r="K803" s="493"/>
      <c r="L803" s="494"/>
      <c r="M803" s="309"/>
      <c r="N803" s="309"/>
      <c r="O803" s="309"/>
      <c r="P803" s="309"/>
      <c r="Q803" s="309"/>
      <c r="R803" s="309"/>
      <c r="S803" s="309"/>
      <c r="T803" s="309"/>
      <c r="U803" s="309"/>
      <c r="V803" s="309"/>
      <c r="W803" s="309"/>
      <c r="X803" s="309"/>
    </row>
    <row r="804" hidden="1">
      <c r="A804" s="348"/>
      <c r="B804" s="488"/>
      <c r="C804" s="309"/>
      <c r="D804" s="309"/>
      <c r="E804" s="489"/>
      <c r="F804" s="309"/>
      <c r="G804" s="407"/>
      <c r="H804" s="490"/>
      <c r="I804" s="491"/>
      <c r="J804" s="492"/>
      <c r="K804" s="493"/>
      <c r="L804" s="494"/>
      <c r="M804" s="309"/>
      <c r="N804" s="309"/>
      <c r="O804" s="309"/>
      <c r="P804" s="309"/>
      <c r="Q804" s="309"/>
      <c r="R804" s="309"/>
      <c r="S804" s="309"/>
      <c r="T804" s="309"/>
      <c r="U804" s="309"/>
      <c r="V804" s="309"/>
      <c r="W804" s="309"/>
      <c r="X804" s="309"/>
    </row>
    <row r="805" hidden="1">
      <c r="A805" s="348"/>
      <c r="B805" s="488"/>
      <c r="C805" s="309"/>
      <c r="D805" s="309"/>
      <c r="E805" s="489"/>
      <c r="F805" s="309"/>
      <c r="G805" s="407"/>
      <c r="H805" s="490"/>
      <c r="I805" s="491"/>
      <c r="J805" s="492"/>
      <c r="K805" s="493"/>
      <c r="L805" s="494"/>
      <c r="M805" s="309"/>
      <c r="N805" s="309"/>
      <c r="O805" s="309"/>
      <c r="P805" s="309"/>
      <c r="Q805" s="309"/>
      <c r="R805" s="309"/>
      <c r="S805" s="309"/>
      <c r="T805" s="309"/>
      <c r="U805" s="309"/>
      <c r="V805" s="309"/>
      <c r="W805" s="309"/>
      <c r="X805" s="309"/>
    </row>
    <row r="806" hidden="1">
      <c r="A806" s="348"/>
      <c r="B806" s="488"/>
      <c r="C806" s="309"/>
      <c r="D806" s="309"/>
      <c r="E806" s="489"/>
      <c r="F806" s="309"/>
      <c r="G806" s="407"/>
      <c r="H806" s="490"/>
      <c r="I806" s="491"/>
      <c r="J806" s="492"/>
      <c r="K806" s="493"/>
      <c r="L806" s="494"/>
      <c r="M806" s="309"/>
      <c r="N806" s="309"/>
      <c r="O806" s="309"/>
      <c r="P806" s="309"/>
      <c r="Q806" s="309"/>
      <c r="R806" s="309"/>
      <c r="S806" s="309"/>
      <c r="T806" s="309"/>
      <c r="U806" s="309"/>
      <c r="V806" s="309"/>
      <c r="W806" s="309"/>
      <c r="X806" s="309"/>
    </row>
    <row r="807" hidden="1">
      <c r="A807" s="348"/>
      <c r="B807" s="488"/>
      <c r="C807" s="309"/>
      <c r="D807" s="309"/>
      <c r="E807" s="489"/>
      <c r="F807" s="309"/>
      <c r="G807" s="407"/>
      <c r="H807" s="490"/>
      <c r="I807" s="491"/>
      <c r="J807" s="492"/>
      <c r="K807" s="493"/>
      <c r="L807" s="494"/>
      <c r="M807" s="309"/>
      <c r="N807" s="309"/>
      <c r="O807" s="309"/>
      <c r="P807" s="309"/>
      <c r="Q807" s="309"/>
      <c r="R807" s="309"/>
      <c r="S807" s="309"/>
      <c r="T807" s="309"/>
      <c r="U807" s="309"/>
      <c r="V807" s="309"/>
      <c r="W807" s="309"/>
      <c r="X807" s="309"/>
    </row>
    <row r="808" hidden="1">
      <c r="A808" s="348"/>
      <c r="B808" s="488"/>
      <c r="C808" s="309"/>
      <c r="D808" s="309"/>
      <c r="E808" s="489"/>
      <c r="F808" s="309"/>
      <c r="G808" s="407"/>
      <c r="H808" s="490"/>
      <c r="I808" s="491"/>
      <c r="J808" s="492"/>
      <c r="K808" s="493"/>
      <c r="L808" s="494"/>
      <c r="M808" s="309"/>
      <c r="N808" s="309"/>
      <c r="O808" s="309"/>
      <c r="P808" s="309"/>
      <c r="Q808" s="309"/>
      <c r="R808" s="309"/>
      <c r="S808" s="309"/>
      <c r="T808" s="309"/>
      <c r="U808" s="309"/>
      <c r="V808" s="309"/>
      <c r="W808" s="309"/>
      <c r="X808" s="309"/>
    </row>
    <row r="809" hidden="1">
      <c r="A809" s="348"/>
      <c r="B809" s="488"/>
      <c r="C809" s="309"/>
      <c r="D809" s="309"/>
      <c r="E809" s="489"/>
      <c r="F809" s="309"/>
      <c r="G809" s="407"/>
      <c r="H809" s="490"/>
      <c r="I809" s="491"/>
      <c r="J809" s="492"/>
      <c r="K809" s="493"/>
      <c r="L809" s="494"/>
      <c r="M809" s="309"/>
      <c r="N809" s="309"/>
      <c r="O809" s="309"/>
      <c r="P809" s="309"/>
      <c r="Q809" s="309"/>
      <c r="R809" s="309"/>
      <c r="S809" s="309"/>
      <c r="T809" s="309"/>
      <c r="U809" s="309"/>
      <c r="V809" s="309"/>
      <c r="W809" s="309"/>
      <c r="X809" s="309"/>
    </row>
    <row r="810" hidden="1">
      <c r="A810" s="348"/>
      <c r="B810" s="488"/>
      <c r="C810" s="309"/>
      <c r="D810" s="309"/>
      <c r="E810" s="489"/>
      <c r="F810" s="309"/>
      <c r="G810" s="407"/>
      <c r="H810" s="490"/>
      <c r="I810" s="491"/>
      <c r="J810" s="492"/>
      <c r="K810" s="493"/>
      <c r="L810" s="494"/>
      <c r="M810" s="309"/>
      <c r="N810" s="309"/>
      <c r="O810" s="309"/>
      <c r="P810" s="309"/>
      <c r="Q810" s="309"/>
      <c r="R810" s="309"/>
      <c r="S810" s="309"/>
      <c r="T810" s="309"/>
      <c r="U810" s="309"/>
      <c r="V810" s="309"/>
      <c r="W810" s="309"/>
      <c r="X810" s="309"/>
    </row>
    <row r="811" hidden="1">
      <c r="A811" s="348"/>
      <c r="B811" s="488"/>
      <c r="C811" s="309"/>
      <c r="D811" s="309"/>
      <c r="E811" s="489"/>
      <c r="F811" s="309"/>
      <c r="G811" s="407"/>
      <c r="H811" s="490"/>
      <c r="I811" s="491"/>
      <c r="J811" s="492"/>
      <c r="K811" s="493"/>
      <c r="L811" s="494"/>
      <c r="M811" s="309"/>
      <c r="N811" s="309"/>
      <c r="O811" s="309"/>
      <c r="P811" s="309"/>
      <c r="Q811" s="309"/>
      <c r="R811" s="309"/>
      <c r="S811" s="309"/>
      <c r="T811" s="309"/>
      <c r="U811" s="309"/>
      <c r="V811" s="309"/>
      <c r="W811" s="309"/>
      <c r="X811" s="309"/>
    </row>
    <row r="812" hidden="1">
      <c r="A812" s="348"/>
      <c r="B812" s="488"/>
      <c r="C812" s="309"/>
      <c r="D812" s="309"/>
      <c r="E812" s="489"/>
      <c r="F812" s="309"/>
      <c r="G812" s="407"/>
      <c r="H812" s="490"/>
      <c r="I812" s="491"/>
      <c r="J812" s="492"/>
      <c r="K812" s="493"/>
      <c r="L812" s="494"/>
      <c r="M812" s="309"/>
      <c r="N812" s="309"/>
      <c r="O812" s="309"/>
      <c r="P812" s="309"/>
      <c r="Q812" s="309"/>
      <c r="R812" s="309"/>
      <c r="S812" s="309"/>
      <c r="T812" s="309"/>
      <c r="U812" s="309"/>
      <c r="V812" s="309"/>
      <c r="W812" s="309"/>
      <c r="X812" s="309"/>
    </row>
    <row r="813" hidden="1">
      <c r="A813" s="348"/>
      <c r="B813" s="488"/>
      <c r="C813" s="309"/>
      <c r="D813" s="309"/>
      <c r="E813" s="489"/>
      <c r="F813" s="309"/>
      <c r="G813" s="407"/>
      <c r="H813" s="490"/>
      <c r="I813" s="491"/>
      <c r="J813" s="492"/>
      <c r="K813" s="493"/>
      <c r="L813" s="494"/>
      <c r="M813" s="309"/>
      <c r="N813" s="309"/>
      <c r="O813" s="309"/>
      <c r="P813" s="309"/>
      <c r="Q813" s="309"/>
      <c r="R813" s="309"/>
      <c r="S813" s="309"/>
      <c r="T813" s="309"/>
      <c r="U813" s="309"/>
      <c r="V813" s="309"/>
      <c r="W813" s="309"/>
      <c r="X813" s="309"/>
    </row>
    <row r="814" hidden="1">
      <c r="A814" s="348"/>
      <c r="B814" s="488"/>
      <c r="C814" s="309"/>
      <c r="D814" s="309"/>
      <c r="E814" s="489"/>
      <c r="F814" s="309"/>
      <c r="G814" s="407"/>
      <c r="H814" s="490"/>
      <c r="I814" s="491"/>
      <c r="J814" s="492"/>
      <c r="K814" s="493"/>
      <c r="L814" s="494"/>
      <c r="M814" s="309"/>
      <c r="N814" s="309"/>
      <c r="O814" s="309"/>
      <c r="P814" s="309"/>
      <c r="Q814" s="309"/>
      <c r="R814" s="309"/>
      <c r="S814" s="309"/>
      <c r="T814" s="309"/>
      <c r="U814" s="309"/>
      <c r="V814" s="309"/>
      <c r="W814" s="309"/>
      <c r="X814" s="309"/>
    </row>
    <row r="815" hidden="1">
      <c r="A815" s="348"/>
      <c r="B815" s="488"/>
      <c r="C815" s="309"/>
      <c r="D815" s="309"/>
      <c r="E815" s="489"/>
      <c r="F815" s="309"/>
      <c r="G815" s="407"/>
      <c r="H815" s="490"/>
      <c r="I815" s="491"/>
      <c r="J815" s="492"/>
      <c r="K815" s="493"/>
      <c r="L815" s="494"/>
      <c r="M815" s="309"/>
      <c r="N815" s="309"/>
      <c r="O815" s="309"/>
      <c r="P815" s="309"/>
      <c r="Q815" s="309"/>
      <c r="R815" s="309"/>
      <c r="S815" s="309"/>
      <c r="T815" s="309"/>
      <c r="U815" s="309"/>
      <c r="V815" s="309"/>
      <c r="W815" s="309"/>
      <c r="X815" s="309"/>
    </row>
    <row r="816" hidden="1">
      <c r="A816" s="348"/>
      <c r="B816" s="488"/>
      <c r="C816" s="309"/>
      <c r="D816" s="309"/>
      <c r="E816" s="489"/>
      <c r="F816" s="309"/>
      <c r="G816" s="407"/>
      <c r="H816" s="490"/>
      <c r="I816" s="491"/>
      <c r="J816" s="492"/>
      <c r="K816" s="493"/>
      <c r="L816" s="494"/>
      <c r="M816" s="309"/>
      <c r="N816" s="309"/>
      <c r="O816" s="309"/>
      <c r="P816" s="309"/>
      <c r="Q816" s="309"/>
      <c r="R816" s="309"/>
      <c r="S816" s="309"/>
      <c r="T816" s="309"/>
      <c r="U816" s="309"/>
      <c r="V816" s="309"/>
      <c r="W816" s="309"/>
      <c r="X816" s="309"/>
    </row>
    <row r="817" hidden="1">
      <c r="A817" s="348"/>
      <c r="B817" s="488"/>
      <c r="C817" s="309"/>
      <c r="D817" s="309"/>
      <c r="E817" s="489"/>
      <c r="F817" s="309"/>
      <c r="G817" s="407"/>
      <c r="H817" s="490"/>
      <c r="I817" s="491"/>
      <c r="J817" s="492"/>
      <c r="K817" s="493"/>
      <c r="L817" s="494"/>
      <c r="M817" s="309"/>
      <c r="N817" s="309"/>
      <c r="O817" s="309"/>
      <c r="P817" s="309"/>
      <c r="Q817" s="309"/>
      <c r="R817" s="309"/>
      <c r="S817" s="309"/>
      <c r="T817" s="309"/>
      <c r="U817" s="309"/>
      <c r="V817" s="309"/>
      <c r="W817" s="309"/>
      <c r="X817" s="309"/>
    </row>
    <row r="818" hidden="1">
      <c r="A818" s="348"/>
      <c r="B818" s="488"/>
      <c r="C818" s="309"/>
      <c r="D818" s="309"/>
      <c r="E818" s="489"/>
      <c r="F818" s="309"/>
      <c r="G818" s="407"/>
      <c r="H818" s="490"/>
      <c r="I818" s="491"/>
      <c r="J818" s="492"/>
      <c r="K818" s="493"/>
      <c r="L818" s="494"/>
      <c r="M818" s="309"/>
      <c r="N818" s="309"/>
      <c r="O818" s="309"/>
      <c r="P818" s="309"/>
      <c r="Q818" s="309"/>
      <c r="R818" s="309"/>
      <c r="S818" s="309"/>
      <c r="T818" s="309"/>
      <c r="U818" s="309"/>
      <c r="V818" s="309"/>
      <c r="W818" s="309"/>
      <c r="X818" s="309"/>
    </row>
    <row r="819" hidden="1">
      <c r="A819" s="348"/>
      <c r="B819" s="488"/>
      <c r="C819" s="309"/>
      <c r="D819" s="309"/>
      <c r="E819" s="489"/>
      <c r="F819" s="309"/>
      <c r="G819" s="407"/>
      <c r="H819" s="490"/>
      <c r="I819" s="491"/>
      <c r="J819" s="492"/>
      <c r="K819" s="493"/>
      <c r="L819" s="494"/>
      <c r="M819" s="309"/>
      <c r="N819" s="309"/>
      <c r="O819" s="309"/>
      <c r="P819" s="309"/>
      <c r="Q819" s="309"/>
      <c r="R819" s="309"/>
      <c r="S819" s="309"/>
      <c r="T819" s="309"/>
      <c r="U819" s="309"/>
      <c r="V819" s="309"/>
      <c r="W819" s="309"/>
      <c r="X819" s="309"/>
    </row>
    <row r="820" hidden="1">
      <c r="A820" s="348"/>
      <c r="B820" s="488"/>
      <c r="C820" s="309"/>
      <c r="D820" s="309"/>
      <c r="E820" s="489"/>
      <c r="F820" s="309"/>
      <c r="G820" s="407"/>
      <c r="H820" s="490"/>
      <c r="I820" s="491"/>
      <c r="J820" s="492"/>
      <c r="K820" s="493"/>
      <c r="L820" s="494"/>
      <c r="M820" s="309"/>
      <c r="N820" s="309"/>
      <c r="O820" s="309"/>
      <c r="P820" s="309"/>
      <c r="Q820" s="309"/>
      <c r="R820" s="309"/>
      <c r="S820" s="309"/>
      <c r="T820" s="309"/>
      <c r="U820" s="309"/>
      <c r="V820" s="309"/>
      <c r="W820" s="309"/>
      <c r="X820" s="309"/>
    </row>
    <row r="821" hidden="1">
      <c r="A821" s="348"/>
      <c r="B821" s="488"/>
      <c r="C821" s="309"/>
      <c r="D821" s="309"/>
      <c r="E821" s="489"/>
      <c r="F821" s="309"/>
      <c r="G821" s="407"/>
      <c r="H821" s="490"/>
      <c r="I821" s="491"/>
      <c r="J821" s="492"/>
      <c r="K821" s="493"/>
      <c r="L821" s="494"/>
      <c r="M821" s="309"/>
      <c r="N821" s="309"/>
      <c r="O821" s="309"/>
      <c r="P821" s="309"/>
      <c r="Q821" s="309"/>
      <c r="R821" s="309"/>
      <c r="S821" s="309"/>
      <c r="T821" s="309"/>
      <c r="U821" s="309"/>
      <c r="V821" s="309"/>
      <c r="W821" s="309"/>
      <c r="X821" s="309"/>
    </row>
    <row r="822" hidden="1">
      <c r="A822" s="348"/>
      <c r="B822" s="488"/>
      <c r="C822" s="309"/>
      <c r="D822" s="309"/>
      <c r="E822" s="489"/>
      <c r="F822" s="309"/>
      <c r="G822" s="407"/>
      <c r="H822" s="490"/>
      <c r="I822" s="491"/>
      <c r="J822" s="492"/>
      <c r="K822" s="493"/>
      <c r="L822" s="494"/>
      <c r="M822" s="309"/>
      <c r="N822" s="309"/>
      <c r="O822" s="309"/>
      <c r="P822" s="309"/>
      <c r="Q822" s="309"/>
      <c r="R822" s="309"/>
      <c r="S822" s="309"/>
      <c r="T822" s="309"/>
      <c r="U822" s="309"/>
      <c r="V822" s="309"/>
      <c r="W822" s="309"/>
      <c r="X822" s="309"/>
    </row>
    <row r="823" hidden="1">
      <c r="A823" s="348"/>
      <c r="B823" s="488"/>
      <c r="C823" s="309"/>
      <c r="D823" s="309"/>
      <c r="E823" s="489"/>
      <c r="F823" s="309"/>
      <c r="G823" s="407"/>
      <c r="H823" s="490"/>
      <c r="I823" s="491"/>
      <c r="J823" s="492"/>
      <c r="K823" s="493"/>
      <c r="L823" s="494"/>
      <c r="M823" s="309"/>
      <c r="N823" s="309"/>
      <c r="O823" s="309"/>
      <c r="P823" s="309"/>
      <c r="Q823" s="309"/>
      <c r="R823" s="309"/>
      <c r="S823" s="309"/>
      <c r="T823" s="309"/>
      <c r="U823" s="309"/>
      <c r="V823" s="309"/>
      <c r="W823" s="309"/>
      <c r="X823" s="309"/>
    </row>
    <row r="824" hidden="1">
      <c r="A824" s="348"/>
      <c r="B824" s="488"/>
      <c r="C824" s="309"/>
      <c r="D824" s="309"/>
      <c r="E824" s="489"/>
      <c r="F824" s="309"/>
      <c r="G824" s="407"/>
      <c r="H824" s="490"/>
      <c r="I824" s="491"/>
      <c r="J824" s="492"/>
      <c r="K824" s="493"/>
      <c r="L824" s="494"/>
      <c r="M824" s="309"/>
      <c r="N824" s="309"/>
      <c r="O824" s="309"/>
      <c r="P824" s="309"/>
      <c r="Q824" s="309"/>
      <c r="R824" s="309"/>
      <c r="S824" s="309"/>
      <c r="T824" s="309"/>
      <c r="U824" s="309"/>
      <c r="V824" s="309"/>
      <c r="W824" s="309"/>
      <c r="X824" s="309"/>
    </row>
    <row r="825" hidden="1">
      <c r="A825" s="348"/>
      <c r="B825" s="488"/>
      <c r="C825" s="309"/>
      <c r="D825" s="309"/>
      <c r="E825" s="489"/>
      <c r="F825" s="309"/>
      <c r="G825" s="407"/>
      <c r="H825" s="490"/>
      <c r="I825" s="491"/>
      <c r="J825" s="492"/>
      <c r="K825" s="493"/>
      <c r="L825" s="494"/>
      <c r="M825" s="309"/>
      <c r="N825" s="309"/>
      <c r="O825" s="309"/>
      <c r="P825" s="309"/>
      <c r="Q825" s="309"/>
      <c r="R825" s="309"/>
      <c r="S825" s="309"/>
      <c r="T825" s="309"/>
      <c r="U825" s="309"/>
      <c r="V825" s="309"/>
      <c r="W825" s="309"/>
      <c r="X825" s="309"/>
    </row>
    <row r="826" hidden="1">
      <c r="A826" s="348"/>
      <c r="B826" s="488"/>
      <c r="C826" s="309"/>
      <c r="D826" s="309"/>
      <c r="E826" s="489"/>
      <c r="F826" s="309"/>
      <c r="G826" s="407"/>
      <c r="H826" s="490"/>
      <c r="I826" s="491"/>
      <c r="J826" s="492"/>
      <c r="K826" s="493"/>
      <c r="L826" s="494"/>
      <c r="M826" s="309"/>
      <c r="N826" s="309"/>
      <c r="O826" s="309"/>
      <c r="P826" s="309"/>
      <c r="Q826" s="309"/>
      <c r="R826" s="309"/>
      <c r="S826" s="309"/>
      <c r="T826" s="309"/>
      <c r="U826" s="309"/>
      <c r="V826" s="309"/>
      <c r="W826" s="309"/>
      <c r="X826" s="309"/>
    </row>
    <row r="827" hidden="1">
      <c r="A827" s="348"/>
      <c r="B827" s="488"/>
      <c r="C827" s="309"/>
      <c r="D827" s="309"/>
      <c r="E827" s="489"/>
      <c r="F827" s="309"/>
      <c r="G827" s="407"/>
      <c r="H827" s="490"/>
      <c r="I827" s="491"/>
      <c r="J827" s="492"/>
      <c r="K827" s="493"/>
      <c r="L827" s="494"/>
      <c r="M827" s="309"/>
      <c r="N827" s="309"/>
      <c r="O827" s="309"/>
      <c r="P827" s="309"/>
      <c r="Q827" s="309"/>
      <c r="R827" s="309"/>
      <c r="S827" s="309"/>
      <c r="T827" s="309"/>
      <c r="U827" s="309"/>
      <c r="V827" s="309"/>
      <c r="W827" s="309"/>
      <c r="X827" s="309"/>
    </row>
    <row r="828" hidden="1">
      <c r="A828" s="348"/>
      <c r="B828" s="488"/>
      <c r="C828" s="309"/>
      <c r="D828" s="309"/>
      <c r="E828" s="489"/>
      <c r="F828" s="309"/>
      <c r="G828" s="407"/>
      <c r="H828" s="490"/>
      <c r="I828" s="491"/>
      <c r="J828" s="492"/>
      <c r="K828" s="493"/>
      <c r="L828" s="494"/>
      <c r="M828" s="309"/>
      <c r="N828" s="309"/>
      <c r="O828" s="309"/>
      <c r="P828" s="309"/>
      <c r="Q828" s="309"/>
      <c r="R828" s="309"/>
      <c r="S828" s="309"/>
      <c r="T828" s="309"/>
      <c r="U828" s="309"/>
      <c r="V828" s="309"/>
      <c r="W828" s="309"/>
      <c r="X828" s="309"/>
    </row>
    <row r="829" hidden="1">
      <c r="A829" s="348"/>
      <c r="B829" s="488"/>
      <c r="C829" s="309"/>
      <c r="D829" s="309"/>
      <c r="E829" s="489"/>
      <c r="F829" s="309"/>
      <c r="G829" s="407"/>
      <c r="H829" s="490"/>
      <c r="I829" s="491"/>
      <c r="J829" s="492"/>
      <c r="K829" s="493"/>
      <c r="L829" s="494"/>
      <c r="M829" s="309"/>
      <c r="N829" s="309"/>
      <c r="O829" s="309"/>
      <c r="P829" s="309"/>
      <c r="Q829" s="309"/>
      <c r="R829" s="309"/>
      <c r="S829" s="309"/>
      <c r="T829" s="309"/>
      <c r="U829" s="309"/>
      <c r="V829" s="309"/>
      <c r="W829" s="309"/>
      <c r="X829" s="309"/>
    </row>
    <row r="830" hidden="1">
      <c r="A830" s="348"/>
      <c r="B830" s="488"/>
      <c r="C830" s="309"/>
      <c r="D830" s="309"/>
      <c r="E830" s="489"/>
      <c r="F830" s="309"/>
      <c r="G830" s="407"/>
      <c r="H830" s="490"/>
      <c r="I830" s="491"/>
      <c r="J830" s="492"/>
      <c r="K830" s="493"/>
      <c r="L830" s="494"/>
      <c r="M830" s="309"/>
      <c r="N830" s="309"/>
      <c r="O830" s="309"/>
      <c r="P830" s="309"/>
      <c r="Q830" s="309"/>
      <c r="R830" s="309"/>
      <c r="S830" s="309"/>
      <c r="T830" s="309"/>
      <c r="U830" s="309"/>
      <c r="V830" s="309"/>
      <c r="W830" s="309"/>
      <c r="X830" s="309"/>
    </row>
    <row r="831" hidden="1">
      <c r="A831" s="348"/>
      <c r="B831" s="488"/>
      <c r="C831" s="309"/>
      <c r="D831" s="309"/>
      <c r="E831" s="489"/>
      <c r="F831" s="309"/>
      <c r="G831" s="407"/>
      <c r="H831" s="490"/>
      <c r="I831" s="491"/>
      <c r="J831" s="492"/>
      <c r="K831" s="493"/>
      <c r="L831" s="494"/>
      <c r="M831" s="309"/>
      <c r="N831" s="309"/>
      <c r="O831" s="309"/>
      <c r="P831" s="309"/>
      <c r="Q831" s="309"/>
      <c r="R831" s="309"/>
      <c r="S831" s="309"/>
      <c r="T831" s="309"/>
      <c r="U831" s="309"/>
      <c r="V831" s="309"/>
      <c r="W831" s="309"/>
      <c r="X831" s="309"/>
    </row>
    <row r="832" hidden="1">
      <c r="A832" s="348"/>
      <c r="B832" s="488"/>
      <c r="C832" s="309"/>
      <c r="D832" s="309"/>
      <c r="E832" s="489"/>
      <c r="F832" s="309"/>
      <c r="G832" s="407"/>
      <c r="H832" s="490"/>
      <c r="I832" s="491"/>
      <c r="J832" s="492"/>
      <c r="K832" s="493"/>
      <c r="L832" s="494"/>
      <c r="M832" s="309"/>
      <c r="N832" s="309"/>
      <c r="O832" s="309"/>
      <c r="P832" s="309"/>
      <c r="Q832" s="309"/>
      <c r="R832" s="309"/>
      <c r="S832" s="309"/>
      <c r="T832" s="309"/>
      <c r="U832" s="309"/>
      <c r="V832" s="309"/>
      <c r="W832" s="309"/>
      <c r="X832" s="309"/>
    </row>
    <row r="833" hidden="1">
      <c r="A833" s="348"/>
      <c r="B833" s="488"/>
      <c r="C833" s="309"/>
      <c r="D833" s="309"/>
      <c r="E833" s="489"/>
      <c r="F833" s="309"/>
      <c r="G833" s="407"/>
      <c r="H833" s="490"/>
      <c r="I833" s="491"/>
      <c r="J833" s="492"/>
      <c r="K833" s="493"/>
      <c r="L833" s="494"/>
      <c r="M833" s="309"/>
      <c r="N833" s="309"/>
      <c r="O833" s="309"/>
      <c r="P833" s="309"/>
      <c r="Q833" s="309"/>
      <c r="R833" s="309"/>
      <c r="S833" s="309"/>
      <c r="T833" s="309"/>
      <c r="U833" s="309"/>
      <c r="V833" s="309"/>
      <c r="W833" s="309"/>
      <c r="X833" s="309"/>
    </row>
    <row r="834" hidden="1">
      <c r="A834" s="348"/>
      <c r="B834" s="488"/>
      <c r="C834" s="309"/>
      <c r="D834" s="309"/>
      <c r="E834" s="489"/>
      <c r="F834" s="309"/>
      <c r="G834" s="407"/>
      <c r="H834" s="490"/>
      <c r="I834" s="491"/>
      <c r="J834" s="492"/>
      <c r="K834" s="493"/>
      <c r="L834" s="494"/>
      <c r="M834" s="309"/>
      <c r="N834" s="309"/>
      <c r="O834" s="309"/>
      <c r="P834" s="309"/>
      <c r="Q834" s="309"/>
      <c r="R834" s="309"/>
      <c r="S834" s="309"/>
      <c r="T834" s="309"/>
      <c r="U834" s="309"/>
      <c r="V834" s="309"/>
      <c r="W834" s="309"/>
      <c r="X834" s="309"/>
    </row>
    <row r="835" hidden="1">
      <c r="A835" s="348"/>
      <c r="B835" s="488"/>
      <c r="C835" s="309"/>
      <c r="D835" s="309"/>
      <c r="E835" s="489"/>
      <c r="F835" s="309"/>
      <c r="G835" s="407"/>
      <c r="H835" s="490"/>
      <c r="I835" s="491"/>
      <c r="J835" s="492"/>
      <c r="K835" s="493"/>
      <c r="L835" s="494"/>
      <c r="M835" s="309"/>
      <c r="N835" s="309"/>
      <c r="O835" s="309"/>
      <c r="P835" s="309"/>
      <c r="Q835" s="309"/>
      <c r="R835" s="309"/>
      <c r="S835" s="309"/>
      <c r="T835" s="309"/>
      <c r="U835" s="309"/>
      <c r="V835" s="309"/>
      <c r="W835" s="309"/>
      <c r="X835" s="309"/>
    </row>
    <row r="836" hidden="1">
      <c r="A836" s="348"/>
      <c r="B836" s="488"/>
      <c r="C836" s="309"/>
      <c r="D836" s="309"/>
      <c r="E836" s="489"/>
      <c r="F836" s="309"/>
      <c r="G836" s="407"/>
      <c r="H836" s="490"/>
      <c r="I836" s="491"/>
      <c r="J836" s="492"/>
      <c r="K836" s="493"/>
      <c r="L836" s="494"/>
      <c r="M836" s="309"/>
      <c r="N836" s="309"/>
      <c r="O836" s="309"/>
      <c r="P836" s="309"/>
      <c r="Q836" s="309"/>
      <c r="R836" s="309"/>
      <c r="S836" s="309"/>
      <c r="T836" s="309"/>
      <c r="U836" s="309"/>
      <c r="V836" s="309"/>
      <c r="W836" s="309"/>
      <c r="X836" s="309"/>
    </row>
    <row r="837" hidden="1">
      <c r="A837" s="348"/>
      <c r="B837" s="488"/>
      <c r="C837" s="309"/>
      <c r="D837" s="309"/>
      <c r="E837" s="489"/>
      <c r="F837" s="309"/>
      <c r="G837" s="407"/>
      <c r="H837" s="490"/>
      <c r="I837" s="491"/>
      <c r="J837" s="492"/>
      <c r="K837" s="493"/>
      <c r="L837" s="494"/>
      <c r="M837" s="309"/>
      <c r="N837" s="309"/>
      <c r="O837" s="309"/>
      <c r="P837" s="309"/>
      <c r="Q837" s="309"/>
      <c r="R837" s="309"/>
      <c r="S837" s="309"/>
      <c r="T837" s="309"/>
      <c r="U837" s="309"/>
      <c r="V837" s="309"/>
      <c r="W837" s="309"/>
      <c r="X837" s="309"/>
    </row>
    <row r="838" hidden="1">
      <c r="A838" s="348"/>
      <c r="B838" s="488"/>
      <c r="C838" s="309"/>
      <c r="D838" s="309"/>
      <c r="E838" s="489"/>
      <c r="F838" s="309"/>
      <c r="G838" s="407"/>
      <c r="H838" s="490"/>
      <c r="I838" s="491"/>
      <c r="J838" s="492"/>
      <c r="K838" s="493"/>
      <c r="L838" s="494"/>
      <c r="M838" s="309"/>
      <c r="N838" s="309"/>
      <c r="O838" s="309"/>
      <c r="P838" s="309"/>
      <c r="Q838" s="309"/>
      <c r="R838" s="309"/>
      <c r="S838" s="309"/>
      <c r="T838" s="309"/>
      <c r="U838" s="309"/>
      <c r="V838" s="309"/>
      <c r="W838" s="309"/>
      <c r="X838" s="309"/>
    </row>
    <row r="839" hidden="1">
      <c r="A839" s="348"/>
      <c r="B839" s="488"/>
      <c r="C839" s="309"/>
      <c r="D839" s="309"/>
      <c r="E839" s="489"/>
      <c r="F839" s="309"/>
      <c r="G839" s="407"/>
      <c r="H839" s="490"/>
      <c r="I839" s="491"/>
      <c r="J839" s="492"/>
      <c r="K839" s="493"/>
      <c r="L839" s="494"/>
      <c r="M839" s="309"/>
      <c r="N839" s="309"/>
      <c r="O839" s="309"/>
      <c r="P839" s="309"/>
      <c r="Q839" s="309"/>
      <c r="R839" s="309"/>
      <c r="S839" s="309"/>
      <c r="T839" s="309"/>
      <c r="U839" s="309"/>
      <c r="V839" s="309"/>
      <c r="W839" s="309"/>
      <c r="X839" s="309"/>
    </row>
    <row r="840" hidden="1">
      <c r="A840" s="348"/>
      <c r="B840" s="488"/>
      <c r="C840" s="309"/>
      <c r="D840" s="309"/>
      <c r="E840" s="489"/>
      <c r="F840" s="309"/>
      <c r="G840" s="407"/>
      <c r="H840" s="490"/>
      <c r="I840" s="491"/>
      <c r="J840" s="492"/>
      <c r="K840" s="493"/>
      <c r="L840" s="494"/>
      <c r="M840" s="309"/>
      <c r="N840" s="309"/>
      <c r="O840" s="309"/>
      <c r="P840" s="309"/>
      <c r="Q840" s="309"/>
      <c r="R840" s="309"/>
      <c r="S840" s="309"/>
      <c r="T840" s="309"/>
      <c r="U840" s="309"/>
      <c r="V840" s="309"/>
      <c r="W840" s="309"/>
      <c r="X840" s="309"/>
    </row>
    <row r="841" hidden="1">
      <c r="A841" s="348"/>
      <c r="B841" s="488"/>
      <c r="C841" s="309"/>
      <c r="D841" s="309"/>
      <c r="E841" s="489"/>
      <c r="F841" s="309"/>
      <c r="G841" s="407"/>
      <c r="H841" s="490"/>
      <c r="I841" s="491"/>
      <c r="J841" s="492"/>
      <c r="K841" s="493"/>
      <c r="L841" s="494"/>
      <c r="M841" s="309"/>
      <c r="N841" s="309"/>
      <c r="O841" s="309"/>
      <c r="P841" s="309"/>
      <c r="Q841" s="309"/>
      <c r="R841" s="309"/>
      <c r="S841" s="309"/>
      <c r="T841" s="309"/>
      <c r="U841" s="309"/>
      <c r="V841" s="309"/>
      <c r="W841" s="309"/>
      <c r="X841" s="309"/>
    </row>
    <row r="842" hidden="1">
      <c r="A842" s="348"/>
      <c r="B842" s="488"/>
      <c r="C842" s="309"/>
      <c r="D842" s="309"/>
      <c r="E842" s="489"/>
      <c r="F842" s="309"/>
      <c r="G842" s="407"/>
      <c r="H842" s="490"/>
      <c r="I842" s="491"/>
      <c r="J842" s="492"/>
      <c r="K842" s="493"/>
      <c r="L842" s="494"/>
      <c r="M842" s="309"/>
      <c r="N842" s="309"/>
      <c r="O842" s="309"/>
      <c r="P842" s="309"/>
      <c r="Q842" s="309"/>
      <c r="R842" s="309"/>
      <c r="S842" s="309"/>
      <c r="T842" s="309"/>
      <c r="U842" s="309"/>
      <c r="V842" s="309"/>
      <c r="W842" s="309"/>
      <c r="X842" s="309"/>
    </row>
    <row r="843" hidden="1">
      <c r="A843" s="348"/>
      <c r="B843" s="488"/>
      <c r="C843" s="309"/>
      <c r="D843" s="309"/>
      <c r="E843" s="489"/>
      <c r="F843" s="309"/>
      <c r="G843" s="407"/>
      <c r="H843" s="490"/>
      <c r="I843" s="491"/>
      <c r="J843" s="492"/>
      <c r="K843" s="493"/>
      <c r="L843" s="494"/>
      <c r="M843" s="309"/>
      <c r="N843" s="309"/>
      <c r="O843" s="309"/>
      <c r="P843" s="309"/>
      <c r="Q843" s="309"/>
      <c r="R843" s="309"/>
      <c r="S843" s="309"/>
      <c r="T843" s="309"/>
      <c r="U843" s="309"/>
      <c r="V843" s="309"/>
      <c r="W843" s="309"/>
      <c r="X843" s="309"/>
    </row>
    <row r="844" hidden="1">
      <c r="A844" s="348"/>
      <c r="B844" s="488"/>
      <c r="C844" s="309"/>
      <c r="D844" s="309"/>
      <c r="E844" s="489"/>
      <c r="F844" s="309"/>
      <c r="G844" s="407"/>
      <c r="H844" s="490"/>
      <c r="I844" s="491"/>
      <c r="J844" s="492"/>
      <c r="K844" s="493"/>
      <c r="L844" s="494"/>
      <c r="M844" s="309"/>
      <c r="N844" s="309"/>
      <c r="O844" s="309"/>
      <c r="P844" s="309"/>
      <c r="Q844" s="309"/>
      <c r="R844" s="309"/>
      <c r="S844" s="309"/>
      <c r="T844" s="309"/>
      <c r="U844" s="309"/>
      <c r="V844" s="309"/>
      <c r="W844" s="309"/>
      <c r="X844" s="309"/>
    </row>
    <row r="845" hidden="1">
      <c r="A845" s="348"/>
      <c r="B845" s="488"/>
      <c r="C845" s="309"/>
      <c r="D845" s="309"/>
      <c r="E845" s="489"/>
      <c r="F845" s="309"/>
      <c r="G845" s="407"/>
      <c r="H845" s="490"/>
      <c r="I845" s="491"/>
      <c r="J845" s="492"/>
      <c r="K845" s="493"/>
      <c r="L845" s="494"/>
      <c r="M845" s="309"/>
      <c r="N845" s="309"/>
      <c r="O845" s="309"/>
      <c r="P845" s="309"/>
      <c r="Q845" s="309"/>
      <c r="R845" s="309"/>
      <c r="S845" s="309"/>
      <c r="T845" s="309"/>
      <c r="U845" s="309"/>
      <c r="V845" s="309"/>
      <c r="W845" s="309"/>
      <c r="X845" s="309"/>
    </row>
    <row r="846" hidden="1">
      <c r="A846" s="348"/>
      <c r="B846" s="488"/>
      <c r="C846" s="309"/>
      <c r="D846" s="309"/>
      <c r="E846" s="489"/>
      <c r="F846" s="309"/>
      <c r="G846" s="407"/>
      <c r="H846" s="490"/>
      <c r="I846" s="491"/>
      <c r="J846" s="492"/>
      <c r="K846" s="493"/>
      <c r="L846" s="494"/>
      <c r="M846" s="309"/>
      <c r="N846" s="309"/>
      <c r="O846" s="309"/>
      <c r="P846" s="309"/>
      <c r="Q846" s="309"/>
      <c r="R846" s="309"/>
      <c r="S846" s="309"/>
      <c r="T846" s="309"/>
      <c r="U846" s="309"/>
      <c r="V846" s="309"/>
      <c r="W846" s="309"/>
      <c r="X846" s="309"/>
    </row>
    <row r="847" hidden="1">
      <c r="A847" s="348"/>
      <c r="B847" s="488"/>
      <c r="C847" s="309"/>
      <c r="D847" s="309"/>
      <c r="E847" s="489"/>
      <c r="F847" s="309"/>
      <c r="G847" s="407"/>
      <c r="H847" s="490"/>
      <c r="I847" s="491"/>
      <c r="J847" s="492"/>
      <c r="K847" s="493"/>
      <c r="L847" s="494"/>
      <c r="M847" s="309"/>
      <c r="N847" s="309"/>
      <c r="O847" s="309"/>
      <c r="P847" s="309"/>
      <c r="Q847" s="309"/>
      <c r="R847" s="309"/>
      <c r="S847" s="309"/>
      <c r="T847" s="309"/>
      <c r="U847" s="309"/>
      <c r="V847" s="309"/>
      <c r="W847" s="309"/>
      <c r="X847" s="309"/>
    </row>
    <row r="848" hidden="1">
      <c r="A848" s="348"/>
      <c r="B848" s="488"/>
      <c r="C848" s="309"/>
      <c r="D848" s="309"/>
      <c r="E848" s="489"/>
      <c r="F848" s="309"/>
      <c r="G848" s="407"/>
      <c r="H848" s="490"/>
      <c r="I848" s="491"/>
      <c r="J848" s="492"/>
      <c r="K848" s="493"/>
      <c r="L848" s="494"/>
      <c r="M848" s="309"/>
      <c r="N848" s="309"/>
      <c r="O848" s="309"/>
      <c r="P848" s="309"/>
      <c r="Q848" s="309"/>
      <c r="R848" s="309"/>
      <c r="S848" s="309"/>
      <c r="T848" s="309"/>
      <c r="U848" s="309"/>
      <c r="V848" s="309"/>
      <c r="W848" s="309"/>
      <c r="X848" s="309"/>
    </row>
    <row r="849" hidden="1">
      <c r="A849" s="348"/>
      <c r="B849" s="488"/>
      <c r="C849" s="309"/>
      <c r="D849" s="309"/>
      <c r="E849" s="489"/>
      <c r="F849" s="309"/>
      <c r="G849" s="407"/>
      <c r="H849" s="490"/>
      <c r="I849" s="491"/>
      <c r="J849" s="492"/>
      <c r="K849" s="493"/>
      <c r="L849" s="494"/>
      <c r="M849" s="309"/>
      <c r="N849" s="309"/>
      <c r="O849" s="309"/>
      <c r="P849" s="309"/>
      <c r="Q849" s="309"/>
      <c r="R849" s="309"/>
      <c r="S849" s="309"/>
      <c r="T849" s="309"/>
      <c r="U849" s="309"/>
      <c r="V849" s="309"/>
      <c r="W849" s="309"/>
      <c r="X849" s="309"/>
    </row>
    <row r="850" hidden="1">
      <c r="A850" s="348"/>
      <c r="B850" s="488"/>
      <c r="C850" s="309"/>
      <c r="D850" s="309"/>
      <c r="E850" s="489"/>
      <c r="F850" s="309"/>
      <c r="G850" s="407"/>
      <c r="H850" s="490"/>
      <c r="I850" s="491"/>
      <c r="J850" s="492"/>
      <c r="K850" s="493"/>
      <c r="L850" s="494"/>
      <c r="M850" s="309"/>
      <c r="N850" s="309"/>
      <c r="O850" s="309"/>
      <c r="P850" s="309"/>
      <c r="Q850" s="309"/>
      <c r="R850" s="309"/>
      <c r="S850" s="309"/>
      <c r="T850" s="309"/>
      <c r="U850" s="309"/>
      <c r="V850" s="309"/>
      <c r="W850" s="309"/>
      <c r="X850" s="309"/>
    </row>
    <row r="851" hidden="1">
      <c r="A851" s="348"/>
      <c r="B851" s="488"/>
      <c r="C851" s="309"/>
      <c r="D851" s="309"/>
      <c r="E851" s="489"/>
      <c r="F851" s="309"/>
      <c r="G851" s="407"/>
      <c r="H851" s="490"/>
      <c r="I851" s="491"/>
      <c r="J851" s="492"/>
      <c r="K851" s="493"/>
      <c r="L851" s="494"/>
      <c r="M851" s="309"/>
      <c r="N851" s="309"/>
      <c r="O851" s="309"/>
      <c r="P851" s="309"/>
      <c r="Q851" s="309"/>
      <c r="R851" s="309"/>
      <c r="S851" s="309"/>
      <c r="T851" s="309"/>
      <c r="U851" s="309"/>
      <c r="V851" s="309"/>
      <c r="W851" s="309"/>
      <c r="X851" s="309"/>
    </row>
    <row r="852" hidden="1">
      <c r="A852" s="348"/>
      <c r="B852" s="488"/>
      <c r="C852" s="309"/>
      <c r="D852" s="309"/>
      <c r="E852" s="489"/>
      <c r="F852" s="309"/>
      <c r="G852" s="407"/>
      <c r="H852" s="490"/>
      <c r="I852" s="491"/>
      <c r="J852" s="492"/>
      <c r="K852" s="493"/>
      <c r="L852" s="494"/>
      <c r="M852" s="309"/>
      <c r="N852" s="309"/>
      <c r="O852" s="309"/>
      <c r="P852" s="309"/>
      <c r="Q852" s="309"/>
      <c r="R852" s="309"/>
      <c r="S852" s="309"/>
      <c r="T852" s="309"/>
      <c r="U852" s="309"/>
      <c r="V852" s="309"/>
      <c r="W852" s="309"/>
      <c r="X852" s="309"/>
    </row>
    <row r="853" hidden="1">
      <c r="A853" s="348"/>
      <c r="B853" s="488"/>
      <c r="C853" s="309"/>
      <c r="D853" s="309"/>
      <c r="E853" s="489"/>
      <c r="F853" s="309"/>
      <c r="G853" s="407"/>
      <c r="H853" s="490"/>
      <c r="I853" s="491"/>
      <c r="J853" s="492"/>
      <c r="K853" s="493"/>
      <c r="L853" s="494"/>
      <c r="M853" s="309"/>
      <c r="N853" s="309"/>
      <c r="O853" s="309"/>
      <c r="P853" s="309"/>
      <c r="Q853" s="309"/>
      <c r="R853" s="309"/>
      <c r="S853" s="309"/>
      <c r="T853" s="309"/>
      <c r="U853" s="309"/>
      <c r="V853" s="309"/>
      <c r="W853" s="309"/>
      <c r="X853" s="309"/>
    </row>
    <row r="854" hidden="1">
      <c r="A854" s="348"/>
      <c r="B854" s="488"/>
      <c r="C854" s="309"/>
      <c r="D854" s="309"/>
      <c r="E854" s="489"/>
      <c r="F854" s="309"/>
      <c r="G854" s="407"/>
      <c r="H854" s="490"/>
      <c r="I854" s="491"/>
      <c r="J854" s="492"/>
      <c r="K854" s="493"/>
      <c r="L854" s="494"/>
      <c r="M854" s="309"/>
      <c r="N854" s="309"/>
      <c r="O854" s="309"/>
      <c r="P854" s="309"/>
      <c r="Q854" s="309"/>
      <c r="R854" s="309"/>
      <c r="S854" s="309"/>
      <c r="T854" s="309"/>
      <c r="U854" s="309"/>
      <c r="V854" s="309"/>
      <c r="W854" s="309"/>
      <c r="X854" s="309"/>
    </row>
    <row r="855" hidden="1">
      <c r="A855" s="348"/>
      <c r="B855" s="488"/>
      <c r="C855" s="309"/>
      <c r="D855" s="309"/>
      <c r="E855" s="489"/>
      <c r="F855" s="309"/>
      <c r="G855" s="407"/>
      <c r="H855" s="490"/>
      <c r="I855" s="491"/>
      <c r="J855" s="492"/>
      <c r="K855" s="493"/>
      <c r="L855" s="494"/>
      <c r="M855" s="309"/>
      <c r="N855" s="309"/>
      <c r="O855" s="309"/>
      <c r="P855" s="309"/>
      <c r="Q855" s="309"/>
      <c r="R855" s="309"/>
      <c r="S855" s="309"/>
      <c r="T855" s="309"/>
      <c r="U855" s="309"/>
      <c r="V855" s="309"/>
      <c r="W855" s="309"/>
      <c r="X855" s="309"/>
    </row>
    <row r="856" hidden="1">
      <c r="A856" s="348"/>
      <c r="B856" s="488"/>
      <c r="C856" s="309"/>
      <c r="D856" s="309"/>
      <c r="E856" s="489"/>
      <c r="F856" s="309"/>
      <c r="G856" s="407"/>
      <c r="H856" s="490"/>
      <c r="I856" s="491"/>
      <c r="J856" s="492"/>
      <c r="K856" s="493"/>
      <c r="L856" s="494"/>
      <c r="M856" s="309"/>
      <c r="N856" s="309"/>
      <c r="O856" s="309"/>
      <c r="P856" s="309"/>
      <c r="Q856" s="309"/>
      <c r="R856" s="309"/>
      <c r="S856" s="309"/>
      <c r="T856" s="309"/>
      <c r="U856" s="309"/>
      <c r="V856" s="309"/>
      <c r="W856" s="309"/>
      <c r="X856" s="309"/>
    </row>
    <row r="857" hidden="1">
      <c r="A857" s="348"/>
      <c r="B857" s="488"/>
      <c r="C857" s="309"/>
      <c r="D857" s="309"/>
      <c r="E857" s="489"/>
      <c r="F857" s="309"/>
      <c r="G857" s="407"/>
      <c r="H857" s="490"/>
      <c r="I857" s="491"/>
      <c r="J857" s="492"/>
      <c r="K857" s="493"/>
      <c r="L857" s="494"/>
      <c r="M857" s="309"/>
      <c r="N857" s="309"/>
      <c r="O857" s="309"/>
      <c r="P857" s="309"/>
      <c r="Q857" s="309"/>
      <c r="R857" s="309"/>
      <c r="S857" s="309"/>
      <c r="T857" s="309"/>
      <c r="U857" s="309"/>
      <c r="V857" s="309"/>
      <c r="W857" s="309"/>
      <c r="X857" s="309"/>
    </row>
    <row r="858" hidden="1">
      <c r="A858" s="348"/>
      <c r="B858" s="488"/>
      <c r="C858" s="309"/>
      <c r="D858" s="309"/>
      <c r="E858" s="489"/>
      <c r="F858" s="309"/>
      <c r="G858" s="407"/>
      <c r="H858" s="490"/>
      <c r="I858" s="491"/>
      <c r="J858" s="492"/>
      <c r="K858" s="493"/>
      <c r="L858" s="494"/>
      <c r="M858" s="309"/>
      <c r="N858" s="309"/>
      <c r="O858" s="309"/>
      <c r="P858" s="309"/>
      <c r="Q858" s="309"/>
      <c r="R858" s="309"/>
      <c r="S858" s="309"/>
      <c r="T858" s="309"/>
      <c r="U858" s="309"/>
      <c r="V858" s="309"/>
      <c r="W858" s="309"/>
      <c r="X858" s="309"/>
    </row>
    <row r="859" hidden="1">
      <c r="A859" s="348"/>
      <c r="B859" s="488"/>
      <c r="C859" s="309"/>
      <c r="D859" s="309"/>
      <c r="E859" s="489"/>
      <c r="F859" s="309"/>
      <c r="G859" s="407"/>
      <c r="H859" s="490"/>
      <c r="I859" s="491"/>
      <c r="J859" s="492"/>
      <c r="K859" s="493"/>
      <c r="L859" s="494"/>
      <c r="M859" s="309"/>
      <c r="N859" s="309"/>
      <c r="O859" s="309"/>
      <c r="P859" s="309"/>
      <c r="Q859" s="309"/>
      <c r="R859" s="309"/>
      <c r="S859" s="309"/>
      <c r="T859" s="309"/>
      <c r="U859" s="309"/>
      <c r="V859" s="309"/>
      <c r="W859" s="309"/>
      <c r="X859" s="309"/>
    </row>
    <row r="860" hidden="1">
      <c r="A860" s="348"/>
      <c r="B860" s="488"/>
      <c r="C860" s="309"/>
      <c r="D860" s="309"/>
      <c r="E860" s="489"/>
      <c r="F860" s="309"/>
      <c r="G860" s="407"/>
      <c r="H860" s="490"/>
      <c r="I860" s="491"/>
      <c r="J860" s="492"/>
      <c r="K860" s="493"/>
      <c r="L860" s="494"/>
      <c r="M860" s="309"/>
      <c r="N860" s="309"/>
      <c r="O860" s="309"/>
      <c r="P860" s="309"/>
      <c r="Q860" s="309"/>
      <c r="R860" s="309"/>
      <c r="S860" s="309"/>
      <c r="T860" s="309"/>
      <c r="U860" s="309"/>
      <c r="V860" s="309"/>
      <c r="W860" s="309"/>
      <c r="X860" s="309"/>
    </row>
    <row r="861" hidden="1">
      <c r="A861" s="348"/>
      <c r="B861" s="488"/>
      <c r="C861" s="309"/>
      <c r="D861" s="309"/>
      <c r="E861" s="489"/>
      <c r="F861" s="309"/>
      <c r="G861" s="407"/>
      <c r="H861" s="490"/>
      <c r="I861" s="491"/>
      <c r="J861" s="492"/>
      <c r="K861" s="493"/>
      <c r="L861" s="494"/>
      <c r="M861" s="309"/>
      <c r="N861" s="309"/>
      <c r="O861" s="309"/>
      <c r="P861" s="309"/>
      <c r="Q861" s="309"/>
      <c r="R861" s="309"/>
      <c r="S861" s="309"/>
      <c r="T861" s="309"/>
      <c r="U861" s="309"/>
      <c r="V861" s="309"/>
      <c r="W861" s="309"/>
      <c r="X861" s="309"/>
    </row>
    <row r="862" hidden="1">
      <c r="A862" s="348"/>
      <c r="B862" s="488"/>
      <c r="C862" s="309"/>
      <c r="D862" s="309"/>
      <c r="E862" s="489"/>
      <c r="F862" s="309"/>
      <c r="G862" s="407"/>
      <c r="H862" s="490"/>
      <c r="I862" s="491"/>
      <c r="J862" s="492"/>
      <c r="K862" s="493"/>
      <c r="L862" s="494"/>
      <c r="M862" s="309"/>
      <c r="N862" s="309"/>
      <c r="O862" s="309"/>
      <c r="P862" s="309"/>
      <c r="Q862" s="309"/>
      <c r="R862" s="309"/>
      <c r="S862" s="309"/>
      <c r="T862" s="309"/>
      <c r="U862" s="309"/>
      <c r="V862" s="309"/>
      <c r="W862" s="309"/>
      <c r="X862" s="309"/>
    </row>
    <row r="863" hidden="1">
      <c r="A863" s="348"/>
      <c r="B863" s="488"/>
      <c r="C863" s="309"/>
      <c r="D863" s="309"/>
      <c r="E863" s="489"/>
      <c r="F863" s="309"/>
      <c r="G863" s="407"/>
      <c r="H863" s="490"/>
      <c r="I863" s="491"/>
      <c r="J863" s="492"/>
      <c r="K863" s="493"/>
      <c r="L863" s="494"/>
      <c r="M863" s="309"/>
      <c r="N863" s="309"/>
      <c r="O863" s="309"/>
      <c r="P863" s="309"/>
      <c r="Q863" s="309"/>
      <c r="R863" s="309"/>
      <c r="S863" s="309"/>
      <c r="T863" s="309"/>
      <c r="U863" s="309"/>
      <c r="V863" s="309"/>
      <c r="W863" s="309"/>
      <c r="X863" s="309"/>
    </row>
    <row r="864" hidden="1">
      <c r="A864" s="348"/>
      <c r="B864" s="488"/>
      <c r="C864" s="309"/>
      <c r="D864" s="309"/>
      <c r="E864" s="489"/>
      <c r="F864" s="309"/>
      <c r="G864" s="407"/>
      <c r="H864" s="490"/>
      <c r="I864" s="491"/>
      <c r="J864" s="492"/>
      <c r="K864" s="493"/>
      <c r="L864" s="494"/>
      <c r="M864" s="309"/>
      <c r="N864" s="309"/>
      <c r="O864" s="309"/>
      <c r="P864" s="309"/>
      <c r="Q864" s="309"/>
      <c r="R864" s="309"/>
      <c r="S864" s="309"/>
      <c r="T864" s="309"/>
      <c r="U864" s="309"/>
      <c r="V864" s="309"/>
      <c r="W864" s="309"/>
      <c r="X864" s="309"/>
    </row>
    <row r="865" hidden="1">
      <c r="A865" s="348"/>
      <c r="B865" s="488"/>
      <c r="C865" s="309"/>
      <c r="D865" s="309"/>
      <c r="E865" s="489"/>
      <c r="F865" s="309"/>
      <c r="G865" s="407"/>
      <c r="H865" s="490"/>
      <c r="I865" s="491"/>
      <c r="J865" s="492"/>
      <c r="K865" s="493"/>
      <c r="L865" s="494"/>
      <c r="M865" s="309"/>
      <c r="N865" s="309"/>
      <c r="O865" s="309"/>
      <c r="P865" s="309"/>
      <c r="Q865" s="309"/>
      <c r="R865" s="309"/>
      <c r="S865" s="309"/>
      <c r="T865" s="309"/>
      <c r="U865" s="309"/>
      <c r="V865" s="309"/>
      <c r="W865" s="309"/>
      <c r="X865" s="309"/>
    </row>
    <row r="866" hidden="1">
      <c r="A866" s="348"/>
      <c r="B866" s="488"/>
      <c r="C866" s="309"/>
      <c r="D866" s="309"/>
      <c r="E866" s="489"/>
      <c r="F866" s="309"/>
      <c r="G866" s="407"/>
      <c r="H866" s="490"/>
      <c r="I866" s="491"/>
      <c r="J866" s="492"/>
      <c r="K866" s="493"/>
      <c r="L866" s="494"/>
      <c r="M866" s="309"/>
      <c r="N866" s="309"/>
      <c r="O866" s="309"/>
      <c r="P866" s="309"/>
      <c r="Q866" s="309"/>
      <c r="R866" s="309"/>
      <c r="S866" s="309"/>
      <c r="T866" s="309"/>
      <c r="U866" s="309"/>
      <c r="V866" s="309"/>
      <c r="W866" s="309"/>
      <c r="X866" s="309"/>
    </row>
    <row r="867" hidden="1">
      <c r="A867" s="348"/>
      <c r="B867" s="488"/>
      <c r="C867" s="309"/>
      <c r="D867" s="309"/>
      <c r="E867" s="489"/>
      <c r="F867" s="309"/>
      <c r="G867" s="407"/>
      <c r="H867" s="490"/>
      <c r="I867" s="491"/>
      <c r="J867" s="492"/>
      <c r="K867" s="493"/>
      <c r="L867" s="494"/>
      <c r="M867" s="309"/>
      <c r="N867" s="309"/>
      <c r="O867" s="309"/>
      <c r="P867" s="309"/>
      <c r="Q867" s="309"/>
      <c r="R867" s="309"/>
      <c r="S867" s="309"/>
      <c r="T867" s="309"/>
      <c r="U867" s="309"/>
      <c r="V867" s="309"/>
      <c r="W867" s="309"/>
      <c r="X867" s="309"/>
    </row>
    <row r="868" hidden="1">
      <c r="A868" s="348"/>
      <c r="B868" s="488"/>
      <c r="C868" s="309"/>
      <c r="D868" s="309"/>
      <c r="E868" s="489"/>
      <c r="F868" s="309"/>
      <c r="G868" s="407"/>
      <c r="H868" s="490"/>
      <c r="I868" s="491"/>
      <c r="J868" s="492"/>
      <c r="K868" s="493"/>
      <c r="L868" s="494"/>
      <c r="M868" s="309"/>
      <c r="N868" s="309"/>
      <c r="O868" s="309"/>
      <c r="P868" s="309"/>
      <c r="Q868" s="309"/>
      <c r="R868" s="309"/>
      <c r="S868" s="309"/>
      <c r="T868" s="309"/>
      <c r="U868" s="309"/>
      <c r="V868" s="309"/>
      <c r="W868" s="309"/>
      <c r="X868" s="309"/>
    </row>
    <row r="869" hidden="1">
      <c r="A869" s="348"/>
      <c r="B869" s="488"/>
      <c r="C869" s="309"/>
      <c r="D869" s="309"/>
      <c r="E869" s="489"/>
      <c r="F869" s="309"/>
      <c r="G869" s="407"/>
      <c r="H869" s="490"/>
      <c r="I869" s="491"/>
      <c r="J869" s="492"/>
      <c r="K869" s="493"/>
      <c r="L869" s="494"/>
      <c r="M869" s="309"/>
      <c r="N869" s="309"/>
      <c r="O869" s="309"/>
      <c r="P869" s="309"/>
      <c r="Q869" s="309"/>
      <c r="R869" s="309"/>
      <c r="S869" s="309"/>
      <c r="T869" s="309"/>
      <c r="U869" s="309"/>
      <c r="V869" s="309"/>
      <c r="W869" s="309"/>
      <c r="X869" s="309"/>
    </row>
    <row r="870" hidden="1">
      <c r="A870" s="348"/>
      <c r="B870" s="488"/>
      <c r="C870" s="309"/>
      <c r="D870" s="309"/>
      <c r="E870" s="489"/>
      <c r="F870" s="309"/>
      <c r="G870" s="407"/>
      <c r="H870" s="490"/>
      <c r="I870" s="491"/>
      <c r="J870" s="492"/>
      <c r="K870" s="493"/>
      <c r="L870" s="494"/>
      <c r="M870" s="309"/>
      <c r="N870" s="309"/>
      <c r="O870" s="309"/>
      <c r="P870" s="309"/>
      <c r="Q870" s="309"/>
      <c r="R870" s="309"/>
      <c r="S870" s="309"/>
      <c r="T870" s="309"/>
      <c r="U870" s="309"/>
      <c r="V870" s="309"/>
      <c r="W870" s="309"/>
      <c r="X870" s="309"/>
    </row>
    <row r="871" hidden="1">
      <c r="A871" s="348"/>
      <c r="B871" s="488"/>
      <c r="C871" s="309"/>
      <c r="D871" s="309"/>
      <c r="E871" s="489"/>
      <c r="F871" s="309"/>
      <c r="G871" s="407"/>
      <c r="H871" s="490"/>
      <c r="I871" s="491"/>
      <c r="J871" s="492"/>
      <c r="K871" s="493"/>
      <c r="L871" s="494"/>
      <c r="M871" s="309"/>
      <c r="N871" s="309"/>
      <c r="O871" s="309"/>
      <c r="P871" s="309"/>
      <c r="Q871" s="309"/>
      <c r="R871" s="309"/>
      <c r="S871" s="309"/>
      <c r="T871" s="309"/>
      <c r="U871" s="309"/>
      <c r="V871" s="309"/>
      <c r="W871" s="309"/>
      <c r="X871" s="309"/>
    </row>
    <row r="872" hidden="1">
      <c r="A872" s="348"/>
      <c r="B872" s="488"/>
      <c r="C872" s="309"/>
      <c r="D872" s="309"/>
      <c r="E872" s="489"/>
      <c r="F872" s="309"/>
      <c r="G872" s="407"/>
      <c r="H872" s="490"/>
      <c r="I872" s="491"/>
      <c r="J872" s="492"/>
      <c r="K872" s="493"/>
      <c r="L872" s="494"/>
      <c r="M872" s="309"/>
      <c r="N872" s="309"/>
      <c r="O872" s="309"/>
      <c r="P872" s="309"/>
      <c r="Q872" s="309"/>
      <c r="R872" s="309"/>
      <c r="S872" s="309"/>
      <c r="T872" s="309"/>
      <c r="U872" s="309"/>
      <c r="V872" s="309"/>
      <c r="W872" s="309"/>
      <c r="X872" s="309"/>
    </row>
    <row r="873" hidden="1">
      <c r="A873" s="348"/>
      <c r="B873" s="488"/>
      <c r="C873" s="309"/>
      <c r="D873" s="309"/>
      <c r="E873" s="489"/>
      <c r="F873" s="309"/>
      <c r="G873" s="407"/>
      <c r="H873" s="490"/>
      <c r="I873" s="491"/>
      <c r="J873" s="492"/>
      <c r="K873" s="493"/>
      <c r="L873" s="494"/>
      <c r="M873" s="309"/>
      <c r="N873" s="309"/>
      <c r="O873" s="309"/>
      <c r="P873" s="309"/>
      <c r="Q873" s="309"/>
      <c r="R873" s="309"/>
      <c r="S873" s="309"/>
      <c r="T873" s="309"/>
      <c r="U873" s="309"/>
      <c r="V873" s="309"/>
      <c r="W873" s="309"/>
      <c r="X873" s="309"/>
    </row>
    <row r="874" hidden="1">
      <c r="A874" s="348"/>
      <c r="B874" s="488"/>
      <c r="C874" s="309"/>
      <c r="D874" s="309"/>
      <c r="E874" s="489"/>
      <c r="F874" s="309"/>
      <c r="G874" s="407"/>
      <c r="H874" s="490"/>
      <c r="I874" s="491"/>
      <c r="J874" s="492"/>
      <c r="K874" s="493"/>
      <c r="L874" s="494"/>
      <c r="M874" s="309"/>
      <c r="N874" s="309"/>
      <c r="O874" s="309"/>
      <c r="P874" s="309"/>
      <c r="Q874" s="309"/>
      <c r="R874" s="309"/>
      <c r="S874" s="309"/>
      <c r="T874" s="309"/>
      <c r="U874" s="309"/>
      <c r="V874" s="309"/>
      <c r="W874" s="309"/>
      <c r="X874" s="309"/>
    </row>
    <row r="875" hidden="1">
      <c r="A875" s="348"/>
      <c r="B875" s="488"/>
      <c r="C875" s="309"/>
      <c r="D875" s="309"/>
      <c r="E875" s="489"/>
      <c r="F875" s="309"/>
      <c r="G875" s="407"/>
      <c r="H875" s="490"/>
      <c r="I875" s="491"/>
      <c r="J875" s="492"/>
      <c r="K875" s="493"/>
      <c r="L875" s="494"/>
      <c r="M875" s="309"/>
      <c r="N875" s="309"/>
      <c r="O875" s="309"/>
      <c r="P875" s="309"/>
      <c r="Q875" s="309"/>
      <c r="R875" s="309"/>
      <c r="S875" s="309"/>
      <c r="T875" s="309"/>
      <c r="U875" s="309"/>
      <c r="V875" s="309"/>
      <c r="W875" s="309"/>
      <c r="X875" s="309"/>
    </row>
    <row r="876" hidden="1">
      <c r="A876" s="348"/>
      <c r="B876" s="488"/>
      <c r="C876" s="309"/>
      <c r="D876" s="309"/>
      <c r="E876" s="489"/>
      <c r="F876" s="309"/>
      <c r="G876" s="407"/>
      <c r="H876" s="490"/>
      <c r="I876" s="491"/>
      <c r="J876" s="492"/>
      <c r="K876" s="493"/>
      <c r="L876" s="494"/>
      <c r="M876" s="309"/>
      <c r="N876" s="309"/>
      <c r="O876" s="309"/>
      <c r="P876" s="309"/>
      <c r="Q876" s="309"/>
      <c r="R876" s="309"/>
      <c r="S876" s="309"/>
      <c r="T876" s="309"/>
      <c r="U876" s="309"/>
      <c r="V876" s="309"/>
      <c r="W876" s="309"/>
      <c r="X876" s="309"/>
    </row>
    <row r="877" hidden="1">
      <c r="A877" s="348"/>
      <c r="B877" s="488"/>
      <c r="C877" s="309"/>
      <c r="D877" s="309"/>
      <c r="E877" s="489"/>
      <c r="F877" s="309"/>
      <c r="G877" s="407"/>
      <c r="H877" s="490"/>
      <c r="I877" s="491"/>
      <c r="J877" s="492"/>
      <c r="K877" s="493"/>
      <c r="L877" s="494"/>
      <c r="M877" s="309"/>
      <c r="N877" s="309"/>
      <c r="O877" s="309"/>
      <c r="P877" s="309"/>
      <c r="Q877" s="309"/>
      <c r="R877" s="309"/>
      <c r="S877" s="309"/>
      <c r="T877" s="309"/>
      <c r="U877" s="309"/>
      <c r="V877" s="309"/>
      <c r="W877" s="309"/>
      <c r="X877" s="309"/>
    </row>
    <row r="878" hidden="1">
      <c r="A878" s="348"/>
      <c r="B878" s="488"/>
      <c r="C878" s="309"/>
      <c r="D878" s="309"/>
      <c r="E878" s="489"/>
      <c r="F878" s="309"/>
      <c r="G878" s="407"/>
      <c r="H878" s="490"/>
      <c r="I878" s="491"/>
      <c r="J878" s="492"/>
      <c r="K878" s="493"/>
      <c r="L878" s="494"/>
      <c r="M878" s="309"/>
      <c r="N878" s="309"/>
      <c r="O878" s="309"/>
      <c r="P878" s="309"/>
      <c r="Q878" s="309"/>
      <c r="R878" s="309"/>
      <c r="S878" s="309"/>
      <c r="T878" s="309"/>
      <c r="U878" s="309"/>
      <c r="V878" s="309"/>
      <c r="W878" s="309"/>
      <c r="X878" s="309"/>
    </row>
    <row r="879" hidden="1">
      <c r="A879" s="348"/>
      <c r="B879" s="488"/>
      <c r="C879" s="309"/>
      <c r="D879" s="309"/>
      <c r="E879" s="489"/>
      <c r="F879" s="309"/>
      <c r="G879" s="407"/>
      <c r="H879" s="490"/>
      <c r="I879" s="491"/>
      <c r="J879" s="492"/>
      <c r="K879" s="493"/>
      <c r="L879" s="494"/>
      <c r="M879" s="309"/>
      <c r="N879" s="309"/>
      <c r="O879" s="309"/>
      <c r="P879" s="309"/>
      <c r="Q879" s="309"/>
      <c r="R879" s="309"/>
      <c r="S879" s="309"/>
      <c r="T879" s="309"/>
      <c r="U879" s="309"/>
      <c r="V879" s="309"/>
      <c r="W879" s="309"/>
      <c r="X879" s="309"/>
    </row>
    <row r="880" hidden="1">
      <c r="A880" s="348"/>
      <c r="B880" s="488"/>
      <c r="C880" s="309"/>
      <c r="D880" s="309"/>
      <c r="E880" s="489"/>
      <c r="F880" s="309"/>
      <c r="G880" s="407"/>
      <c r="H880" s="490"/>
      <c r="I880" s="491"/>
      <c r="J880" s="492"/>
      <c r="K880" s="493"/>
      <c r="L880" s="494"/>
      <c r="M880" s="309"/>
      <c r="N880" s="309"/>
      <c r="O880" s="309"/>
      <c r="P880" s="309"/>
      <c r="Q880" s="309"/>
      <c r="R880" s="309"/>
      <c r="S880" s="309"/>
      <c r="T880" s="309"/>
      <c r="U880" s="309"/>
      <c r="V880" s="309"/>
      <c r="W880" s="309"/>
      <c r="X880" s="309"/>
    </row>
    <row r="881" hidden="1">
      <c r="A881" s="348"/>
      <c r="B881" s="488"/>
      <c r="C881" s="309"/>
      <c r="D881" s="309"/>
      <c r="E881" s="489"/>
      <c r="F881" s="309"/>
      <c r="G881" s="407"/>
      <c r="H881" s="490"/>
      <c r="I881" s="491"/>
      <c r="J881" s="492"/>
      <c r="K881" s="493"/>
      <c r="L881" s="494"/>
      <c r="M881" s="309"/>
      <c r="N881" s="309"/>
      <c r="O881" s="309"/>
      <c r="P881" s="309"/>
      <c r="Q881" s="309"/>
      <c r="R881" s="309"/>
      <c r="S881" s="309"/>
      <c r="T881" s="309"/>
      <c r="U881" s="309"/>
      <c r="V881" s="309"/>
      <c r="W881" s="309"/>
      <c r="X881" s="309"/>
    </row>
    <row r="882" hidden="1">
      <c r="A882" s="348"/>
      <c r="B882" s="488"/>
      <c r="C882" s="309"/>
      <c r="D882" s="309"/>
      <c r="E882" s="489"/>
      <c r="F882" s="309"/>
      <c r="G882" s="407"/>
      <c r="H882" s="490"/>
      <c r="I882" s="491"/>
      <c r="J882" s="492"/>
      <c r="K882" s="493"/>
      <c r="L882" s="494"/>
      <c r="M882" s="309"/>
      <c r="N882" s="309"/>
      <c r="O882" s="309"/>
      <c r="P882" s="309"/>
      <c r="Q882" s="309"/>
      <c r="R882" s="309"/>
      <c r="S882" s="309"/>
      <c r="T882" s="309"/>
      <c r="U882" s="309"/>
      <c r="V882" s="309"/>
      <c r="W882" s="309"/>
      <c r="X882" s="309"/>
    </row>
    <row r="883" hidden="1">
      <c r="A883" s="348"/>
      <c r="B883" s="488"/>
      <c r="C883" s="309"/>
      <c r="D883" s="309"/>
      <c r="E883" s="489"/>
      <c r="F883" s="309"/>
      <c r="G883" s="407"/>
      <c r="H883" s="490"/>
      <c r="I883" s="491"/>
      <c r="J883" s="492"/>
      <c r="K883" s="493"/>
      <c r="L883" s="494"/>
      <c r="M883" s="309"/>
      <c r="N883" s="309"/>
      <c r="O883" s="309"/>
      <c r="P883" s="309"/>
      <c r="Q883" s="309"/>
      <c r="R883" s="309"/>
      <c r="S883" s="309"/>
      <c r="T883" s="309"/>
      <c r="U883" s="309"/>
      <c r="V883" s="309"/>
      <c r="W883" s="309"/>
      <c r="X883" s="309"/>
    </row>
    <row r="884" hidden="1">
      <c r="A884" s="348"/>
      <c r="B884" s="488"/>
      <c r="C884" s="309"/>
      <c r="D884" s="309"/>
      <c r="E884" s="489"/>
      <c r="F884" s="309"/>
      <c r="G884" s="407"/>
      <c r="H884" s="490"/>
      <c r="I884" s="491"/>
      <c r="J884" s="492"/>
      <c r="K884" s="493"/>
      <c r="L884" s="494"/>
      <c r="M884" s="309"/>
      <c r="N884" s="309"/>
      <c r="O884" s="309"/>
      <c r="P884" s="309"/>
      <c r="Q884" s="309"/>
      <c r="R884" s="309"/>
      <c r="S884" s="309"/>
      <c r="T884" s="309"/>
      <c r="U884" s="309"/>
      <c r="V884" s="309"/>
      <c r="W884" s="309"/>
      <c r="X884" s="309"/>
    </row>
    <row r="885" hidden="1">
      <c r="A885" s="348"/>
      <c r="B885" s="488"/>
      <c r="C885" s="309"/>
      <c r="D885" s="309"/>
      <c r="E885" s="489"/>
      <c r="F885" s="309"/>
      <c r="G885" s="407"/>
      <c r="H885" s="490"/>
      <c r="I885" s="491"/>
      <c r="J885" s="492"/>
      <c r="K885" s="493"/>
      <c r="L885" s="494"/>
      <c r="M885" s="309"/>
      <c r="N885" s="309"/>
      <c r="O885" s="309"/>
      <c r="P885" s="309"/>
      <c r="Q885" s="309"/>
      <c r="R885" s="309"/>
      <c r="S885" s="309"/>
      <c r="T885" s="309"/>
      <c r="U885" s="309"/>
      <c r="V885" s="309"/>
      <c r="W885" s="309"/>
      <c r="X885" s="309"/>
    </row>
    <row r="886" hidden="1">
      <c r="A886" s="348"/>
      <c r="B886" s="488"/>
      <c r="C886" s="309"/>
      <c r="D886" s="309"/>
      <c r="E886" s="489"/>
      <c r="F886" s="309"/>
      <c r="G886" s="407"/>
      <c r="H886" s="490"/>
      <c r="I886" s="491"/>
      <c r="J886" s="492"/>
      <c r="K886" s="493"/>
      <c r="L886" s="494"/>
      <c r="M886" s="309"/>
      <c r="N886" s="309"/>
      <c r="O886" s="309"/>
      <c r="P886" s="309"/>
      <c r="Q886" s="309"/>
      <c r="R886" s="309"/>
      <c r="S886" s="309"/>
      <c r="T886" s="309"/>
      <c r="U886" s="309"/>
      <c r="V886" s="309"/>
      <c r="W886" s="309"/>
      <c r="X886" s="309"/>
    </row>
    <row r="887" hidden="1">
      <c r="A887" s="348"/>
      <c r="B887" s="488"/>
      <c r="C887" s="309"/>
      <c r="D887" s="309"/>
      <c r="E887" s="489"/>
      <c r="F887" s="309"/>
      <c r="G887" s="407"/>
      <c r="H887" s="490"/>
      <c r="I887" s="491"/>
      <c r="J887" s="492"/>
      <c r="K887" s="493"/>
      <c r="L887" s="494"/>
      <c r="M887" s="309"/>
      <c r="N887" s="309"/>
      <c r="O887" s="309"/>
      <c r="P887" s="309"/>
      <c r="Q887" s="309"/>
      <c r="R887" s="309"/>
      <c r="S887" s="309"/>
      <c r="T887" s="309"/>
      <c r="U887" s="309"/>
      <c r="V887" s="309"/>
      <c r="W887" s="309"/>
      <c r="X887" s="309"/>
    </row>
    <row r="888" hidden="1">
      <c r="A888" s="348"/>
      <c r="B888" s="488"/>
      <c r="C888" s="309"/>
      <c r="D888" s="309"/>
      <c r="E888" s="489"/>
      <c r="F888" s="309"/>
      <c r="G888" s="407"/>
      <c r="H888" s="490"/>
      <c r="I888" s="491"/>
      <c r="J888" s="492"/>
      <c r="K888" s="493"/>
      <c r="L888" s="494"/>
      <c r="M888" s="309"/>
      <c r="N888" s="309"/>
      <c r="O888" s="309"/>
      <c r="P888" s="309"/>
      <c r="Q888" s="309"/>
      <c r="R888" s="309"/>
      <c r="S888" s="309"/>
      <c r="T888" s="309"/>
      <c r="U888" s="309"/>
      <c r="V888" s="309"/>
      <c r="W888" s="309"/>
      <c r="X888" s="309"/>
    </row>
    <row r="889" hidden="1">
      <c r="A889" s="348"/>
      <c r="B889" s="488"/>
      <c r="C889" s="309"/>
      <c r="D889" s="309"/>
      <c r="E889" s="489"/>
      <c r="F889" s="309"/>
      <c r="G889" s="407"/>
      <c r="H889" s="490"/>
      <c r="I889" s="491"/>
      <c r="J889" s="492"/>
      <c r="K889" s="493"/>
      <c r="L889" s="494"/>
      <c r="M889" s="309"/>
      <c r="N889" s="309"/>
      <c r="O889" s="309"/>
      <c r="P889" s="309"/>
      <c r="Q889" s="309"/>
      <c r="R889" s="309"/>
      <c r="S889" s="309"/>
      <c r="T889" s="309"/>
      <c r="U889" s="309"/>
      <c r="V889" s="309"/>
      <c r="W889" s="309"/>
      <c r="X889" s="309"/>
    </row>
    <row r="890" hidden="1">
      <c r="A890" s="348"/>
      <c r="B890" s="488"/>
      <c r="C890" s="309"/>
      <c r="D890" s="309"/>
      <c r="E890" s="489"/>
      <c r="F890" s="309"/>
      <c r="G890" s="407"/>
      <c r="H890" s="490"/>
      <c r="I890" s="491"/>
      <c r="J890" s="492"/>
      <c r="K890" s="493"/>
      <c r="L890" s="494"/>
      <c r="M890" s="309"/>
      <c r="N890" s="309"/>
      <c r="O890" s="309"/>
      <c r="P890" s="309"/>
      <c r="Q890" s="309"/>
      <c r="R890" s="309"/>
      <c r="S890" s="309"/>
      <c r="T890" s="309"/>
      <c r="U890" s="309"/>
      <c r="V890" s="309"/>
      <c r="W890" s="309"/>
      <c r="X890" s="309"/>
    </row>
    <row r="891" hidden="1">
      <c r="A891" s="348"/>
      <c r="B891" s="488"/>
      <c r="C891" s="309"/>
      <c r="D891" s="309"/>
      <c r="E891" s="489"/>
      <c r="F891" s="309"/>
      <c r="G891" s="407"/>
      <c r="H891" s="490"/>
      <c r="I891" s="491"/>
      <c r="J891" s="492"/>
      <c r="K891" s="493"/>
      <c r="L891" s="494"/>
      <c r="M891" s="309"/>
      <c r="N891" s="309"/>
      <c r="O891" s="309"/>
      <c r="P891" s="309"/>
      <c r="Q891" s="309"/>
      <c r="R891" s="309"/>
      <c r="S891" s="309"/>
      <c r="T891" s="309"/>
      <c r="U891" s="309"/>
      <c r="V891" s="309"/>
      <c r="W891" s="309"/>
      <c r="X891" s="309"/>
    </row>
    <row r="892" hidden="1">
      <c r="A892" s="348"/>
      <c r="B892" s="488"/>
      <c r="C892" s="309"/>
      <c r="D892" s="309"/>
      <c r="E892" s="489"/>
      <c r="F892" s="309"/>
      <c r="G892" s="407"/>
      <c r="H892" s="490"/>
      <c r="I892" s="491"/>
      <c r="J892" s="492"/>
      <c r="K892" s="493"/>
      <c r="L892" s="494"/>
      <c r="M892" s="309"/>
      <c r="N892" s="309"/>
      <c r="O892" s="309"/>
      <c r="P892" s="309"/>
      <c r="Q892" s="309"/>
      <c r="R892" s="309"/>
      <c r="S892" s="309"/>
      <c r="T892" s="309"/>
      <c r="U892" s="309"/>
      <c r="V892" s="309"/>
      <c r="W892" s="309"/>
      <c r="X892" s="309"/>
    </row>
    <row r="893" hidden="1">
      <c r="A893" s="348"/>
      <c r="B893" s="488"/>
      <c r="C893" s="309"/>
      <c r="D893" s="309"/>
      <c r="E893" s="489"/>
      <c r="F893" s="309"/>
      <c r="G893" s="407"/>
      <c r="H893" s="490"/>
      <c r="I893" s="491"/>
      <c r="J893" s="492"/>
      <c r="K893" s="493"/>
      <c r="L893" s="494"/>
      <c r="M893" s="309"/>
      <c r="N893" s="309"/>
      <c r="O893" s="309"/>
      <c r="P893" s="309"/>
      <c r="Q893" s="309"/>
      <c r="R893" s="309"/>
      <c r="S893" s="309"/>
      <c r="T893" s="309"/>
      <c r="U893" s="309"/>
      <c r="V893" s="309"/>
      <c r="W893" s="309"/>
      <c r="X893" s="309"/>
    </row>
    <row r="894" hidden="1">
      <c r="A894" s="348"/>
      <c r="B894" s="488"/>
      <c r="C894" s="309"/>
      <c r="D894" s="309"/>
      <c r="E894" s="489"/>
      <c r="F894" s="309"/>
      <c r="G894" s="407"/>
      <c r="H894" s="490"/>
      <c r="I894" s="491"/>
      <c r="J894" s="492"/>
      <c r="K894" s="493"/>
      <c r="L894" s="494"/>
      <c r="M894" s="309"/>
      <c r="N894" s="309"/>
      <c r="O894" s="309"/>
      <c r="P894" s="309"/>
      <c r="Q894" s="309"/>
      <c r="R894" s="309"/>
      <c r="S894" s="309"/>
      <c r="T894" s="309"/>
      <c r="U894" s="309"/>
      <c r="V894" s="309"/>
      <c r="W894" s="309"/>
      <c r="X894" s="309"/>
    </row>
    <row r="895" hidden="1">
      <c r="A895" s="348"/>
      <c r="B895" s="488"/>
      <c r="C895" s="309"/>
      <c r="D895" s="309"/>
      <c r="E895" s="489"/>
      <c r="F895" s="309"/>
      <c r="G895" s="407"/>
      <c r="H895" s="490"/>
      <c r="I895" s="491"/>
      <c r="J895" s="492"/>
      <c r="K895" s="493"/>
      <c r="L895" s="494"/>
      <c r="M895" s="309"/>
      <c r="N895" s="309"/>
      <c r="O895" s="309"/>
      <c r="P895" s="309"/>
      <c r="Q895" s="309"/>
      <c r="R895" s="309"/>
      <c r="S895" s="309"/>
      <c r="T895" s="309"/>
      <c r="U895" s="309"/>
      <c r="V895" s="309"/>
      <c r="W895" s="309"/>
      <c r="X895" s="309"/>
    </row>
    <row r="896" hidden="1">
      <c r="A896" s="348"/>
      <c r="B896" s="488"/>
      <c r="C896" s="309"/>
      <c r="D896" s="309"/>
      <c r="E896" s="489"/>
      <c r="F896" s="309"/>
      <c r="G896" s="407"/>
      <c r="H896" s="490"/>
      <c r="I896" s="491"/>
      <c r="J896" s="492"/>
      <c r="K896" s="493"/>
      <c r="L896" s="494"/>
      <c r="M896" s="309"/>
      <c r="N896" s="309"/>
      <c r="O896" s="309"/>
      <c r="P896" s="309"/>
      <c r="Q896" s="309"/>
      <c r="R896" s="309"/>
      <c r="S896" s="309"/>
      <c r="T896" s="309"/>
      <c r="U896" s="309"/>
      <c r="V896" s="309"/>
      <c r="W896" s="309"/>
      <c r="X896" s="309"/>
    </row>
    <row r="897" hidden="1">
      <c r="A897" s="348"/>
      <c r="B897" s="488"/>
      <c r="C897" s="309"/>
      <c r="D897" s="309"/>
      <c r="E897" s="489"/>
      <c r="F897" s="309"/>
      <c r="G897" s="407"/>
      <c r="H897" s="490"/>
      <c r="I897" s="491"/>
      <c r="J897" s="492"/>
      <c r="K897" s="493"/>
      <c r="L897" s="494"/>
      <c r="M897" s="309"/>
      <c r="N897" s="309"/>
      <c r="O897" s="309"/>
      <c r="P897" s="309"/>
      <c r="Q897" s="309"/>
      <c r="R897" s="309"/>
      <c r="S897" s="309"/>
      <c r="T897" s="309"/>
      <c r="U897" s="309"/>
      <c r="V897" s="309"/>
      <c r="W897" s="309"/>
      <c r="X897" s="309"/>
    </row>
    <row r="898" hidden="1">
      <c r="A898" s="348"/>
      <c r="B898" s="488"/>
      <c r="C898" s="309"/>
      <c r="D898" s="309"/>
      <c r="E898" s="489"/>
      <c r="F898" s="309"/>
      <c r="G898" s="407"/>
      <c r="H898" s="490"/>
      <c r="I898" s="491"/>
      <c r="J898" s="492"/>
      <c r="K898" s="493"/>
      <c r="L898" s="494"/>
      <c r="M898" s="309"/>
      <c r="N898" s="309"/>
      <c r="O898" s="309"/>
      <c r="P898" s="309"/>
      <c r="Q898" s="309"/>
      <c r="R898" s="309"/>
      <c r="S898" s="309"/>
      <c r="T898" s="309"/>
      <c r="U898" s="309"/>
      <c r="V898" s="309"/>
      <c r="W898" s="309"/>
      <c r="X898" s="309"/>
    </row>
    <row r="899" hidden="1">
      <c r="A899" s="348"/>
      <c r="B899" s="488"/>
      <c r="C899" s="309"/>
      <c r="D899" s="309"/>
      <c r="E899" s="489"/>
      <c r="F899" s="309"/>
      <c r="G899" s="407"/>
      <c r="H899" s="490"/>
      <c r="I899" s="491"/>
      <c r="J899" s="492"/>
      <c r="K899" s="493"/>
      <c r="L899" s="494"/>
      <c r="M899" s="309"/>
      <c r="N899" s="309"/>
      <c r="O899" s="309"/>
      <c r="P899" s="309"/>
      <c r="Q899" s="309"/>
      <c r="R899" s="309"/>
      <c r="S899" s="309"/>
      <c r="T899" s="309"/>
      <c r="U899" s="309"/>
      <c r="V899" s="309"/>
      <c r="W899" s="309"/>
      <c r="X899" s="309"/>
    </row>
    <row r="900" hidden="1">
      <c r="A900" s="348"/>
      <c r="B900" s="488"/>
      <c r="C900" s="309"/>
      <c r="D900" s="309"/>
      <c r="E900" s="489"/>
      <c r="F900" s="309"/>
      <c r="G900" s="407"/>
      <c r="H900" s="490"/>
      <c r="I900" s="491"/>
      <c r="J900" s="492"/>
      <c r="K900" s="493"/>
      <c r="L900" s="494"/>
      <c r="M900" s="309"/>
      <c r="N900" s="309"/>
      <c r="O900" s="309"/>
      <c r="P900" s="309"/>
      <c r="Q900" s="309"/>
      <c r="R900" s="309"/>
      <c r="S900" s="309"/>
      <c r="T900" s="309"/>
      <c r="U900" s="309"/>
      <c r="V900" s="309"/>
      <c r="W900" s="309"/>
      <c r="X900" s="309"/>
    </row>
    <row r="901" hidden="1">
      <c r="A901" s="348"/>
      <c r="B901" s="488"/>
      <c r="C901" s="309"/>
      <c r="D901" s="309"/>
      <c r="E901" s="489"/>
      <c r="F901" s="309"/>
      <c r="G901" s="407"/>
      <c r="H901" s="490"/>
      <c r="I901" s="491"/>
      <c r="J901" s="492"/>
      <c r="K901" s="493"/>
      <c r="L901" s="494"/>
      <c r="M901" s="309"/>
      <c r="N901" s="309"/>
      <c r="O901" s="309"/>
      <c r="P901" s="309"/>
      <c r="Q901" s="309"/>
      <c r="R901" s="309"/>
      <c r="S901" s="309"/>
      <c r="T901" s="309"/>
      <c r="U901" s="309"/>
      <c r="V901" s="309"/>
      <c r="W901" s="309"/>
      <c r="X901" s="309"/>
    </row>
    <row r="902" hidden="1">
      <c r="A902" s="348"/>
      <c r="B902" s="488"/>
      <c r="C902" s="309"/>
      <c r="D902" s="309"/>
      <c r="E902" s="489"/>
      <c r="F902" s="309"/>
      <c r="G902" s="407"/>
      <c r="H902" s="490"/>
      <c r="I902" s="491"/>
      <c r="J902" s="492"/>
      <c r="K902" s="493"/>
      <c r="L902" s="494"/>
      <c r="M902" s="309"/>
      <c r="N902" s="309"/>
      <c r="O902" s="309"/>
      <c r="P902" s="309"/>
      <c r="Q902" s="309"/>
      <c r="R902" s="309"/>
      <c r="S902" s="309"/>
      <c r="T902" s="309"/>
      <c r="U902" s="309"/>
      <c r="V902" s="309"/>
      <c r="W902" s="309"/>
      <c r="X902" s="309"/>
    </row>
    <row r="903" hidden="1">
      <c r="A903" s="348"/>
      <c r="B903" s="488"/>
      <c r="C903" s="309"/>
      <c r="D903" s="309"/>
      <c r="E903" s="489"/>
      <c r="F903" s="309"/>
      <c r="G903" s="407"/>
      <c r="H903" s="490"/>
      <c r="I903" s="491"/>
      <c r="J903" s="492"/>
      <c r="K903" s="493"/>
      <c r="L903" s="494"/>
      <c r="M903" s="309"/>
      <c r="N903" s="309"/>
      <c r="O903" s="309"/>
      <c r="P903" s="309"/>
      <c r="Q903" s="309"/>
      <c r="R903" s="309"/>
      <c r="S903" s="309"/>
      <c r="T903" s="309"/>
      <c r="U903" s="309"/>
      <c r="V903" s="309"/>
      <c r="W903" s="309"/>
      <c r="X903" s="309"/>
    </row>
    <row r="904" hidden="1">
      <c r="A904" s="348"/>
      <c r="B904" s="488"/>
      <c r="C904" s="309"/>
      <c r="D904" s="309"/>
      <c r="E904" s="489"/>
      <c r="F904" s="309"/>
      <c r="G904" s="407"/>
      <c r="H904" s="490"/>
      <c r="I904" s="491"/>
      <c r="J904" s="492"/>
      <c r="K904" s="493"/>
      <c r="L904" s="494"/>
      <c r="M904" s="309"/>
      <c r="N904" s="309"/>
      <c r="O904" s="309"/>
      <c r="P904" s="309"/>
      <c r="Q904" s="309"/>
      <c r="R904" s="309"/>
      <c r="S904" s="309"/>
      <c r="T904" s="309"/>
      <c r="U904" s="309"/>
      <c r="V904" s="309"/>
      <c r="W904" s="309"/>
      <c r="X904" s="309"/>
    </row>
    <row r="905" hidden="1">
      <c r="A905" s="348"/>
      <c r="B905" s="488"/>
      <c r="C905" s="309"/>
      <c r="D905" s="309"/>
      <c r="E905" s="489"/>
      <c r="F905" s="309"/>
      <c r="G905" s="407"/>
      <c r="H905" s="490"/>
      <c r="I905" s="491"/>
      <c r="J905" s="492"/>
      <c r="K905" s="493"/>
      <c r="L905" s="494"/>
      <c r="M905" s="309"/>
      <c r="N905" s="309"/>
      <c r="O905" s="309"/>
      <c r="P905" s="309"/>
      <c r="Q905" s="309"/>
      <c r="R905" s="309"/>
      <c r="S905" s="309"/>
      <c r="T905" s="309"/>
      <c r="U905" s="309"/>
      <c r="V905" s="309"/>
      <c r="W905" s="309"/>
      <c r="X905" s="309"/>
    </row>
    <row r="906" hidden="1">
      <c r="A906" s="348"/>
      <c r="B906" s="488"/>
      <c r="C906" s="309"/>
      <c r="D906" s="309"/>
      <c r="E906" s="489"/>
      <c r="F906" s="309"/>
      <c r="G906" s="407"/>
      <c r="H906" s="490"/>
      <c r="I906" s="491"/>
      <c r="J906" s="492"/>
      <c r="K906" s="493"/>
      <c r="L906" s="494"/>
      <c r="M906" s="309"/>
      <c r="N906" s="309"/>
      <c r="O906" s="309"/>
      <c r="P906" s="309"/>
      <c r="Q906" s="309"/>
      <c r="R906" s="309"/>
      <c r="S906" s="309"/>
      <c r="T906" s="309"/>
      <c r="U906" s="309"/>
      <c r="V906" s="309"/>
      <c r="W906" s="309"/>
      <c r="X906" s="309"/>
    </row>
    <row r="907" hidden="1">
      <c r="A907" s="348"/>
      <c r="B907" s="488"/>
      <c r="C907" s="309"/>
      <c r="D907" s="309"/>
      <c r="E907" s="489"/>
      <c r="F907" s="309"/>
      <c r="G907" s="407"/>
      <c r="H907" s="490"/>
      <c r="I907" s="491"/>
      <c r="J907" s="492"/>
      <c r="K907" s="493"/>
      <c r="L907" s="494"/>
      <c r="M907" s="309"/>
      <c r="N907" s="309"/>
      <c r="O907" s="309"/>
      <c r="P907" s="309"/>
      <c r="Q907" s="309"/>
      <c r="R907" s="309"/>
      <c r="S907" s="309"/>
      <c r="T907" s="309"/>
      <c r="U907" s="309"/>
      <c r="V907" s="309"/>
      <c r="W907" s="309"/>
      <c r="X907" s="309"/>
    </row>
    <row r="908" hidden="1">
      <c r="A908" s="348"/>
      <c r="B908" s="488"/>
      <c r="C908" s="309"/>
      <c r="D908" s="309"/>
      <c r="E908" s="489"/>
      <c r="F908" s="309"/>
      <c r="G908" s="407"/>
      <c r="H908" s="490"/>
      <c r="I908" s="491"/>
      <c r="J908" s="492"/>
      <c r="K908" s="493"/>
      <c r="L908" s="494"/>
      <c r="M908" s="309"/>
      <c r="N908" s="309"/>
      <c r="O908" s="309"/>
      <c r="P908" s="309"/>
      <c r="Q908" s="309"/>
      <c r="R908" s="309"/>
      <c r="S908" s="309"/>
      <c r="T908" s="309"/>
      <c r="U908" s="309"/>
      <c r="V908" s="309"/>
      <c r="W908" s="309"/>
      <c r="X908" s="309"/>
    </row>
    <row r="909" hidden="1">
      <c r="A909" s="348"/>
      <c r="B909" s="488"/>
      <c r="C909" s="309"/>
      <c r="D909" s="309"/>
      <c r="E909" s="489"/>
      <c r="F909" s="309"/>
      <c r="G909" s="407"/>
      <c r="H909" s="490"/>
      <c r="I909" s="491"/>
      <c r="J909" s="492"/>
      <c r="K909" s="493"/>
      <c r="L909" s="494"/>
      <c r="M909" s="309"/>
      <c r="N909" s="309"/>
      <c r="O909" s="309"/>
      <c r="P909" s="309"/>
      <c r="Q909" s="309"/>
      <c r="R909" s="309"/>
      <c r="S909" s="309"/>
      <c r="T909" s="309"/>
      <c r="U909" s="309"/>
      <c r="V909" s="309"/>
      <c r="W909" s="309"/>
      <c r="X909" s="309"/>
    </row>
    <row r="910" hidden="1">
      <c r="A910" s="348"/>
      <c r="B910" s="488"/>
      <c r="C910" s="309"/>
      <c r="D910" s="309"/>
      <c r="E910" s="489"/>
      <c r="F910" s="309"/>
      <c r="G910" s="407"/>
      <c r="H910" s="490"/>
      <c r="I910" s="491"/>
      <c r="J910" s="492"/>
      <c r="K910" s="493"/>
      <c r="L910" s="494"/>
      <c r="M910" s="309"/>
      <c r="N910" s="309"/>
      <c r="O910" s="309"/>
      <c r="P910" s="309"/>
      <c r="Q910" s="309"/>
      <c r="R910" s="309"/>
      <c r="S910" s="309"/>
      <c r="T910" s="309"/>
      <c r="U910" s="309"/>
      <c r="V910" s="309"/>
      <c r="W910" s="309"/>
      <c r="X910" s="309"/>
    </row>
    <row r="911" hidden="1">
      <c r="A911" s="348"/>
      <c r="B911" s="488"/>
      <c r="C911" s="309"/>
      <c r="D911" s="309"/>
      <c r="E911" s="489"/>
      <c r="F911" s="309"/>
      <c r="G911" s="407"/>
      <c r="H911" s="490"/>
      <c r="I911" s="491"/>
      <c r="J911" s="492"/>
      <c r="K911" s="493"/>
      <c r="L911" s="494"/>
      <c r="M911" s="309"/>
      <c r="N911" s="309"/>
      <c r="O911" s="309"/>
      <c r="P911" s="309"/>
      <c r="Q911" s="309"/>
      <c r="R911" s="309"/>
      <c r="S911" s="309"/>
      <c r="T911" s="309"/>
      <c r="U911" s="309"/>
      <c r="V911" s="309"/>
      <c r="W911" s="309"/>
      <c r="X911" s="309"/>
    </row>
    <row r="912" hidden="1">
      <c r="A912" s="348"/>
      <c r="B912" s="488"/>
      <c r="C912" s="309"/>
      <c r="D912" s="309"/>
      <c r="E912" s="489"/>
      <c r="F912" s="309"/>
      <c r="G912" s="407"/>
      <c r="H912" s="490"/>
      <c r="I912" s="491"/>
      <c r="J912" s="492"/>
      <c r="K912" s="493"/>
      <c r="L912" s="494"/>
      <c r="M912" s="309"/>
      <c r="N912" s="309"/>
      <c r="O912" s="309"/>
      <c r="P912" s="309"/>
      <c r="Q912" s="309"/>
      <c r="R912" s="309"/>
      <c r="S912" s="309"/>
      <c r="T912" s="309"/>
      <c r="U912" s="309"/>
      <c r="V912" s="309"/>
      <c r="W912" s="309"/>
      <c r="X912" s="309"/>
    </row>
    <row r="913" hidden="1">
      <c r="A913" s="348"/>
      <c r="B913" s="488"/>
      <c r="C913" s="309"/>
      <c r="D913" s="309"/>
      <c r="E913" s="489"/>
      <c r="F913" s="309"/>
      <c r="G913" s="407"/>
      <c r="H913" s="490"/>
      <c r="I913" s="491"/>
      <c r="J913" s="492"/>
      <c r="K913" s="493"/>
      <c r="L913" s="494"/>
      <c r="M913" s="309"/>
      <c r="N913" s="309"/>
      <c r="O913" s="309"/>
      <c r="P913" s="309"/>
      <c r="Q913" s="309"/>
      <c r="R913" s="309"/>
      <c r="S913" s="309"/>
      <c r="T913" s="309"/>
      <c r="U913" s="309"/>
      <c r="V913" s="309"/>
      <c r="W913" s="309"/>
      <c r="X913" s="309"/>
    </row>
    <row r="914" hidden="1">
      <c r="A914" s="348"/>
      <c r="B914" s="488"/>
      <c r="C914" s="309"/>
      <c r="D914" s="309"/>
      <c r="E914" s="489"/>
      <c r="F914" s="309"/>
      <c r="G914" s="407"/>
      <c r="H914" s="490"/>
      <c r="I914" s="491"/>
      <c r="J914" s="492"/>
      <c r="K914" s="493"/>
      <c r="L914" s="494"/>
      <c r="M914" s="309"/>
      <c r="N914" s="309"/>
      <c r="O914" s="309"/>
      <c r="P914" s="309"/>
      <c r="Q914" s="309"/>
      <c r="R914" s="309"/>
      <c r="S914" s="309"/>
      <c r="T914" s="309"/>
      <c r="U914" s="309"/>
      <c r="V914" s="309"/>
      <c r="W914" s="309"/>
      <c r="X914" s="309"/>
    </row>
    <row r="915" hidden="1">
      <c r="A915" s="348"/>
      <c r="B915" s="488"/>
      <c r="C915" s="309"/>
      <c r="D915" s="309"/>
      <c r="E915" s="489"/>
      <c r="F915" s="309"/>
      <c r="G915" s="407"/>
      <c r="H915" s="490"/>
      <c r="I915" s="491"/>
      <c r="J915" s="492"/>
      <c r="K915" s="493"/>
      <c r="L915" s="494"/>
      <c r="M915" s="309"/>
      <c r="N915" s="309"/>
      <c r="O915" s="309"/>
      <c r="P915" s="309"/>
      <c r="Q915" s="309"/>
      <c r="R915" s="309"/>
      <c r="S915" s="309"/>
      <c r="T915" s="309"/>
      <c r="U915" s="309"/>
      <c r="V915" s="309"/>
      <c r="W915" s="309"/>
      <c r="X915" s="309"/>
    </row>
    <row r="916" hidden="1">
      <c r="A916" s="348"/>
      <c r="B916" s="488"/>
      <c r="C916" s="309"/>
      <c r="D916" s="309"/>
      <c r="E916" s="489"/>
      <c r="F916" s="309"/>
      <c r="G916" s="407"/>
      <c r="H916" s="490"/>
      <c r="I916" s="491"/>
      <c r="J916" s="492"/>
      <c r="K916" s="493"/>
      <c r="L916" s="494"/>
      <c r="M916" s="309"/>
      <c r="N916" s="309"/>
      <c r="O916" s="309"/>
      <c r="P916" s="309"/>
      <c r="Q916" s="309"/>
      <c r="R916" s="309"/>
      <c r="S916" s="309"/>
      <c r="T916" s="309"/>
      <c r="U916" s="309"/>
      <c r="V916" s="309"/>
      <c r="W916" s="309"/>
      <c r="X916" s="309"/>
    </row>
    <row r="917" hidden="1">
      <c r="A917" s="348"/>
      <c r="B917" s="488"/>
      <c r="C917" s="309"/>
      <c r="D917" s="309"/>
      <c r="E917" s="489"/>
      <c r="F917" s="309"/>
      <c r="G917" s="407"/>
      <c r="H917" s="490"/>
      <c r="I917" s="491"/>
      <c r="J917" s="492"/>
      <c r="K917" s="493"/>
      <c r="L917" s="494"/>
      <c r="M917" s="309"/>
      <c r="N917" s="309"/>
      <c r="O917" s="309"/>
      <c r="P917" s="309"/>
      <c r="Q917" s="309"/>
      <c r="R917" s="309"/>
      <c r="S917" s="309"/>
      <c r="T917" s="309"/>
      <c r="U917" s="309"/>
      <c r="V917" s="309"/>
      <c r="W917" s="309"/>
      <c r="X917" s="309"/>
    </row>
    <row r="918" hidden="1">
      <c r="A918" s="348"/>
      <c r="B918" s="488"/>
      <c r="C918" s="309"/>
      <c r="D918" s="309"/>
      <c r="E918" s="489"/>
      <c r="F918" s="309"/>
      <c r="G918" s="407"/>
      <c r="H918" s="490"/>
      <c r="I918" s="491"/>
      <c r="J918" s="492"/>
      <c r="K918" s="493"/>
      <c r="L918" s="494"/>
      <c r="M918" s="309"/>
      <c r="N918" s="309"/>
      <c r="O918" s="309"/>
      <c r="P918" s="309"/>
      <c r="Q918" s="309"/>
      <c r="R918" s="309"/>
      <c r="S918" s="309"/>
      <c r="T918" s="309"/>
      <c r="U918" s="309"/>
      <c r="V918" s="309"/>
      <c r="W918" s="309"/>
      <c r="X918" s="309"/>
    </row>
    <row r="919" hidden="1">
      <c r="A919" s="348"/>
      <c r="B919" s="488"/>
      <c r="C919" s="309"/>
      <c r="D919" s="309"/>
      <c r="E919" s="489"/>
      <c r="F919" s="309"/>
      <c r="G919" s="407"/>
      <c r="H919" s="490"/>
      <c r="I919" s="491"/>
      <c r="J919" s="492"/>
      <c r="K919" s="493"/>
      <c r="L919" s="494"/>
      <c r="M919" s="309"/>
      <c r="N919" s="309"/>
      <c r="O919" s="309"/>
      <c r="P919" s="309"/>
      <c r="Q919" s="309"/>
      <c r="R919" s="309"/>
      <c r="S919" s="309"/>
      <c r="T919" s="309"/>
      <c r="U919" s="309"/>
      <c r="V919" s="309"/>
      <c r="W919" s="309"/>
      <c r="X919" s="309"/>
    </row>
    <row r="920" hidden="1">
      <c r="A920" s="348"/>
      <c r="B920" s="488"/>
      <c r="C920" s="309"/>
      <c r="D920" s="309"/>
      <c r="E920" s="489"/>
      <c r="F920" s="309"/>
      <c r="G920" s="407"/>
      <c r="H920" s="490"/>
      <c r="I920" s="491"/>
      <c r="J920" s="492"/>
      <c r="K920" s="493"/>
      <c r="L920" s="494"/>
      <c r="M920" s="309"/>
      <c r="N920" s="309"/>
      <c r="O920" s="309"/>
      <c r="P920" s="309"/>
      <c r="Q920" s="309"/>
      <c r="R920" s="309"/>
      <c r="S920" s="309"/>
      <c r="T920" s="309"/>
      <c r="U920" s="309"/>
      <c r="V920" s="309"/>
      <c r="W920" s="309"/>
      <c r="X920" s="309"/>
    </row>
    <row r="921" hidden="1">
      <c r="A921" s="348"/>
      <c r="B921" s="488"/>
      <c r="C921" s="309"/>
      <c r="D921" s="309"/>
      <c r="E921" s="489"/>
      <c r="F921" s="309"/>
      <c r="G921" s="407"/>
      <c r="H921" s="490"/>
      <c r="I921" s="491"/>
      <c r="J921" s="492"/>
      <c r="K921" s="493"/>
      <c r="L921" s="494"/>
      <c r="M921" s="309"/>
      <c r="N921" s="309"/>
      <c r="O921" s="309"/>
      <c r="P921" s="309"/>
      <c r="Q921" s="309"/>
      <c r="R921" s="309"/>
      <c r="S921" s="309"/>
      <c r="T921" s="309"/>
      <c r="U921" s="309"/>
      <c r="V921" s="309"/>
      <c r="W921" s="309"/>
      <c r="X921" s="309"/>
    </row>
    <row r="922" hidden="1">
      <c r="A922" s="348"/>
      <c r="B922" s="488"/>
      <c r="C922" s="309"/>
      <c r="D922" s="309"/>
      <c r="E922" s="489"/>
      <c r="F922" s="309"/>
      <c r="G922" s="407"/>
      <c r="H922" s="490"/>
      <c r="I922" s="491"/>
      <c r="J922" s="492"/>
      <c r="K922" s="493"/>
      <c r="L922" s="494"/>
      <c r="M922" s="309"/>
      <c r="N922" s="309"/>
      <c r="O922" s="309"/>
      <c r="P922" s="309"/>
      <c r="Q922" s="309"/>
      <c r="R922" s="309"/>
      <c r="S922" s="309"/>
      <c r="T922" s="309"/>
      <c r="U922" s="309"/>
      <c r="V922" s="309"/>
      <c r="W922" s="309"/>
      <c r="X922" s="309"/>
    </row>
    <row r="923" hidden="1">
      <c r="A923" s="348"/>
      <c r="B923" s="488"/>
      <c r="C923" s="309"/>
      <c r="D923" s="309"/>
      <c r="E923" s="489"/>
      <c r="F923" s="309"/>
      <c r="G923" s="407"/>
      <c r="H923" s="490"/>
      <c r="I923" s="491"/>
      <c r="J923" s="492"/>
      <c r="K923" s="493"/>
      <c r="L923" s="494"/>
      <c r="M923" s="309"/>
      <c r="N923" s="309"/>
      <c r="O923" s="309"/>
      <c r="P923" s="309"/>
      <c r="Q923" s="309"/>
      <c r="R923" s="309"/>
      <c r="S923" s="309"/>
      <c r="T923" s="309"/>
      <c r="U923" s="309"/>
      <c r="V923" s="309"/>
      <c r="W923" s="309"/>
      <c r="X923" s="309"/>
    </row>
    <row r="924" hidden="1">
      <c r="A924" s="348"/>
      <c r="B924" s="488"/>
      <c r="C924" s="309"/>
      <c r="D924" s="309"/>
      <c r="E924" s="489"/>
      <c r="F924" s="309"/>
      <c r="G924" s="407"/>
      <c r="H924" s="490"/>
      <c r="I924" s="491"/>
      <c r="J924" s="492"/>
      <c r="K924" s="493"/>
      <c r="L924" s="494"/>
      <c r="M924" s="309"/>
      <c r="N924" s="309"/>
      <c r="O924" s="309"/>
      <c r="P924" s="309"/>
      <c r="Q924" s="309"/>
      <c r="R924" s="309"/>
      <c r="S924" s="309"/>
      <c r="T924" s="309"/>
      <c r="U924" s="309"/>
      <c r="V924" s="309"/>
      <c r="W924" s="309"/>
      <c r="X924" s="309"/>
    </row>
    <row r="925" hidden="1">
      <c r="A925" s="348"/>
      <c r="B925" s="488"/>
      <c r="C925" s="309"/>
      <c r="D925" s="309"/>
      <c r="E925" s="489"/>
      <c r="F925" s="309"/>
      <c r="G925" s="407"/>
      <c r="H925" s="490"/>
      <c r="I925" s="491"/>
      <c r="J925" s="492"/>
      <c r="K925" s="493"/>
      <c r="L925" s="494"/>
      <c r="M925" s="309"/>
      <c r="N925" s="309"/>
      <c r="O925" s="309"/>
      <c r="P925" s="309"/>
      <c r="Q925" s="309"/>
      <c r="R925" s="309"/>
      <c r="S925" s="309"/>
      <c r="T925" s="309"/>
      <c r="U925" s="309"/>
      <c r="V925" s="309"/>
      <c r="W925" s="309"/>
      <c r="X925" s="309"/>
    </row>
    <row r="926" hidden="1">
      <c r="A926" s="348"/>
      <c r="B926" s="488"/>
      <c r="C926" s="309"/>
      <c r="D926" s="309"/>
      <c r="E926" s="489"/>
      <c r="F926" s="309"/>
      <c r="G926" s="407"/>
      <c r="H926" s="490"/>
      <c r="I926" s="491"/>
      <c r="J926" s="492"/>
      <c r="K926" s="493"/>
      <c r="L926" s="494"/>
      <c r="M926" s="309"/>
      <c r="N926" s="309"/>
      <c r="O926" s="309"/>
      <c r="P926" s="309"/>
      <c r="Q926" s="309"/>
      <c r="R926" s="309"/>
      <c r="S926" s="309"/>
      <c r="T926" s="309"/>
      <c r="U926" s="309"/>
      <c r="V926" s="309"/>
      <c r="W926" s="309"/>
      <c r="X926" s="309"/>
    </row>
    <row r="927" hidden="1">
      <c r="A927" s="348"/>
      <c r="B927" s="488"/>
      <c r="C927" s="309"/>
      <c r="D927" s="309"/>
      <c r="E927" s="489"/>
      <c r="F927" s="309"/>
      <c r="G927" s="407"/>
      <c r="H927" s="490"/>
      <c r="I927" s="491"/>
      <c r="J927" s="492"/>
      <c r="K927" s="493"/>
      <c r="L927" s="494"/>
      <c r="M927" s="309"/>
      <c r="N927" s="309"/>
      <c r="O927" s="309"/>
      <c r="P927" s="309"/>
      <c r="Q927" s="309"/>
      <c r="R927" s="309"/>
      <c r="S927" s="309"/>
      <c r="T927" s="309"/>
      <c r="U927" s="309"/>
      <c r="V927" s="309"/>
      <c r="W927" s="309"/>
      <c r="X927" s="309"/>
    </row>
    <row r="928" hidden="1">
      <c r="A928" s="348"/>
      <c r="B928" s="488"/>
      <c r="C928" s="309"/>
      <c r="D928" s="309"/>
      <c r="E928" s="489"/>
      <c r="F928" s="309"/>
      <c r="G928" s="407"/>
      <c r="H928" s="490"/>
      <c r="I928" s="491"/>
      <c r="J928" s="492"/>
      <c r="K928" s="493"/>
      <c r="L928" s="494"/>
      <c r="M928" s="309"/>
      <c r="N928" s="309"/>
      <c r="O928" s="309"/>
      <c r="P928" s="309"/>
      <c r="Q928" s="309"/>
      <c r="R928" s="309"/>
      <c r="S928" s="309"/>
      <c r="T928" s="309"/>
      <c r="U928" s="309"/>
      <c r="V928" s="309"/>
      <c r="W928" s="309"/>
      <c r="X928" s="309"/>
    </row>
    <row r="929" hidden="1">
      <c r="A929" s="348"/>
      <c r="B929" s="488"/>
      <c r="C929" s="309"/>
      <c r="D929" s="309"/>
      <c r="E929" s="489"/>
      <c r="F929" s="309"/>
      <c r="G929" s="407"/>
      <c r="H929" s="490"/>
      <c r="I929" s="491"/>
      <c r="J929" s="492"/>
      <c r="K929" s="493"/>
      <c r="L929" s="494"/>
      <c r="M929" s="309"/>
      <c r="N929" s="309"/>
      <c r="O929" s="309"/>
      <c r="P929" s="309"/>
      <c r="Q929" s="309"/>
      <c r="R929" s="309"/>
      <c r="S929" s="309"/>
      <c r="T929" s="309"/>
      <c r="U929" s="309"/>
      <c r="V929" s="309"/>
      <c r="W929" s="309"/>
      <c r="X929" s="309"/>
    </row>
    <row r="930" hidden="1">
      <c r="A930" s="348"/>
      <c r="B930" s="488"/>
      <c r="C930" s="309"/>
      <c r="D930" s="309"/>
      <c r="E930" s="489"/>
      <c r="F930" s="309"/>
      <c r="G930" s="407"/>
      <c r="H930" s="490"/>
      <c r="I930" s="491"/>
      <c r="J930" s="492"/>
      <c r="K930" s="493"/>
      <c r="L930" s="494"/>
      <c r="M930" s="309"/>
      <c r="N930" s="309"/>
      <c r="O930" s="309"/>
      <c r="P930" s="309"/>
      <c r="Q930" s="309"/>
      <c r="R930" s="309"/>
      <c r="S930" s="309"/>
      <c r="T930" s="309"/>
      <c r="U930" s="309"/>
      <c r="V930" s="309"/>
      <c r="W930" s="309"/>
      <c r="X930" s="309"/>
    </row>
    <row r="931" hidden="1">
      <c r="A931" s="348"/>
      <c r="B931" s="488"/>
      <c r="C931" s="309"/>
      <c r="D931" s="309"/>
      <c r="E931" s="489"/>
      <c r="F931" s="309"/>
      <c r="G931" s="407"/>
      <c r="H931" s="490"/>
      <c r="I931" s="491"/>
      <c r="J931" s="492"/>
      <c r="K931" s="493"/>
      <c r="L931" s="494"/>
      <c r="M931" s="309"/>
      <c r="N931" s="309"/>
      <c r="O931" s="309"/>
      <c r="P931" s="309"/>
      <c r="Q931" s="309"/>
      <c r="R931" s="309"/>
      <c r="S931" s="309"/>
      <c r="T931" s="309"/>
      <c r="U931" s="309"/>
      <c r="V931" s="309"/>
      <c r="W931" s="309"/>
      <c r="X931" s="309"/>
    </row>
    <row r="932" hidden="1">
      <c r="A932" s="348"/>
      <c r="B932" s="488"/>
      <c r="C932" s="309"/>
      <c r="D932" s="309"/>
      <c r="E932" s="489"/>
      <c r="F932" s="309"/>
      <c r="G932" s="407"/>
      <c r="H932" s="490"/>
      <c r="I932" s="491"/>
      <c r="J932" s="492"/>
      <c r="K932" s="493"/>
      <c r="L932" s="494"/>
      <c r="M932" s="309"/>
      <c r="N932" s="309"/>
      <c r="O932" s="309"/>
      <c r="P932" s="309"/>
      <c r="Q932" s="309"/>
      <c r="R932" s="309"/>
      <c r="S932" s="309"/>
      <c r="T932" s="309"/>
      <c r="U932" s="309"/>
      <c r="V932" s="309"/>
      <c r="W932" s="309"/>
      <c r="X932" s="309"/>
    </row>
    <row r="933" hidden="1">
      <c r="A933" s="348"/>
      <c r="B933" s="488"/>
      <c r="C933" s="309"/>
      <c r="D933" s="309"/>
      <c r="E933" s="489"/>
      <c r="F933" s="309"/>
      <c r="G933" s="407"/>
      <c r="H933" s="490"/>
      <c r="I933" s="491"/>
      <c r="J933" s="492"/>
      <c r="K933" s="493"/>
      <c r="L933" s="494"/>
      <c r="M933" s="309"/>
      <c r="N933" s="309"/>
      <c r="O933" s="309"/>
      <c r="P933" s="309"/>
      <c r="Q933" s="309"/>
      <c r="R933" s="309"/>
      <c r="S933" s="309"/>
      <c r="T933" s="309"/>
      <c r="U933" s="309"/>
      <c r="V933" s="309"/>
      <c r="W933" s="309"/>
      <c r="X933" s="309"/>
    </row>
    <row r="934" hidden="1">
      <c r="A934" s="348"/>
      <c r="B934" s="488"/>
      <c r="C934" s="309"/>
      <c r="D934" s="309"/>
      <c r="E934" s="489"/>
      <c r="F934" s="309"/>
      <c r="G934" s="407"/>
      <c r="H934" s="490"/>
      <c r="I934" s="491"/>
      <c r="J934" s="492"/>
      <c r="K934" s="493"/>
      <c r="L934" s="494"/>
      <c r="M934" s="309"/>
      <c r="N934" s="309"/>
      <c r="O934" s="309"/>
      <c r="P934" s="309"/>
      <c r="Q934" s="309"/>
      <c r="R934" s="309"/>
      <c r="S934" s="309"/>
      <c r="T934" s="309"/>
      <c r="U934" s="309"/>
      <c r="V934" s="309"/>
      <c r="W934" s="309"/>
      <c r="X934" s="309"/>
    </row>
    <row r="935" hidden="1">
      <c r="A935" s="348"/>
      <c r="B935" s="488"/>
      <c r="C935" s="309"/>
      <c r="D935" s="309"/>
      <c r="E935" s="489"/>
      <c r="F935" s="309"/>
      <c r="G935" s="407"/>
      <c r="H935" s="490"/>
      <c r="I935" s="491"/>
      <c r="J935" s="492"/>
      <c r="K935" s="493"/>
      <c r="L935" s="494"/>
      <c r="M935" s="309"/>
      <c r="N935" s="309"/>
      <c r="O935" s="309"/>
      <c r="P935" s="309"/>
      <c r="Q935" s="309"/>
      <c r="R935" s="309"/>
      <c r="S935" s="309"/>
      <c r="T935" s="309"/>
      <c r="U935" s="309"/>
      <c r="V935" s="309"/>
      <c r="W935" s="309"/>
      <c r="X935" s="309"/>
    </row>
    <row r="936" hidden="1">
      <c r="A936" s="348"/>
      <c r="B936" s="488"/>
      <c r="C936" s="309"/>
      <c r="D936" s="309"/>
      <c r="E936" s="489"/>
      <c r="F936" s="309"/>
      <c r="G936" s="407"/>
      <c r="H936" s="490"/>
      <c r="I936" s="491"/>
      <c r="J936" s="492"/>
      <c r="K936" s="493"/>
      <c r="L936" s="494"/>
      <c r="M936" s="309"/>
      <c r="N936" s="309"/>
      <c r="O936" s="309"/>
      <c r="P936" s="309"/>
      <c r="Q936" s="309"/>
      <c r="R936" s="309"/>
      <c r="S936" s="309"/>
      <c r="T936" s="309"/>
      <c r="U936" s="309"/>
      <c r="V936" s="309"/>
      <c r="W936" s="309"/>
      <c r="X936" s="309"/>
    </row>
    <row r="937" hidden="1">
      <c r="A937" s="348"/>
      <c r="B937" s="488"/>
      <c r="C937" s="309"/>
      <c r="D937" s="309"/>
      <c r="E937" s="489"/>
      <c r="F937" s="309"/>
      <c r="G937" s="407"/>
      <c r="H937" s="490"/>
      <c r="I937" s="491"/>
      <c r="J937" s="492"/>
      <c r="K937" s="493"/>
      <c r="L937" s="494"/>
      <c r="M937" s="309"/>
      <c r="N937" s="309"/>
      <c r="O937" s="309"/>
      <c r="P937" s="309"/>
      <c r="Q937" s="309"/>
      <c r="R937" s="309"/>
      <c r="S937" s="309"/>
      <c r="T937" s="309"/>
      <c r="U937" s="309"/>
      <c r="V937" s="309"/>
      <c r="W937" s="309"/>
      <c r="X937" s="309"/>
    </row>
    <row r="938" hidden="1">
      <c r="A938" s="348"/>
      <c r="B938" s="488"/>
      <c r="C938" s="309"/>
      <c r="D938" s="309"/>
      <c r="E938" s="489"/>
      <c r="F938" s="309"/>
      <c r="G938" s="407"/>
      <c r="H938" s="490"/>
      <c r="I938" s="491"/>
      <c r="J938" s="492"/>
      <c r="K938" s="493"/>
      <c r="L938" s="494"/>
      <c r="M938" s="309"/>
      <c r="N938" s="309"/>
      <c r="O938" s="309"/>
      <c r="P938" s="309"/>
      <c r="Q938" s="309"/>
      <c r="R938" s="309"/>
      <c r="S938" s="309"/>
      <c r="T938" s="309"/>
      <c r="U938" s="309"/>
      <c r="V938" s="309"/>
      <c r="W938" s="309"/>
      <c r="X938" s="309"/>
    </row>
    <row r="939" hidden="1">
      <c r="A939" s="348"/>
      <c r="B939" s="488"/>
      <c r="C939" s="309"/>
      <c r="D939" s="309"/>
      <c r="E939" s="489"/>
      <c r="F939" s="309"/>
      <c r="G939" s="407"/>
      <c r="H939" s="490"/>
      <c r="I939" s="491"/>
      <c r="J939" s="492"/>
      <c r="K939" s="493"/>
      <c r="L939" s="494"/>
      <c r="M939" s="309"/>
      <c r="N939" s="309"/>
      <c r="O939" s="309"/>
      <c r="P939" s="309"/>
      <c r="Q939" s="309"/>
      <c r="R939" s="309"/>
      <c r="S939" s="309"/>
      <c r="T939" s="309"/>
      <c r="U939" s="309"/>
      <c r="V939" s="309"/>
      <c r="W939" s="309"/>
      <c r="X939" s="309"/>
    </row>
    <row r="940" hidden="1">
      <c r="A940" s="348"/>
      <c r="B940" s="488"/>
      <c r="C940" s="309"/>
      <c r="D940" s="309"/>
      <c r="E940" s="489"/>
      <c r="F940" s="309"/>
      <c r="G940" s="407"/>
      <c r="H940" s="490"/>
      <c r="I940" s="491"/>
      <c r="J940" s="492"/>
      <c r="K940" s="493"/>
      <c r="L940" s="494"/>
      <c r="M940" s="309"/>
      <c r="N940" s="309"/>
      <c r="O940" s="309"/>
      <c r="P940" s="309"/>
      <c r="Q940" s="309"/>
      <c r="R940" s="309"/>
      <c r="S940" s="309"/>
      <c r="T940" s="309"/>
      <c r="U940" s="309"/>
      <c r="V940" s="309"/>
      <c r="W940" s="309"/>
      <c r="X940" s="309"/>
    </row>
    <row r="941" hidden="1">
      <c r="A941" s="348"/>
      <c r="B941" s="488"/>
      <c r="C941" s="309"/>
      <c r="D941" s="309"/>
      <c r="E941" s="489"/>
      <c r="F941" s="309"/>
      <c r="G941" s="407"/>
      <c r="H941" s="490"/>
      <c r="I941" s="491"/>
      <c r="J941" s="492"/>
      <c r="K941" s="493"/>
      <c r="L941" s="494"/>
      <c r="M941" s="309"/>
      <c r="N941" s="309"/>
      <c r="O941" s="309"/>
      <c r="P941" s="309"/>
      <c r="Q941" s="309"/>
      <c r="R941" s="309"/>
      <c r="S941" s="309"/>
      <c r="T941" s="309"/>
      <c r="U941" s="309"/>
      <c r="V941" s="309"/>
      <c r="W941" s="309"/>
      <c r="X941" s="309"/>
    </row>
    <row r="942" hidden="1">
      <c r="A942" s="348"/>
      <c r="B942" s="488"/>
      <c r="C942" s="309"/>
      <c r="D942" s="309"/>
      <c r="E942" s="489"/>
      <c r="F942" s="309"/>
      <c r="G942" s="407"/>
      <c r="H942" s="490"/>
      <c r="I942" s="491"/>
      <c r="J942" s="492"/>
      <c r="K942" s="493"/>
      <c r="L942" s="494"/>
      <c r="M942" s="309"/>
      <c r="N942" s="309"/>
      <c r="O942" s="309"/>
      <c r="P942" s="309"/>
      <c r="Q942" s="309"/>
      <c r="R942" s="309"/>
      <c r="S942" s="309"/>
      <c r="T942" s="309"/>
      <c r="U942" s="309"/>
      <c r="V942" s="309"/>
      <c r="W942" s="309"/>
      <c r="X942" s="309"/>
    </row>
    <row r="943" hidden="1">
      <c r="A943" s="348"/>
      <c r="B943" s="488"/>
      <c r="C943" s="309"/>
      <c r="D943" s="309"/>
      <c r="E943" s="489"/>
      <c r="F943" s="309"/>
      <c r="G943" s="407"/>
      <c r="H943" s="490"/>
      <c r="I943" s="491"/>
      <c r="J943" s="492"/>
      <c r="K943" s="493"/>
      <c r="L943" s="494"/>
      <c r="M943" s="309"/>
      <c r="N943" s="309"/>
      <c r="O943" s="309"/>
      <c r="P943" s="309"/>
      <c r="Q943" s="309"/>
      <c r="R943" s="309"/>
      <c r="S943" s="309"/>
      <c r="T943" s="309"/>
      <c r="U943" s="309"/>
      <c r="V943" s="309"/>
      <c r="W943" s="309"/>
      <c r="X943" s="309"/>
    </row>
    <row r="944" hidden="1">
      <c r="A944" s="348"/>
      <c r="B944" s="488"/>
      <c r="C944" s="309"/>
      <c r="D944" s="309"/>
      <c r="E944" s="489"/>
      <c r="F944" s="309"/>
      <c r="G944" s="407"/>
      <c r="H944" s="490"/>
      <c r="I944" s="491"/>
      <c r="J944" s="492"/>
      <c r="K944" s="493"/>
      <c r="L944" s="494"/>
      <c r="M944" s="309"/>
      <c r="N944" s="309"/>
      <c r="O944" s="309"/>
      <c r="P944" s="309"/>
      <c r="Q944" s="309"/>
      <c r="R944" s="309"/>
      <c r="S944" s="309"/>
      <c r="T944" s="309"/>
      <c r="U944" s="309"/>
      <c r="V944" s="309"/>
      <c r="W944" s="309"/>
      <c r="X944" s="309"/>
    </row>
    <row r="945" hidden="1">
      <c r="A945" s="348"/>
      <c r="B945" s="488"/>
      <c r="C945" s="309"/>
      <c r="D945" s="309"/>
      <c r="E945" s="489"/>
      <c r="F945" s="309"/>
      <c r="G945" s="407"/>
      <c r="H945" s="490"/>
      <c r="I945" s="491"/>
      <c r="J945" s="492"/>
      <c r="K945" s="493"/>
      <c r="L945" s="494"/>
      <c r="M945" s="309"/>
      <c r="N945" s="309"/>
      <c r="O945" s="309"/>
      <c r="P945" s="309"/>
      <c r="Q945" s="309"/>
      <c r="R945" s="309"/>
      <c r="S945" s="309"/>
      <c r="T945" s="309"/>
      <c r="U945" s="309"/>
      <c r="V945" s="309"/>
      <c r="W945" s="309"/>
      <c r="X945" s="309"/>
    </row>
    <row r="946" hidden="1">
      <c r="A946" s="348"/>
      <c r="B946" s="488"/>
      <c r="C946" s="309"/>
      <c r="D946" s="309"/>
      <c r="E946" s="489"/>
      <c r="F946" s="309"/>
      <c r="G946" s="407"/>
      <c r="H946" s="490"/>
      <c r="I946" s="491"/>
      <c r="J946" s="492"/>
      <c r="K946" s="493"/>
      <c r="L946" s="494"/>
      <c r="M946" s="309"/>
      <c r="N946" s="309"/>
      <c r="O946" s="309"/>
      <c r="P946" s="309"/>
      <c r="Q946" s="309"/>
      <c r="R946" s="309"/>
      <c r="S946" s="309"/>
      <c r="T946" s="309"/>
      <c r="U946" s="309"/>
      <c r="V946" s="309"/>
      <c r="W946" s="309"/>
      <c r="X946" s="309"/>
    </row>
    <row r="947" hidden="1">
      <c r="A947" s="348"/>
      <c r="B947" s="488"/>
      <c r="C947" s="309"/>
      <c r="D947" s="309"/>
      <c r="E947" s="489"/>
      <c r="F947" s="309"/>
      <c r="G947" s="407"/>
      <c r="H947" s="490"/>
      <c r="I947" s="491"/>
      <c r="J947" s="492"/>
      <c r="K947" s="493"/>
      <c r="L947" s="494"/>
      <c r="M947" s="309"/>
      <c r="N947" s="309"/>
      <c r="O947" s="309"/>
      <c r="P947" s="309"/>
      <c r="Q947" s="309"/>
      <c r="R947" s="309"/>
      <c r="S947" s="309"/>
      <c r="T947" s="309"/>
      <c r="U947" s="309"/>
      <c r="V947" s="309"/>
      <c r="W947" s="309"/>
      <c r="X947" s="309"/>
    </row>
    <row r="948" hidden="1">
      <c r="A948" s="348"/>
      <c r="B948" s="488"/>
      <c r="C948" s="309"/>
      <c r="D948" s="309"/>
      <c r="E948" s="489"/>
      <c r="F948" s="309"/>
      <c r="G948" s="407"/>
      <c r="H948" s="490"/>
      <c r="I948" s="491"/>
      <c r="J948" s="492"/>
      <c r="K948" s="493"/>
      <c r="L948" s="494"/>
      <c r="M948" s="309"/>
      <c r="N948" s="309"/>
      <c r="O948" s="309"/>
      <c r="P948" s="309"/>
      <c r="Q948" s="309"/>
      <c r="R948" s="309"/>
      <c r="S948" s="309"/>
      <c r="T948" s="309"/>
      <c r="U948" s="309"/>
      <c r="V948" s="309"/>
      <c r="W948" s="309"/>
      <c r="X948" s="309"/>
    </row>
    <row r="949" hidden="1">
      <c r="A949" s="348"/>
      <c r="B949" s="488"/>
      <c r="C949" s="309"/>
      <c r="D949" s="309"/>
      <c r="E949" s="489"/>
      <c r="F949" s="309"/>
      <c r="G949" s="407"/>
      <c r="H949" s="490"/>
      <c r="I949" s="491"/>
      <c r="J949" s="492"/>
      <c r="K949" s="493"/>
      <c r="L949" s="494"/>
      <c r="M949" s="309"/>
      <c r="N949" s="309"/>
      <c r="O949" s="309"/>
      <c r="P949" s="309"/>
      <c r="Q949" s="309"/>
      <c r="R949" s="309"/>
      <c r="S949" s="309"/>
      <c r="T949" s="309"/>
      <c r="U949" s="309"/>
      <c r="V949" s="309"/>
      <c r="W949" s="309"/>
      <c r="X949" s="309"/>
    </row>
    <row r="950" hidden="1">
      <c r="A950" s="348"/>
      <c r="B950" s="488"/>
      <c r="C950" s="309"/>
      <c r="D950" s="309"/>
      <c r="E950" s="489"/>
      <c r="F950" s="309"/>
      <c r="G950" s="407"/>
      <c r="H950" s="490"/>
      <c r="I950" s="491"/>
      <c r="J950" s="492"/>
      <c r="K950" s="493"/>
      <c r="L950" s="494"/>
      <c r="M950" s="309"/>
      <c r="N950" s="309"/>
      <c r="O950" s="309"/>
      <c r="P950" s="309"/>
      <c r="Q950" s="309"/>
      <c r="R950" s="309"/>
      <c r="S950" s="309"/>
      <c r="T950" s="309"/>
      <c r="U950" s="309"/>
      <c r="V950" s="309"/>
      <c r="W950" s="309"/>
      <c r="X950" s="309"/>
    </row>
    <row r="951" hidden="1">
      <c r="A951" s="348"/>
      <c r="B951" s="488"/>
      <c r="C951" s="309"/>
      <c r="D951" s="309"/>
      <c r="E951" s="489"/>
      <c r="F951" s="309"/>
      <c r="G951" s="407"/>
      <c r="H951" s="490"/>
      <c r="I951" s="491"/>
      <c r="J951" s="492"/>
      <c r="K951" s="493"/>
      <c r="L951" s="494"/>
      <c r="M951" s="309"/>
      <c r="N951" s="309"/>
      <c r="O951" s="309"/>
      <c r="P951" s="309"/>
      <c r="Q951" s="309"/>
      <c r="R951" s="309"/>
      <c r="S951" s="309"/>
      <c r="T951" s="309"/>
      <c r="U951" s="309"/>
      <c r="V951" s="309"/>
      <c r="W951" s="309"/>
      <c r="X951" s="309"/>
    </row>
    <row r="952" hidden="1">
      <c r="A952" s="348"/>
      <c r="B952" s="488"/>
      <c r="C952" s="309"/>
      <c r="D952" s="309"/>
      <c r="E952" s="489"/>
      <c r="F952" s="309"/>
      <c r="G952" s="407"/>
      <c r="H952" s="490"/>
      <c r="I952" s="491"/>
      <c r="J952" s="492"/>
      <c r="K952" s="493"/>
      <c r="L952" s="494"/>
      <c r="M952" s="309"/>
      <c r="N952" s="309"/>
      <c r="O952" s="309"/>
      <c r="P952" s="309"/>
      <c r="Q952" s="309"/>
      <c r="R952" s="309"/>
      <c r="S952" s="309"/>
      <c r="T952" s="309"/>
      <c r="U952" s="309"/>
      <c r="V952" s="309"/>
      <c r="W952" s="309"/>
      <c r="X952" s="309"/>
    </row>
    <row r="953" hidden="1">
      <c r="A953" s="348"/>
      <c r="B953" s="488"/>
      <c r="C953" s="309"/>
      <c r="D953" s="309"/>
      <c r="E953" s="489"/>
      <c r="F953" s="309"/>
      <c r="G953" s="407"/>
      <c r="H953" s="490"/>
      <c r="I953" s="491"/>
      <c r="J953" s="492"/>
      <c r="K953" s="493"/>
      <c r="L953" s="494"/>
      <c r="M953" s="309"/>
      <c r="N953" s="309"/>
      <c r="O953" s="309"/>
      <c r="P953" s="309"/>
      <c r="Q953" s="309"/>
      <c r="R953" s="309"/>
      <c r="S953" s="309"/>
      <c r="T953" s="309"/>
      <c r="U953" s="309"/>
      <c r="V953" s="309"/>
      <c r="W953" s="309"/>
      <c r="X953" s="309"/>
    </row>
    <row r="954" hidden="1">
      <c r="A954" s="348"/>
      <c r="B954" s="488"/>
      <c r="C954" s="309"/>
      <c r="D954" s="309"/>
      <c r="E954" s="489"/>
      <c r="F954" s="309"/>
      <c r="G954" s="407"/>
      <c r="H954" s="490"/>
      <c r="I954" s="491"/>
      <c r="J954" s="492"/>
      <c r="K954" s="493"/>
      <c r="L954" s="494"/>
      <c r="M954" s="309"/>
      <c r="N954" s="309"/>
      <c r="O954" s="309"/>
      <c r="P954" s="309"/>
      <c r="Q954" s="309"/>
      <c r="R954" s="309"/>
      <c r="S954" s="309"/>
      <c r="T954" s="309"/>
      <c r="U954" s="309"/>
      <c r="V954" s="309"/>
      <c r="W954" s="309"/>
      <c r="X954" s="309"/>
    </row>
    <row r="955" hidden="1">
      <c r="A955" s="348"/>
      <c r="B955" s="488"/>
      <c r="C955" s="309"/>
      <c r="D955" s="309"/>
      <c r="E955" s="489"/>
      <c r="F955" s="309"/>
      <c r="G955" s="407"/>
      <c r="H955" s="490"/>
      <c r="I955" s="491"/>
      <c r="J955" s="492"/>
      <c r="K955" s="493"/>
      <c r="L955" s="494"/>
      <c r="M955" s="309"/>
      <c r="N955" s="309"/>
      <c r="O955" s="309"/>
      <c r="P955" s="309"/>
      <c r="Q955" s="309"/>
      <c r="R955" s="309"/>
      <c r="S955" s="309"/>
      <c r="T955" s="309"/>
      <c r="U955" s="309"/>
      <c r="V955" s="309"/>
      <c r="W955" s="309"/>
      <c r="X955" s="309"/>
    </row>
    <row r="956" hidden="1">
      <c r="A956" s="348"/>
      <c r="B956" s="488"/>
      <c r="C956" s="309"/>
      <c r="D956" s="309"/>
      <c r="E956" s="489"/>
      <c r="F956" s="309"/>
      <c r="G956" s="407"/>
      <c r="H956" s="490"/>
      <c r="I956" s="491"/>
      <c r="J956" s="492"/>
      <c r="K956" s="493"/>
      <c r="L956" s="494"/>
      <c r="M956" s="309"/>
      <c r="N956" s="309"/>
      <c r="O956" s="309"/>
      <c r="P956" s="309"/>
      <c r="Q956" s="309"/>
      <c r="R956" s="309"/>
      <c r="S956" s="309"/>
      <c r="T956" s="309"/>
      <c r="U956" s="309"/>
      <c r="V956" s="309"/>
      <c r="W956" s="309"/>
      <c r="X956" s="309"/>
    </row>
    <row r="957" hidden="1">
      <c r="A957" s="348"/>
      <c r="B957" s="488"/>
      <c r="C957" s="309"/>
      <c r="D957" s="309"/>
      <c r="E957" s="489"/>
      <c r="F957" s="309"/>
      <c r="G957" s="407"/>
      <c r="H957" s="490"/>
      <c r="I957" s="491"/>
      <c r="J957" s="492"/>
      <c r="K957" s="493"/>
      <c r="L957" s="494"/>
      <c r="M957" s="309"/>
      <c r="N957" s="309"/>
      <c r="O957" s="309"/>
      <c r="P957" s="309"/>
      <c r="Q957" s="309"/>
      <c r="R957" s="309"/>
      <c r="S957" s="309"/>
      <c r="T957" s="309"/>
      <c r="U957" s="309"/>
      <c r="V957" s="309"/>
      <c r="W957" s="309"/>
      <c r="X957" s="309"/>
    </row>
    <row r="958" hidden="1">
      <c r="A958" s="348"/>
      <c r="B958" s="488"/>
      <c r="C958" s="309"/>
      <c r="D958" s="309"/>
      <c r="E958" s="489"/>
      <c r="F958" s="309"/>
      <c r="G958" s="407"/>
      <c r="H958" s="490"/>
      <c r="I958" s="491"/>
      <c r="J958" s="492"/>
      <c r="K958" s="493"/>
      <c r="L958" s="494"/>
      <c r="M958" s="309"/>
      <c r="N958" s="309"/>
      <c r="O958" s="309"/>
      <c r="P958" s="309"/>
      <c r="Q958" s="309"/>
      <c r="R958" s="309"/>
      <c r="S958" s="309"/>
      <c r="T958" s="309"/>
      <c r="U958" s="309"/>
      <c r="V958" s="309"/>
      <c r="W958" s="309"/>
      <c r="X958" s="309"/>
    </row>
    <row r="959" hidden="1">
      <c r="A959" s="348"/>
      <c r="B959" s="488"/>
      <c r="C959" s="309"/>
      <c r="D959" s="309"/>
      <c r="E959" s="489"/>
      <c r="F959" s="309"/>
      <c r="G959" s="407"/>
      <c r="H959" s="490"/>
      <c r="I959" s="491"/>
      <c r="J959" s="492"/>
      <c r="K959" s="493"/>
      <c r="L959" s="494"/>
      <c r="M959" s="309"/>
      <c r="N959" s="309"/>
      <c r="O959" s="309"/>
      <c r="P959" s="309"/>
      <c r="Q959" s="309"/>
      <c r="R959" s="309"/>
      <c r="S959" s="309"/>
      <c r="T959" s="309"/>
      <c r="U959" s="309"/>
      <c r="V959" s="309"/>
      <c r="W959" s="309"/>
      <c r="X959" s="309"/>
    </row>
    <row r="960" hidden="1">
      <c r="A960" s="348"/>
      <c r="B960" s="488"/>
      <c r="C960" s="309"/>
      <c r="D960" s="309"/>
      <c r="E960" s="489"/>
      <c r="F960" s="309"/>
      <c r="G960" s="407"/>
      <c r="H960" s="490"/>
      <c r="I960" s="491"/>
      <c r="J960" s="492"/>
      <c r="K960" s="493"/>
      <c r="L960" s="494"/>
      <c r="M960" s="309"/>
      <c r="N960" s="309"/>
      <c r="O960" s="309"/>
      <c r="P960" s="309"/>
      <c r="Q960" s="309"/>
      <c r="R960" s="309"/>
      <c r="S960" s="309"/>
      <c r="T960" s="309"/>
      <c r="U960" s="309"/>
      <c r="V960" s="309"/>
      <c r="W960" s="309"/>
      <c r="X960" s="309"/>
    </row>
    <row r="961" hidden="1">
      <c r="A961" s="348"/>
      <c r="B961" s="488"/>
      <c r="C961" s="309"/>
      <c r="D961" s="309"/>
      <c r="E961" s="489"/>
      <c r="F961" s="309"/>
      <c r="G961" s="407"/>
      <c r="H961" s="490"/>
      <c r="I961" s="491"/>
      <c r="J961" s="492"/>
      <c r="K961" s="493"/>
      <c r="L961" s="494"/>
      <c r="M961" s="309"/>
      <c r="N961" s="309"/>
      <c r="O961" s="309"/>
      <c r="P961" s="309"/>
      <c r="Q961" s="309"/>
      <c r="R961" s="309"/>
      <c r="S961" s="309"/>
      <c r="T961" s="309"/>
      <c r="U961" s="309"/>
      <c r="V961" s="309"/>
      <c r="W961" s="309"/>
      <c r="X961" s="309"/>
    </row>
    <row r="962" hidden="1">
      <c r="A962" s="348"/>
      <c r="B962" s="488"/>
      <c r="C962" s="309"/>
      <c r="D962" s="309"/>
      <c r="E962" s="489"/>
      <c r="F962" s="309"/>
      <c r="G962" s="407"/>
      <c r="H962" s="490"/>
      <c r="I962" s="491"/>
      <c r="J962" s="492"/>
      <c r="K962" s="493"/>
      <c r="L962" s="494"/>
      <c r="M962" s="309"/>
      <c r="N962" s="309"/>
      <c r="O962" s="309"/>
      <c r="P962" s="309"/>
      <c r="Q962" s="309"/>
      <c r="R962" s="309"/>
      <c r="S962" s="309"/>
      <c r="T962" s="309"/>
      <c r="U962" s="309"/>
      <c r="V962" s="309"/>
      <c r="W962" s="309"/>
      <c r="X962" s="309"/>
    </row>
    <row r="963" hidden="1">
      <c r="A963" s="348"/>
      <c r="B963" s="488"/>
      <c r="C963" s="309"/>
      <c r="D963" s="309"/>
      <c r="E963" s="489"/>
      <c r="F963" s="309"/>
      <c r="G963" s="407"/>
      <c r="H963" s="490"/>
      <c r="I963" s="491"/>
      <c r="J963" s="492"/>
      <c r="K963" s="493"/>
      <c r="L963" s="494"/>
      <c r="M963" s="309"/>
      <c r="N963" s="309"/>
      <c r="O963" s="309"/>
      <c r="P963" s="309"/>
      <c r="Q963" s="309"/>
      <c r="R963" s="309"/>
      <c r="S963" s="309"/>
      <c r="T963" s="309"/>
      <c r="U963" s="309"/>
      <c r="V963" s="309"/>
      <c r="W963" s="309"/>
      <c r="X963" s="309"/>
    </row>
    <row r="964" hidden="1">
      <c r="A964" s="348"/>
      <c r="B964" s="488"/>
      <c r="C964" s="309"/>
      <c r="D964" s="309"/>
      <c r="E964" s="489"/>
      <c r="F964" s="309"/>
      <c r="G964" s="407"/>
      <c r="H964" s="490"/>
      <c r="I964" s="491"/>
      <c r="J964" s="492"/>
      <c r="K964" s="493"/>
      <c r="L964" s="494"/>
      <c r="M964" s="309"/>
      <c r="N964" s="309"/>
      <c r="O964" s="309"/>
      <c r="P964" s="309"/>
      <c r="Q964" s="309"/>
      <c r="R964" s="309"/>
      <c r="S964" s="309"/>
      <c r="T964" s="309"/>
      <c r="U964" s="309"/>
      <c r="V964" s="309"/>
      <c r="W964" s="309"/>
      <c r="X964" s="309"/>
    </row>
    <row r="965" hidden="1">
      <c r="A965" s="348"/>
      <c r="B965" s="488"/>
      <c r="C965" s="309"/>
      <c r="D965" s="309"/>
      <c r="E965" s="489"/>
      <c r="F965" s="309"/>
      <c r="G965" s="407"/>
      <c r="H965" s="490"/>
      <c r="I965" s="491"/>
      <c r="J965" s="492"/>
      <c r="K965" s="493"/>
      <c r="L965" s="494"/>
      <c r="M965" s="309"/>
      <c r="N965" s="309"/>
      <c r="O965" s="309"/>
      <c r="P965" s="309"/>
      <c r="Q965" s="309"/>
      <c r="R965" s="309"/>
      <c r="S965" s="309"/>
      <c r="T965" s="309"/>
      <c r="U965" s="309"/>
      <c r="V965" s="309"/>
      <c r="W965" s="309"/>
      <c r="X965" s="309"/>
    </row>
    <row r="966" hidden="1">
      <c r="A966" s="348"/>
      <c r="B966" s="488"/>
      <c r="C966" s="309"/>
      <c r="D966" s="309"/>
      <c r="E966" s="489"/>
      <c r="F966" s="309"/>
      <c r="G966" s="407"/>
      <c r="H966" s="490"/>
      <c r="I966" s="491"/>
      <c r="J966" s="492"/>
      <c r="K966" s="493"/>
      <c r="L966" s="494"/>
      <c r="M966" s="309"/>
      <c r="N966" s="309"/>
      <c r="O966" s="309"/>
      <c r="P966" s="309"/>
      <c r="Q966" s="309"/>
      <c r="R966" s="309"/>
      <c r="S966" s="309"/>
      <c r="T966" s="309"/>
      <c r="U966" s="309"/>
      <c r="V966" s="309"/>
      <c r="W966" s="309"/>
      <c r="X966" s="309"/>
    </row>
    <row r="967" hidden="1">
      <c r="A967" s="348"/>
      <c r="B967" s="488"/>
      <c r="C967" s="309"/>
      <c r="D967" s="309"/>
      <c r="E967" s="489"/>
      <c r="F967" s="309"/>
      <c r="G967" s="407"/>
      <c r="H967" s="490"/>
      <c r="I967" s="491"/>
      <c r="J967" s="492"/>
      <c r="K967" s="493"/>
      <c r="L967" s="494"/>
      <c r="M967" s="309"/>
      <c r="N967" s="309"/>
      <c r="O967" s="309"/>
      <c r="P967" s="309"/>
      <c r="Q967" s="309"/>
      <c r="R967" s="309"/>
      <c r="S967" s="309"/>
      <c r="T967" s="309"/>
      <c r="U967" s="309"/>
      <c r="V967" s="309"/>
      <c r="W967" s="309"/>
      <c r="X967" s="309"/>
    </row>
    <row r="968" hidden="1">
      <c r="A968" s="348"/>
      <c r="B968" s="488"/>
      <c r="C968" s="309"/>
      <c r="D968" s="309"/>
      <c r="E968" s="489"/>
      <c r="F968" s="309"/>
      <c r="G968" s="407"/>
      <c r="H968" s="490"/>
      <c r="I968" s="491"/>
      <c r="J968" s="492"/>
      <c r="K968" s="493"/>
      <c r="L968" s="494"/>
      <c r="M968" s="309"/>
      <c r="N968" s="309"/>
      <c r="O968" s="309"/>
      <c r="P968" s="309"/>
      <c r="Q968" s="309"/>
      <c r="R968" s="309"/>
      <c r="S968" s="309"/>
      <c r="T968" s="309"/>
      <c r="U968" s="309"/>
      <c r="V968" s="309"/>
      <c r="W968" s="309"/>
      <c r="X968" s="309"/>
    </row>
    <row r="969" hidden="1">
      <c r="A969" s="348"/>
      <c r="B969" s="488"/>
      <c r="C969" s="309"/>
      <c r="D969" s="309"/>
      <c r="E969" s="489"/>
      <c r="F969" s="309"/>
      <c r="G969" s="407"/>
      <c r="H969" s="490"/>
      <c r="I969" s="491"/>
      <c r="J969" s="492"/>
      <c r="K969" s="493"/>
      <c r="L969" s="494"/>
      <c r="M969" s="309"/>
      <c r="N969" s="309"/>
      <c r="O969" s="309"/>
      <c r="P969" s="309"/>
      <c r="Q969" s="309"/>
      <c r="R969" s="309"/>
      <c r="S969" s="309"/>
      <c r="T969" s="309"/>
      <c r="U969" s="309"/>
      <c r="V969" s="309"/>
      <c r="W969" s="309"/>
      <c r="X969" s="309"/>
    </row>
    <row r="970" hidden="1">
      <c r="A970" s="348"/>
      <c r="B970" s="488"/>
      <c r="C970" s="309"/>
      <c r="D970" s="309"/>
      <c r="E970" s="489"/>
      <c r="F970" s="309"/>
      <c r="G970" s="407"/>
      <c r="H970" s="490"/>
      <c r="I970" s="491"/>
      <c r="J970" s="492"/>
      <c r="K970" s="493"/>
      <c r="L970" s="494"/>
      <c r="M970" s="309"/>
      <c r="N970" s="309"/>
      <c r="O970" s="309"/>
      <c r="P970" s="309"/>
      <c r="Q970" s="309"/>
      <c r="R970" s="309"/>
      <c r="S970" s="309"/>
      <c r="T970" s="309"/>
      <c r="U970" s="309"/>
      <c r="V970" s="309"/>
      <c r="W970" s="309"/>
      <c r="X970" s="309"/>
    </row>
    <row r="971" hidden="1">
      <c r="A971" s="348"/>
      <c r="B971" s="488"/>
      <c r="C971" s="309"/>
      <c r="D971" s="309"/>
      <c r="E971" s="489"/>
      <c r="F971" s="309"/>
      <c r="G971" s="407"/>
      <c r="H971" s="490"/>
      <c r="I971" s="491"/>
      <c r="J971" s="492"/>
      <c r="K971" s="493"/>
      <c r="L971" s="494"/>
      <c r="M971" s="309"/>
      <c r="N971" s="309"/>
      <c r="O971" s="309"/>
      <c r="P971" s="309"/>
      <c r="Q971" s="309"/>
      <c r="R971" s="309"/>
      <c r="S971" s="309"/>
      <c r="T971" s="309"/>
      <c r="U971" s="309"/>
      <c r="V971" s="309"/>
      <c r="W971" s="309"/>
      <c r="X971" s="309"/>
    </row>
    <row r="972" hidden="1">
      <c r="A972" s="348"/>
      <c r="B972" s="488"/>
      <c r="C972" s="309"/>
      <c r="D972" s="309"/>
      <c r="E972" s="489"/>
      <c r="F972" s="309"/>
      <c r="G972" s="407"/>
      <c r="H972" s="490"/>
      <c r="I972" s="491"/>
      <c r="J972" s="492"/>
      <c r="K972" s="493"/>
      <c r="L972" s="494"/>
      <c r="M972" s="309"/>
      <c r="N972" s="309"/>
      <c r="O972" s="309"/>
      <c r="P972" s="309"/>
      <c r="Q972" s="309"/>
      <c r="R972" s="309"/>
      <c r="S972" s="309"/>
      <c r="T972" s="309"/>
      <c r="U972" s="309"/>
      <c r="V972" s="309"/>
      <c r="W972" s="309"/>
      <c r="X972" s="309"/>
    </row>
    <row r="973" hidden="1">
      <c r="A973" s="348"/>
      <c r="B973" s="488"/>
      <c r="C973" s="309"/>
      <c r="D973" s="309"/>
      <c r="E973" s="489"/>
      <c r="F973" s="309"/>
      <c r="G973" s="407"/>
      <c r="H973" s="490"/>
      <c r="I973" s="491"/>
      <c r="J973" s="492"/>
      <c r="K973" s="493"/>
      <c r="L973" s="494"/>
      <c r="M973" s="309"/>
      <c r="N973" s="309"/>
      <c r="O973" s="309"/>
      <c r="P973" s="309"/>
      <c r="Q973" s="309"/>
      <c r="R973" s="309"/>
      <c r="S973" s="309"/>
      <c r="T973" s="309"/>
      <c r="U973" s="309"/>
      <c r="V973" s="309"/>
      <c r="W973" s="309"/>
      <c r="X973" s="309"/>
    </row>
    <row r="974" hidden="1">
      <c r="A974" s="348"/>
      <c r="B974" s="488"/>
      <c r="C974" s="309"/>
      <c r="D974" s="309"/>
      <c r="E974" s="489"/>
      <c r="F974" s="309"/>
      <c r="G974" s="407"/>
      <c r="H974" s="490"/>
      <c r="I974" s="491"/>
      <c r="J974" s="492"/>
      <c r="K974" s="493"/>
      <c r="L974" s="494"/>
      <c r="M974" s="309"/>
      <c r="N974" s="309"/>
      <c r="O974" s="309"/>
      <c r="P974" s="309"/>
      <c r="Q974" s="309"/>
      <c r="R974" s="309"/>
      <c r="S974" s="309"/>
      <c r="T974" s="309"/>
      <c r="U974" s="309"/>
      <c r="V974" s="309"/>
      <c r="W974" s="309"/>
      <c r="X974" s="309"/>
    </row>
    <row r="975" hidden="1">
      <c r="A975" s="348"/>
      <c r="B975" s="488"/>
      <c r="C975" s="309"/>
      <c r="D975" s="309"/>
      <c r="E975" s="489"/>
      <c r="F975" s="309"/>
      <c r="G975" s="407"/>
      <c r="H975" s="490"/>
      <c r="I975" s="491"/>
      <c r="J975" s="492"/>
      <c r="K975" s="493"/>
      <c r="L975" s="494"/>
      <c r="M975" s="309"/>
      <c r="N975" s="309"/>
      <c r="O975" s="309"/>
      <c r="P975" s="309"/>
      <c r="Q975" s="309"/>
      <c r="R975" s="309"/>
      <c r="S975" s="309"/>
      <c r="T975" s="309"/>
      <c r="U975" s="309"/>
      <c r="V975" s="309"/>
      <c r="W975" s="309"/>
      <c r="X975" s="309"/>
    </row>
    <row r="976" hidden="1">
      <c r="A976" s="348"/>
      <c r="B976" s="488"/>
      <c r="C976" s="309"/>
      <c r="D976" s="309"/>
      <c r="E976" s="489"/>
      <c r="F976" s="309"/>
      <c r="G976" s="407"/>
      <c r="H976" s="490"/>
      <c r="I976" s="491"/>
      <c r="J976" s="492"/>
      <c r="K976" s="493"/>
      <c r="L976" s="494"/>
      <c r="M976" s="309"/>
      <c r="N976" s="309"/>
      <c r="O976" s="309"/>
      <c r="P976" s="309"/>
      <c r="Q976" s="309"/>
      <c r="R976" s="309"/>
      <c r="S976" s="309"/>
      <c r="T976" s="309"/>
      <c r="U976" s="309"/>
      <c r="V976" s="309"/>
      <c r="W976" s="309"/>
      <c r="X976" s="309"/>
    </row>
    <row r="977" hidden="1">
      <c r="A977" s="348"/>
      <c r="B977" s="488"/>
      <c r="C977" s="309"/>
      <c r="D977" s="309"/>
      <c r="E977" s="489"/>
      <c r="F977" s="309"/>
      <c r="G977" s="407"/>
      <c r="H977" s="490"/>
      <c r="I977" s="491"/>
      <c r="J977" s="492"/>
      <c r="K977" s="493"/>
      <c r="L977" s="494"/>
      <c r="M977" s="309"/>
      <c r="N977" s="309"/>
      <c r="O977" s="309"/>
      <c r="P977" s="309"/>
      <c r="Q977" s="309"/>
      <c r="R977" s="309"/>
      <c r="S977" s="309"/>
      <c r="T977" s="309"/>
      <c r="U977" s="309"/>
      <c r="V977" s="309"/>
      <c r="W977" s="309"/>
      <c r="X977" s="309"/>
    </row>
    <row r="978" hidden="1">
      <c r="A978" s="348"/>
      <c r="B978" s="488"/>
      <c r="C978" s="309"/>
      <c r="D978" s="309"/>
      <c r="E978" s="489"/>
      <c r="F978" s="309"/>
      <c r="G978" s="407"/>
      <c r="H978" s="490"/>
      <c r="I978" s="491"/>
      <c r="J978" s="492"/>
      <c r="K978" s="493"/>
      <c r="L978" s="494"/>
      <c r="M978" s="309"/>
      <c r="N978" s="309"/>
      <c r="O978" s="309"/>
      <c r="P978" s="309"/>
      <c r="Q978" s="309"/>
      <c r="R978" s="309"/>
      <c r="S978" s="309"/>
      <c r="T978" s="309"/>
      <c r="U978" s="309"/>
      <c r="V978" s="309"/>
      <c r="W978" s="309"/>
      <c r="X978" s="309"/>
    </row>
    <row r="979" hidden="1">
      <c r="A979" s="348"/>
      <c r="B979" s="488"/>
      <c r="C979" s="309"/>
      <c r="D979" s="309"/>
      <c r="E979" s="489"/>
      <c r="F979" s="309"/>
      <c r="G979" s="407"/>
      <c r="H979" s="490"/>
      <c r="I979" s="491"/>
      <c r="J979" s="492"/>
      <c r="K979" s="493"/>
      <c r="L979" s="494"/>
      <c r="M979" s="309"/>
      <c r="N979" s="309"/>
      <c r="O979" s="309"/>
      <c r="P979" s="309"/>
      <c r="Q979" s="309"/>
      <c r="R979" s="309"/>
      <c r="S979" s="309"/>
      <c r="T979" s="309"/>
      <c r="U979" s="309"/>
      <c r="V979" s="309"/>
      <c r="W979" s="309"/>
      <c r="X979" s="309"/>
    </row>
    <row r="980" hidden="1">
      <c r="A980" s="348"/>
      <c r="B980" s="488"/>
      <c r="C980" s="309"/>
      <c r="D980" s="309"/>
      <c r="E980" s="489"/>
      <c r="F980" s="309"/>
      <c r="G980" s="407"/>
      <c r="H980" s="490"/>
      <c r="I980" s="491"/>
      <c r="J980" s="492"/>
      <c r="K980" s="493"/>
      <c r="L980" s="494"/>
      <c r="M980" s="309"/>
      <c r="N980" s="309"/>
      <c r="O980" s="309"/>
      <c r="P980" s="309"/>
      <c r="Q980" s="309"/>
      <c r="R980" s="309"/>
      <c r="S980" s="309"/>
      <c r="T980" s="309"/>
      <c r="U980" s="309"/>
      <c r="V980" s="309"/>
      <c r="W980" s="309"/>
      <c r="X980" s="309"/>
    </row>
    <row r="981" hidden="1">
      <c r="A981" s="348"/>
      <c r="B981" s="488"/>
      <c r="C981" s="309"/>
      <c r="D981" s="309"/>
      <c r="E981" s="489"/>
      <c r="F981" s="309"/>
      <c r="G981" s="407"/>
      <c r="H981" s="490"/>
      <c r="I981" s="491"/>
      <c r="J981" s="492"/>
      <c r="K981" s="493"/>
      <c r="L981" s="494"/>
      <c r="M981" s="309"/>
      <c r="N981" s="309"/>
      <c r="O981" s="309"/>
      <c r="P981" s="309"/>
      <c r="Q981" s="309"/>
      <c r="R981" s="309"/>
      <c r="S981" s="309"/>
      <c r="T981" s="309"/>
      <c r="U981" s="309"/>
      <c r="V981" s="309"/>
      <c r="W981" s="309"/>
      <c r="X981" s="309"/>
    </row>
    <row r="982" hidden="1">
      <c r="A982" s="348"/>
      <c r="B982" s="488"/>
      <c r="C982" s="309"/>
      <c r="D982" s="309"/>
      <c r="E982" s="489"/>
      <c r="F982" s="309"/>
      <c r="G982" s="407"/>
      <c r="H982" s="490"/>
      <c r="I982" s="491"/>
      <c r="J982" s="492"/>
      <c r="K982" s="493"/>
      <c r="L982" s="494"/>
      <c r="M982" s="309"/>
      <c r="N982" s="309"/>
      <c r="O982" s="309"/>
      <c r="P982" s="309"/>
      <c r="Q982" s="309"/>
      <c r="R982" s="309"/>
      <c r="S982" s="309"/>
      <c r="T982" s="309"/>
      <c r="U982" s="309"/>
      <c r="V982" s="309"/>
      <c r="W982" s="309"/>
      <c r="X982" s="309"/>
    </row>
    <row r="983" hidden="1">
      <c r="A983" s="348"/>
      <c r="B983" s="488"/>
      <c r="C983" s="309"/>
      <c r="D983" s="309"/>
      <c r="E983" s="489"/>
      <c r="F983" s="309"/>
      <c r="G983" s="407"/>
      <c r="H983" s="490"/>
      <c r="I983" s="491"/>
      <c r="J983" s="492"/>
      <c r="K983" s="493"/>
      <c r="L983" s="494"/>
      <c r="M983" s="309"/>
      <c r="N983" s="309"/>
      <c r="O983" s="309"/>
      <c r="P983" s="309"/>
      <c r="Q983" s="309"/>
      <c r="R983" s="309"/>
      <c r="S983" s="309"/>
      <c r="T983" s="309"/>
      <c r="U983" s="309"/>
      <c r="V983" s="309"/>
      <c r="W983" s="309"/>
      <c r="X983" s="309"/>
    </row>
    <row r="984" hidden="1">
      <c r="A984" s="348"/>
      <c r="B984" s="488"/>
      <c r="C984" s="309"/>
      <c r="D984" s="309"/>
      <c r="E984" s="489"/>
      <c r="F984" s="309"/>
      <c r="G984" s="407"/>
      <c r="H984" s="490"/>
      <c r="I984" s="491"/>
      <c r="J984" s="492"/>
      <c r="K984" s="493"/>
      <c r="L984" s="494"/>
      <c r="M984" s="309"/>
      <c r="N984" s="309"/>
      <c r="O984" s="309"/>
      <c r="P984" s="309"/>
      <c r="Q984" s="309"/>
      <c r="R984" s="309"/>
      <c r="S984" s="309"/>
      <c r="T984" s="309"/>
      <c r="U984" s="309"/>
      <c r="V984" s="309"/>
      <c r="W984" s="309"/>
      <c r="X984" s="309"/>
    </row>
    <row r="985" hidden="1">
      <c r="A985" s="348"/>
      <c r="B985" s="488"/>
      <c r="C985" s="309"/>
      <c r="D985" s="309"/>
      <c r="E985" s="489"/>
      <c r="F985" s="309"/>
      <c r="G985" s="407"/>
      <c r="H985" s="490"/>
      <c r="I985" s="491"/>
      <c r="J985" s="492"/>
      <c r="K985" s="493"/>
      <c r="L985" s="494"/>
      <c r="M985" s="309"/>
      <c r="N985" s="309"/>
      <c r="O985" s="309"/>
      <c r="P985" s="309"/>
      <c r="Q985" s="309"/>
      <c r="R985" s="309"/>
      <c r="S985" s="309"/>
      <c r="T985" s="309"/>
      <c r="U985" s="309"/>
      <c r="V985" s="309"/>
      <c r="W985" s="309"/>
      <c r="X985" s="309"/>
    </row>
    <row r="986" hidden="1">
      <c r="A986" s="348"/>
      <c r="B986" s="488"/>
      <c r="C986" s="309"/>
      <c r="D986" s="309"/>
      <c r="E986" s="489"/>
      <c r="F986" s="309"/>
      <c r="G986" s="407"/>
      <c r="H986" s="490"/>
      <c r="I986" s="491"/>
      <c r="J986" s="492"/>
      <c r="K986" s="493"/>
      <c r="L986" s="494"/>
      <c r="M986" s="309"/>
      <c r="N986" s="309"/>
      <c r="O986" s="309"/>
      <c r="P986" s="309"/>
      <c r="Q986" s="309"/>
      <c r="R986" s="309"/>
      <c r="S986" s="309"/>
      <c r="T986" s="309"/>
      <c r="U986" s="309"/>
      <c r="V986" s="309"/>
      <c r="W986" s="309"/>
      <c r="X986" s="309"/>
    </row>
    <row r="987" hidden="1">
      <c r="A987" s="348"/>
      <c r="B987" s="488"/>
      <c r="C987" s="309"/>
      <c r="D987" s="309"/>
      <c r="E987" s="489"/>
      <c r="F987" s="309"/>
      <c r="G987" s="407"/>
      <c r="H987" s="490"/>
      <c r="I987" s="491"/>
      <c r="J987" s="492"/>
      <c r="K987" s="493"/>
      <c r="L987" s="494"/>
      <c r="M987" s="309"/>
      <c r="N987" s="309"/>
      <c r="O987" s="309"/>
      <c r="P987" s="309"/>
      <c r="Q987" s="309"/>
      <c r="R987" s="309"/>
      <c r="S987" s="309"/>
      <c r="T987" s="309"/>
      <c r="U987" s="309"/>
      <c r="V987" s="309"/>
      <c r="W987" s="309"/>
      <c r="X987" s="309"/>
    </row>
    <row r="988" hidden="1">
      <c r="A988" s="348"/>
      <c r="B988" s="488"/>
      <c r="C988" s="309"/>
      <c r="D988" s="309"/>
      <c r="E988" s="489"/>
      <c r="F988" s="309"/>
      <c r="G988" s="407"/>
      <c r="H988" s="490"/>
      <c r="I988" s="491"/>
      <c r="J988" s="492"/>
      <c r="K988" s="493"/>
      <c r="L988" s="494"/>
      <c r="M988" s="309"/>
      <c r="N988" s="309"/>
      <c r="O988" s="309"/>
      <c r="P988" s="309"/>
      <c r="Q988" s="309"/>
      <c r="R988" s="309"/>
      <c r="S988" s="309"/>
      <c r="T988" s="309"/>
      <c r="U988" s="309"/>
      <c r="V988" s="309"/>
      <c r="W988" s="309"/>
      <c r="X988" s="309"/>
    </row>
    <row r="989" hidden="1">
      <c r="A989" s="348"/>
      <c r="B989" s="488"/>
      <c r="C989" s="309"/>
      <c r="D989" s="309"/>
      <c r="E989" s="489"/>
      <c r="F989" s="309"/>
      <c r="G989" s="407"/>
      <c r="H989" s="490"/>
      <c r="I989" s="491"/>
      <c r="J989" s="492"/>
      <c r="K989" s="493"/>
      <c r="L989" s="494"/>
      <c r="M989" s="309"/>
      <c r="N989" s="309"/>
      <c r="O989" s="309"/>
      <c r="P989" s="309"/>
      <c r="Q989" s="309"/>
      <c r="R989" s="309"/>
      <c r="S989" s="309"/>
      <c r="T989" s="309"/>
      <c r="U989" s="309"/>
      <c r="V989" s="309"/>
      <c r="W989" s="309"/>
      <c r="X989" s="309"/>
    </row>
    <row r="990" hidden="1">
      <c r="A990" s="348"/>
      <c r="B990" s="488"/>
      <c r="C990" s="309"/>
      <c r="D990" s="309"/>
      <c r="E990" s="489"/>
      <c r="F990" s="309"/>
      <c r="G990" s="407"/>
      <c r="H990" s="490"/>
      <c r="I990" s="491"/>
      <c r="J990" s="492"/>
      <c r="K990" s="493"/>
      <c r="L990" s="494"/>
      <c r="M990" s="309"/>
      <c r="N990" s="309"/>
      <c r="O990" s="309"/>
      <c r="P990" s="309"/>
      <c r="Q990" s="309"/>
      <c r="R990" s="309"/>
      <c r="S990" s="309"/>
      <c r="T990" s="309"/>
      <c r="U990" s="309"/>
      <c r="V990" s="309"/>
      <c r="W990" s="309"/>
      <c r="X990" s="309"/>
    </row>
    <row r="991" hidden="1">
      <c r="A991" s="348"/>
      <c r="B991" s="488"/>
      <c r="C991" s="309"/>
      <c r="D991" s="309"/>
      <c r="E991" s="489"/>
      <c r="F991" s="309"/>
      <c r="G991" s="407"/>
      <c r="H991" s="490"/>
      <c r="I991" s="491"/>
      <c r="J991" s="492"/>
      <c r="K991" s="493"/>
      <c r="L991" s="494"/>
      <c r="M991" s="309"/>
      <c r="N991" s="309"/>
      <c r="O991" s="309"/>
      <c r="P991" s="309"/>
      <c r="Q991" s="309"/>
      <c r="R991" s="309"/>
      <c r="S991" s="309"/>
      <c r="T991" s="309"/>
      <c r="U991" s="309"/>
      <c r="V991" s="309"/>
      <c r="W991" s="309"/>
      <c r="X991" s="309"/>
    </row>
    <row r="992" hidden="1">
      <c r="A992" s="348"/>
      <c r="B992" s="488"/>
      <c r="C992" s="309"/>
      <c r="D992" s="309"/>
      <c r="E992" s="489"/>
      <c r="F992" s="309"/>
      <c r="G992" s="407"/>
      <c r="H992" s="490"/>
      <c r="I992" s="491"/>
      <c r="J992" s="492"/>
      <c r="K992" s="493"/>
      <c r="L992" s="494"/>
      <c r="M992" s="309"/>
      <c r="N992" s="309"/>
      <c r="O992" s="309"/>
      <c r="P992" s="309"/>
      <c r="Q992" s="309"/>
      <c r="R992" s="309"/>
      <c r="S992" s="309"/>
      <c r="T992" s="309"/>
      <c r="U992" s="309"/>
      <c r="V992" s="309"/>
      <c r="W992" s="309"/>
      <c r="X992" s="309"/>
    </row>
    <row r="993" hidden="1">
      <c r="A993" s="348"/>
      <c r="B993" s="488"/>
      <c r="C993" s="309"/>
      <c r="D993" s="309"/>
      <c r="E993" s="489"/>
      <c r="F993" s="309"/>
      <c r="G993" s="407"/>
      <c r="H993" s="490"/>
      <c r="I993" s="491"/>
      <c r="J993" s="492"/>
      <c r="K993" s="493"/>
      <c r="L993" s="494"/>
      <c r="M993" s="309"/>
      <c r="N993" s="309"/>
      <c r="O993" s="309"/>
      <c r="P993" s="309"/>
      <c r="Q993" s="309"/>
      <c r="R993" s="309"/>
      <c r="S993" s="309"/>
      <c r="T993" s="309"/>
      <c r="U993" s="309"/>
      <c r="V993" s="309"/>
      <c r="W993" s="309"/>
      <c r="X993" s="309"/>
    </row>
    <row r="994" hidden="1">
      <c r="A994" s="348"/>
      <c r="B994" s="488"/>
      <c r="C994" s="309"/>
      <c r="D994" s="309"/>
      <c r="E994" s="489"/>
      <c r="F994" s="309"/>
      <c r="G994" s="407"/>
      <c r="H994" s="490"/>
      <c r="I994" s="491"/>
      <c r="J994" s="492"/>
      <c r="K994" s="493"/>
      <c r="L994" s="494"/>
      <c r="M994" s="309"/>
      <c r="N994" s="309"/>
      <c r="O994" s="309"/>
      <c r="P994" s="309"/>
      <c r="Q994" s="309"/>
      <c r="R994" s="309"/>
      <c r="S994" s="309"/>
      <c r="T994" s="309"/>
      <c r="U994" s="309"/>
      <c r="V994" s="309"/>
      <c r="W994" s="309"/>
      <c r="X994" s="309"/>
    </row>
    <row r="995" hidden="1">
      <c r="A995" s="348"/>
      <c r="B995" s="488"/>
      <c r="C995" s="309"/>
      <c r="D995" s="309"/>
      <c r="E995" s="489"/>
      <c r="F995" s="309"/>
      <c r="G995" s="407"/>
      <c r="H995" s="490"/>
      <c r="I995" s="491"/>
      <c r="J995" s="492"/>
      <c r="K995" s="493"/>
      <c r="L995" s="494"/>
      <c r="M995" s="309"/>
      <c r="N995" s="309"/>
      <c r="O995" s="309"/>
      <c r="P995" s="309"/>
      <c r="Q995" s="309"/>
      <c r="R995" s="309"/>
      <c r="S995" s="309"/>
      <c r="T995" s="309"/>
      <c r="U995" s="309"/>
      <c r="V995" s="309"/>
      <c r="W995" s="309"/>
      <c r="X995" s="309"/>
    </row>
    <row r="996" hidden="1">
      <c r="A996" s="348"/>
      <c r="B996" s="488"/>
      <c r="C996" s="309"/>
      <c r="D996" s="309"/>
      <c r="E996" s="489"/>
      <c r="F996" s="309"/>
      <c r="G996" s="407"/>
      <c r="H996" s="490"/>
      <c r="I996" s="491"/>
      <c r="J996" s="492"/>
      <c r="K996" s="493"/>
      <c r="L996" s="494"/>
      <c r="M996" s="309"/>
      <c r="N996" s="309"/>
      <c r="O996" s="309"/>
      <c r="P996" s="309"/>
      <c r="Q996" s="309"/>
      <c r="R996" s="309"/>
      <c r="S996" s="309"/>
      <c r="T996" s="309"/>
      <c r="U996" s="309"/>
      <c r="V996" s="309"/>
      <c r="W996" s="309"/>
      <c r="X996" s="309"/>
    </row>
    <row r="997" hidden="1">
      <c r="A997" s="348"/>
      <c r="B997" s="488"/>
      <c r="C997" s="309"/>
      <c r="D997" s="309"/>
      <c r="E997" s="489"/>
      <c r="F997" s="309"/>
      <c r="G997" s="407"/>
      <c r="H997" s="490"/>
      <c r="I997" s="491"/>
      <c r="J997" s="492"/>
      <c r="K997" s="493"/>
      <c r="L997" s="494"/>
      <c r="M997" s="309"/>
      <c r="N997" s="309"/>
      <c r="O997" s="309"/>
      <c r="P997" s="309"/>
      <c r="Q997" s="309"/>
      <c r="R997" s="309"/>
      <c r="S997" s="309"/>
      <c r="T997" s="309"/>
      <c r="U997" s="309"/>
      <c r="V997" s="309"/>
      <c r="W997" s="309"/>
      <c r="X997" s="309"/>
    </row>
    <row r="998" hidden="1">
      <c r="A998" s="348"/>
      <c r="B998" s="488"/>
      <c r="C998" s="309"/>
      <c r="D998" s="309"/>
      <c r="E998" s="489"/>
      <c r="F998" s="309"/>
      <c r="G998" s="407"/>
      <c r="H998" s="490"/>
      <c r="I998" s="491"/>
      <c r="J998" s="492"/>
      <c r="K998" s="493"/>
      <c r="L998" s="494"/>
      <c r="M998" s="309"/>
      <c r="N998" s="309"/>
      <c r="O998" s="309"/>
      <c r="P998" s="309"/>
      <c r="Q998" s="309"/>
      <c r="R998" s="309"/>
      <c r="S998" s="309"/>
      <c r="T998" s="309"/>
      <c r="U998" s="309"/>
      <c r="V998" s="309"/>
      <c r="W998" s="309"/>
      <c r="X998" s="309"/>
    </row>
    <row r="999" hidden="1">
      <c r="A999" s="348"/>
      <c r="B999" s="488"/>
      <c r="C999" s="309"/>
      <c r="D999" s="309"/>
      <c r="E999" s="489"/>
      <c r="F999" s="309"/>
      <c r="G999" s="407"/>
      <c r="H999" s="490"/>
      <c r="I999" s="491"/>
      <c r="J999" s="492"/>
      <c r="K999" s="493"/>
      <c r="L999" s="494"/>
      <c r="M999" s="309"/>
      <c r="N999" s="309"/>
      <c r="O999" s="309"/>
      <c r="P999" s="309"/>
      <c r="Q999" s="309"/>
      <c r="R999" s="309"/>
      <c r="S999" s="309"/>
      <c r="T999" s="309"/>
      <c r="U999" s="309"/>
      <c r="V999" s="309"/>
      <c r="W999" s="309"/>
      <c r="X999" s="309"/>
    </row>
    <row r="1000" hidden="1">
      <c r="A1000" s="348"/>
      <c r="B1000" s="488"/>
      <c r="C1000" s="309"/>
      <c r="D1000" s="309"/>
      <c r="E1000" s="489"/>
      <c r="F1000" s="309"/>
      <c r="G1000" s="407"/>
      <c r="H1000" s="490"/>
      <c r="I1000" s="491"/>
      <c r="J1000" s="492"/>
      <c r="K1000" s="493"/>
      <c r="L1000" s="494"/>
      <c r="M1000" s="309"/>
      <c r="N1000" s="309"/>
      <c r="O1000" s="309"/>
      <c r="P1000" s="309"/>
      <c r="Q1000" s="309"/>
      <c r="R1000" s="309"/>
      <c r="S1000" s="309"/>
      <c r="T1000" s="309"/>
      <c r="U1000" s="309"/>
      <c r="V1000" s="309"/>
      <c r="W1000" s="309"/>
      <c r="X1000" s="309"/>
    </row>
    <row r="1001" hidden="1">
      <c r="A1001" s="348"/>
      <c r="B1001" s="488"/>
      <c r="C1001" s="309"/>
      <c r="D1001" s="309"/>
      <c r="E1001" s="489"/>
      <c r="F1001" s="309"/>
      <c r="G1001" s="407"/>
      <c r="H1001" s="490"/>
      <c r="I1001" s="491"/>
      <c r="J1001" s="492"/>
      <c r="K1001" s="493"/>
      <c r="L1001" s="494"/>
      <c r="M1001" s="309"/>
      <c r="N1001" s="309"/>
      <c r="O1001" s="309"/>
      <c r="P1001" s="309"/>
      <c r="Q1001" s="309"/>
      <c r="R1001" s="309"/>
      <c r="S1001" s="309"/>
      <c r="T1001" s="309"/>
      <c r="U1001" s="309"/>
      <c r="V1001" s="309"/>
      <c r="W1001" s="309"/>
      <c r="X1001" s="309"/>
    </row>
    <row r="1002" hidden="1">
      <c r="A1002" s="348"/>
      <c r="B1002" s="488"/>
      <c r="C1002" s="309"/>
      <c r="D1002" s="309"/>
      <c r="E1002" s="489"/>
      <c r="F1002" s="309"/>
      <c r="G1002" s="407"/>
      <c r="H1002" s="490"/>
      <c r="I1002" s="491"/>
      <c r="J1002" s="492"/>
      <c r="K1002" s="493"/>
      <c r="L1002" s="494"/>
      <c r="M1002" s="309"/>
      <c r="N1002" s="309"/>
      <c r="O1002" s="309"/>
      <c r="P1002" s="309"/>
      <c r="Q1002" s="309"/>
      <c r="R1002" s="309"/>
      <c r="S1002" s="309"/>
      <c r="T1002" s="309"/>
      <c r="U1002" s="309"/>
      <c r="V1002" s="309"/>
      <c r="W1002" s="309"/>
      <c r="X1002" s="309"/>
    </row>
    <row r="1003" hidden="1">
      <c r="A1003" s="348"/>
      <c r="B1003" s="488"/>
      <c r="C1003" s="309"/>
      <c r="D1003" s="309"/>
      <c r="E1003" s="489"/>
      <c r="F1003" s="309"/>
      <c r="G1003" s="407"/>
      <c r="H1003" s="490"/>
      <c r="I1003" s="491"/>
      <c r="J1003" s="492"/>
      <c r="K1003" s="493"/>
      <c r="L1003" s="494"/>
      <c r="M1003" s="309"/>
      <c r="N1003" s="309"/>
      <c r="O1003" s="309"/>
      <c r="P1003" s="309"/>
      <c r="Q1003" s="309"/>
      <c r="R1003" s="309"/>
      <c r="S1003" s="309"/>
      <c r="T1003" s="309"/>
      <c r="U1003" s="309"/>
      <c r="V1003" s="309"/>
      <c r="W1003" s="309"/>
      <c r="X1003" s="309"/>
    </row>
    <row r="1004" hidden="1">
      <c r="A1004" s="348"/>
      <c r="B1004" s="488"/>
      <c r="C1004" s="309"/>
      <c r="D1004" s="309"/>
      <c r="E1004" s="489"/>
      <c r="F1004" s="309"/>
      <c r="G1004" s="407"/>
      <c r="H1004" s="490"/>
      <c r="I1004" s="491"/>
      <c r="J1004" s="492"/>
      <c r="K1004" s="493"/>
      <c r="L1004" s="494"/>
      <c r="M1004" s="309"/>
      <c r="N1004" s="309"/>
      <c r="O1004" s="309"/>
      <c r="P1004" s="309"/>
      <c r="Q1004" s="309"/>
      <c r="R1004" s="309"/>
      <c r="S1004" s="309"/>
      <c r="T1004" s="309"/>
      <c r="U1004" s="309"/>
      <c r="V1004" s="309"/>
      <c r="W1004" s="309"/>
      <c r="X1004" s="309"/>
    </row>
    <row r="1005" hidden="1">
      <c r="A1005" s="348"/>
      <c r="B1005" s="488"/>
      <c r="C1005" s="309"/>
      <c r="D1005" s="309"/>
      <c r="E1005" s="489"/>
      <c r="F1005" s="309"/>
      <c r="G1005" s="407"/>
      <c r="H1005" s="490"/>
      <c r="I1005" s="491"/>
      <c r="J1005" s="492"/>
      <c r="K1005" s="493"/>
      <c r="L1005" s="494"/>
      <c r="M1005" s="309"/>
      <c r="N1005" s="309"/>
      <c r="O1005" s="309"/>
      <c r="P1005" s="309"/>
      <c r="Q1005" s="309"/>
      <c r="R1005" s="309"/>
      <c r="S1005" s="309"/>
      <c r="T1005" s="309"/>
      <c r="U1005" s="309"/>
      <c r="V1005" s="309"/>
      <c r="W1005" s="309"/>
      <c r="X1005" s="309"/>
    </row>
    <row r="1006" hidden="1">
      <c r="A1006" s="348"/>
      <c r="B1006" s="488"/>
      <c r="C1006" s="309"/>
      <c r="D1006" s="309"/>
      <c r="E1006" s="489"/>
      <c r="F1006" s="309"/>
      <c r="G1006" s="407"/>
      <c r="H1006" s="490"/>
      <c r="I1006" s="491"/>
      <c r="J1006" s="492"/>
      <c r="K1006" s="493"/>
      <c r="L1006" s="494"/>
      <c r="M1006" s="309"/>
      <c r="N1006" s="309"/>
      <c r="O1006" s="309"/>
      <c r="P1006" s="309"/>
      <c r="Q1006" s="309"/>
      <c r="R1006" s="309"/>
      <c r="S1006" s="309"/>
      <c r="T1006" s="309"/>
      <c r="U1006" s="309"/>
      <c r="V1006" s="309"/>
      <c r="W1006" s="309"/>
      <c r="X1006" s="309"/>
    </row>
    <row r="1007" hidden="1">
      <c r="A1007" s="348"/>
      <c r="B1007" s="488"/>
      <c r="C1007" s="309"/>
      <c r="D1007" s="309"/>
      <c r="E1007" s="489"/>
      <c r="F1007" s="309"/>
      <c r="G1007" s="407"/>
      <c r="H1007" s="490"/>
      <c r="I1007" s="491"/>
      <c r="J1007" s="492"/>
      <c r="K1007" s="493"/>
      <c r="L1007" s="494"/>
      <c r="M1007" s="309"/>
      <c r="N1007" s="309"/>
      <c r="O1007" s="309"/>
      <c r="P1007" s="309"/>
      <c r="Q1007" s="309"/>
      <c r="R1007" s="309"/>
      <c r="S1007" s="309"/>
      <c r="T1007" s="309"/>
      <c r="U1007" s="309"/>
      <c r="V1007" s="309"/>
      <c r="W1007" s="309"/>
      <c r="X1007" s="309"/>
    </row>
    <row r="1008" hidden="1">
      <c r="A1008" s="348"/>
      <c r="B1008" s="488"/>
      <c r="C1008" s="309"/>
      <c r="D1008" s="309"/>
      <c r="E1008" s="489"/>
      <c r="F1008" s="309"/>
      <c r="G1008" s="407"/>
      <c r="H1008" s="490"/>
      <c r="I1008" s="491"/>
      <c r="J1008" s="492"/>
      <c r="K1008" s="493"/>
      <c r="L1008" s="494"/>
      <c r="M1008" s="309"/>
      <c r="N1008" s="309"/>
      <c r="O1008" s="309"/>
      <c r="P1008" s="309"/>
      <c r="Q1008" s="309"/>
      <c r="R1008" s="309"/>
      <c r="S1008" s="309"/>
      <c r="T1008" s="309"/>
      <c r="U1008" s="309"/>
      <c r="V1008" s="309"/>
      <c r="W1008" s="309"/>
      <c r="X1008" s="309"/>
    </row>
    <row r="1009" hidden="1">
      <c r="A1009" s="348"/>
      <c r="B1009" s="488"/>
      <c r="C1009" s="309"/>
      <c r="D1009" s="309"/>
      <c r="E1009" s="489"/>
      <c r="F1009" s="309"/>
      <c r="G1009" s="407"/>
      <c r="H1009" s="490"/>
      <c r="I1009" s="491"/>
      <c r="J1009" s="492"/>
      <c r="K1009" s="493"/>
      <c r="L1009" s="494"/>
      <c r="M1009" s="309"/>
      <c r="N1009" s="309"/>
      <c r="O1009" s="309"/>
      <c r="P1009" s="309"/>
      <c r="Q1009" s="309"/>
      <c r="R1009" s="309"/>
      <c r="S1009" s="309"/>
      <c r="T1009" s="309"/>
      <c r="U1009" s="309"/>
      <c r="V1009" s="309"/>
      <c r="W1009" s="309"/>
      <c r="X1009" s="309"/>
    </row>
    <row r="1010" hidden="1">
      <c r="A1010" s="348"/>
      <c r="B1010" s="488"/>
      <c r="C1010" s="309"/>
      <c r="D1010" s="309"/>
      <c r="E1010" s="489"/>
      <c r="F1010" s="309"/>
      <c r="G1010" s="407"/>
      <c r="H1010" s="490"/>
      <c r="I1010" s="491"/>
      <c r="J1010" s="492"/>
      <c r="K1010" s="493"/>
      <c r="L1010" s="494"/>
      <c r="M1010" s="309"/>
      <c r="N1010" s="309"/>
      <c r="O1010" s="309"/>
      <c r="P1010" s="309"/>
      <c r="Q1010" s="309"/>
      <c r="R1010" s="309"/>
      <c r="S1010" s="309"/>
      <c r="T1010" s="309"/>
      <c r="U1010" s="309"/>
      <c r="V1010" s="309"/>
      <c r="W1010" s="309"/>
      <c r="X1010" s="309"/>
    </row>
    <row r="1011" hidden="1">
      <c r="A1011" s="348"/>
      <c r="B1011" s="488"/>
      <c r="C1011" s="309"/>
      <c r="D1011" s="309"/>
      <c r="E1011" s="489"/>
      <c r="F1011" s="309"/>
      <c r="G1011" s="407"/>
      <c r="H1011" s="490"/>
      <c r="I1011" s="491"/>
      <c r="J1011" s="492"/>
      <c r="K1011" s="493"/>
      <c r="L1011" s="494"/>
      <c r="M1011" s="309"/>
      <c r="N1011" s="309"/>
      <c r="O1011" s="309"/>
      <c r="P1011" s="309"/>
      <c r="Q1011" s="309"/>
      <c r="R1011" s="309"/>
      <c r="S1011" s="309"/>
      <c r="T1011" s="309"/>
      <c r="U1011" s="309"/>
      <c r="V1011" s="309"/>
      <c r="W1011" s="309"/>
      <c r="X1011" s="309"/>
    </row>
    <row r="1012" hidden="1">
      <c r="A1012" s="348"/>
      <c r="B1012" s="488"/>
      <c r="C1012" s="309"/>
      <c r="D1012" s="309"/>
      <c r="E1012" s="489"/>
      <c r="F1012" s="309"/>
      <c r="G1012" s="407"/>
      <c r="H1012" s="490"/>
      <c r="I1012" s="491"/>
      <c r="J1012" s="492"/>
      <c r="K1012" s="493"/>
      <c r="L1012" s="494"/>
      <c r="M1012" s="309"/>
      <c r="N1012" s="309"/>
      <c r="O1012" s="309"/>
      <c r="P1012" s="309"/>
      <c r="Q1012" s="309"/>
      <c r="R1012" s="309"/>
      <c r="S1012" s="309"/>
      <c r="T1012" s="309"/>
      <c r="U1012" s="309"/>
      <c r="V1012" s="309"/>
      <c r="W1012" s="309"/>
      <c r="X1012" s="309"/>
    </row>
    <row r="1013" hidden="1">
      <c r="A1013" s="348"/>
      <c r="B1013" s="488"/>
      <c r="C1013" s="309"/>
      <c r="D1013" s="309"/>
      <c r="E1013" s="489"/>
      <c r="F1013" s="309"/>
      <c r="G1013" s="407"/>
      <c r="H1013" s="490"/>
      <c r="I1013" s="491"/>
      <c r="J1013" s="492"/>
      <c r="K1013" s="493"/>
      <c r="L1013" s="494"/>
      <c r="M1013" s="309"/>
      <c r="N1013" s="309"/>
      <c r="O1013" s="309"/>
      <c r="P1013" s="309"/>
      <c r="Q1013" s="309"/>
      <c r="R1013" s="309"/>
      <c r="S1013" s="309"/>
      <c r="T1013" s="309"/>
      <c r="U1013" s="309"/>
      <c r="V1013" s="309"/>
      <c r="W1013" s="309"/>
      <c r="X1013" s="309"/>
    </row>
    <row r="1014" hidden="1">
      <c r="A1014" s="348"/>
      <c r="B1014" s="488"/>
      <c r="C1014" s="309"/>
      <c r="D1014" s="309"/>
      <c r="E1014" s="489"/>
      <c r="F1014" s="309"/>
      <c r="G1014" s="407"/>
      <c r="H1014" s="490"/>
      <c r="I1014" s="491"/>
      <c r="J1014" s="492"/>
      <c r="K1014" s="493"/>
      <c r="L1014" s="494"/>
      <c r="M1014" s="309"/>
      <c r="N1014" s="309"/>
      <c r="O1014" s="309"/>
      <c r="P1014" s="309"/>
      <c r="Q1014" s="309"/>
      <c r="R1014" s="309"/>
      <c r="S1014" s="309"/>
      <c r="T1014" s="309"/>
      <c r="U1014" s="309"/>
      <c r="V1014" s="309"/>
      <c r="W1014" s="309"/>
      <c r="X1014" s="309"/>
    </row>
    <row r="1015" hidden="1">
      <c r="A1015" s="348"/>
      <c r="B1015" s="488"/>
      <c r="C1015" s="309"/>
      <c r="D1015" s="309"/>
      <c r="E1015" s="489"/>
      <c r="F1015" s="309"/>
      <c r="G1015" s="407"/>
      <c r="H1015" s="490"/>
      <c r="I1015" s="491"/>
      <c r="J1015" s="492"/>
      <c r="K1015" s="493"/>
      <c r="L1015" s="494"/>
      <c r="M1015" s="309"/>
      <c r="N1015" s="309"/>
      <c r="O1015" s="309"/>
      <c r="P1015" s="309"/>
      <c r="Q1015" s="309"/>
      <c r="R1015" s="309"/>
      <c r="S1015" s="309"/>
      <c r="T1015" s="309"/>
      <c r="U1015" s="309"/>
      <c r="V1015" s="309"/>
      <c r="W1015" s="309"/>
      <c r="X1015" s="309"/>
    </row>
    <row r="1016" hidden="1">
      <c r="A1016" s="348"/>
      <c r="B1016" s="488"/>
      <c r="C1016" s="309"/>
      <c r="D1016" s="309"/>
      <c r="E1016" s="489"/>
      <c r="F1016" s="309"/>
      <c r="G1016" s="407"/>
      <c r="H1016" s="490"/>
      <c r="I1016" s="491"/>
      <c r="J1016" s="492"/>
      <c r="K1016" s="493"/>
      <c r="L1016" s="494"/>
      <c r="M1016" s="309"/>
      <c r="N1016" s="309"/>
      <c r="O1016" s="309"/>
      <c r="P1016" s="309"/>
      <c r="Q1016" s="309"/>
      <c r="R1016" s="309"/>
      <c r="S1016" s="309"/>
      <c r="T1016" s="309"/>
      <c r="U1016" s="309"/>
      <c r="V1016" s="309"/>
      <c r="W1016" s="309"/>
      <c r="X1016" s="309"/>
    </row>
    <row r="1017" hidden="1">
      <c r="A1017" s="348"/>
      <c r="B1017" s="488"/>
      <c r="C1017" s="309"/>
      <c r="D1017" s="309"/>
      <c r="E1017" s="489"/>
      <c r="F1017" s="309"/>
      <c r="G1017" s="407"/>
      <c r="H1017" s="490"/>
      <c r="I1017" s="491"/>
      <c r="J1017" s="492"/>
      <c r="K1017" s="493"/>
      <c r="L1017" s="494"/>
      <c r="M1017" s="309"/>
      <c r="N1017" s="309"/>
      <c r="O1017" s="309"/>
      <c r="P1017" s="309"/>
      <c r="Q1017" s="309"/>
      <c r="R1017" s="309"/>
      <c r="S1017" s="309"/>
      <c r="T1017" s="309"/>
      <c r="U1017" s="309"/>
      <c r="V1017" s="309"/>
      <c r="W1017" s="309"/>
      <c r="X1017" s="309"/>
    </row>
    <row r="1018" hidden="1">
      <c r="A1018" s="348"/>
      <c r="B1018" s="488"/>
      <c r="C1018" s="309"/>
      <c r="D1018" s="309"/>
      <c r="E1018" s="489"/>
      <c r="F1018" s="309"/>
      <c r="G1018" s="407"/>
      <c r="H1018" s="490"/>
      <c r="I1018" s="491"/>
      <c r="J1018" s="492"/>
      <c r="K1018" s="493"/>
      <c r="L1018" s="494"/>
      <c r="M1018" s="309"/>
      <c r="N1018" s="309"/>
      <c r="O1018" s="309"/>
      <c r="P1018" s="309"/>
      <c r="Q1018" s="309"/>
      <c r="R1018" s="309"/>
      <c r="S1018" s="309"/>
      <c r="T1018" s="309"/>
      <c r="U1018" s="309"/>
      <c r="V1018" s="309"/>
      <c r="W1018" s="309"/>
      <c r="X1018" s="309"/>
    </row>
    <row r="1019" hidden="1">
      <c r="A1019" s="348"/>
      <c r="B1019" s="488"/>
      <c r="C1019" s="309"/>
      <c r="D1019" s="309"/>
      <c r="E1019" s="489"/>
      <c r="F1019" s="309"/>
      <c r="G1019" s="407"/>
      <c r="H1019" s="490"/>
      <c r="I1019" s="491"/>
      <c r="J1019" s="492"/>
      <c r="K1019" s="493"/>
      <c r="L1019" s="494"/>
      <c r="M1019" s="309"/>
      <c r="N1019" s="309"/>
      <c r="O1019" s="309"/>
      <c r="P1019" s="309"/>
      <c r="Q1019" s="309"/>
      <c r="R1019" s="309"/>
      <c r="S1019" s="309"/>
      <c r="T1019" s="309"/>
      <c r="U1019" s="309"/>
      <c r="V1019" s="309"/>
      <c r="W1019" s="309"/>
      <c r="X1019" s="309"/>
    </row>
    <row r="1020" hidden="1">
      <c r="A1020" s="348"/>
      <c r="B1020" s="488"/>
      <c r="C1020" s="309"/>
      <c r="D1020" s="309"/>
      <c r="E1020" s="489"/>
      <c r="F1020" s="309"/>
      <c r="G1020" s="407"/>
      <c r="H1020" s="490"/>
      <c r="I1020" s="491"/>
      <c r="J1020" s="492"/>
      <c r="K1020" s="493"/>
      <c r="L1020" s="494"/>
      <c r="M1020" s="309"/>
      <c r="N1020" s="309"/>
      <c r="O1020" s="309"/>
      <c r="P1020" s="309"/>
      <c r="Q1020" s="309"/>
      <c r="R1020" s="309"/>
      <c r="S1020" s="309"/>
      <c r="T1020" s="309"/>
      <c r="U1020" s="309"/>
      <c r="V1020" s="309"/>
      <c r="W1020" s="309"/>
      <c r="X1020" s="309"/>
    </row>
    <row r="1021" hidden="1">
      <c r="A1021" s="348"/>
      <c r="B1021" s="488"/>
      <c r="C1021" s="309"/>
      <c r="D1021" s="309"/>
      <c r="E1021" s="489"/>
      <c r="F1021" s="309"/>
      <c r="G1021" s="407"/>
      <c r="H1021" s="490"/>
      <c r="I1021" s="491"/>
      <c r="J1021" s="492"/>
      <c r="K1021" s="493"/>
      <c r="L1021" s="494"/>
      <c r="M1021" s="309"/>
      <c r="N1021" s="309"/>
      <c r="O1021" s="309"/>
      <c r="P1021" s="309"/>
      <c r="Q1021" s="309"/>
      <c r="R1021" s="309"/>
      <c r="S1021" s="309"/>
      <c r="T1021" s="309"/>
      <c r="U1021" s="309"/>
      <c r="V1021" s="309"/>
      <c r="W1021" s="309"/>
      <c r="X1021" s="309"/>
    </row>
    <row r="1022" hidden="1">
      <c r="A1022" s="348"/>
      <c r="B1022" s="488"/>
      <c r="C1022" s="309"/>
      <c r="D1022" s="309"/>
      <c r="E1022" s="489"/>
      <c r="F1022" s="309"/>
      <c r="G1022" s="407"/>
      <c r="H1022" s="490"/>
      <c r="I1022" s="491"/>
      <c r="J1022" s="492"/>
      <c r="K1022" s="493"/>
      <c r="L1022" s="494"/>
      <c r="M1022" s="309"/>
      <c r="N1022" s="309"/>
      <c r="O1022" s="309"/>
      <c r="P1022" s="309"/>
      <c r="Q1022" s="309"/>
      <c r="R1022" s="309"/>
      <c r="S1022" s="309"/>
      <c r="T1022" s="309"/>
      <c r="U1022" s="309"/>
      <c r="V1022" s="309"/>
      <c r="W1022" s="309"/>
      <c r="X1022" s="309"/>
    </row>
    <row r="1023" hidden="1">
      <c r="A1023" s="348"/>
      <c r="B1023" s="488"/>
      <c r="C1023" s="309"/>
      <c r="D1023" s="309"/>
      <c r="E1023" s="489"/>
      <c r="F1023" s="309"/>
      <c r="G1023" s="407"/>
      <c r="H1023" s="490"/>
      <c r="I1023" s="491"/>
      <c r="J1023" s="492"/>
      <c r="K1023" s="493"/>
      <c r="L1023" s="494"/>
      <c r="M1023" s="309"/>
      <c r="N1023" s="309"/>
      <c r="O1023" s="309"/>
      <c r="P1023" s="309"/>
      <c r="Q1023" s="309"/>
      <c r="R1023" s="309"/>
      <c r="S1023" s="309"/>
      <c r="T1023" s="309"/>
      <c r="U1023" s="309"/>
      <c r="V1023" s="309"/>
      <c r="W1023" s="309"/>
      <c r="X1023" s="309"/>
    </row>
    <row r="1024" hidden="1">
      <c r="A1024" s="348"/>
      <c r="B1024" s="488"/>
      <c r="C1024" s="309"/>
      <c r="D1024" s="309"/>
      <c r="E1024" s="489"/>
      <c r="F1024" s="309"/>
      <c r="G1024" s="407"/>
      <c r="H1024" s="490"/>
      <c r="I1024" s="491"/>
      <c r="J1024" s="492"/>
      <c r="K1024" s="493"/>
      <c r="L1024" s="494"/>
      <c r="M1024" s="309"/>
      <c r="N1024" s="309"/>
      <c r="O1024" s="309"/>
      <c r="P1024" s="309"/>
      <c r="Q1024" s="309"/>
      <c r="R1024" s="309"/>
      <c r="S1024" s="309"/>
      <c r="T1024" s="309"/>
      <c r="U1024" s="309"/>
      <c r="V1024" s="309"/>
      <c r="W1024" s="309"/>
      <c r="X1024" s="309"/>
    </row>
    <row r="1025" hidden="1">
      <c r="A1025" s="348"/>
      <c r="B1025" s="488"/>
      <c r="C1025" s="309"/>
      <c r="D1025" s="309"/>
      <c r="E1025" s="489"/>
      <c r="F1025" s="309"/>
      <c r="G1025" s="407"/>
      <c r="H1025" s="490"/>
      <c r="I1025" s="491"/>
      <c r="J1025" s="492"/>
      <c r="K1025" s="493"/>
      <c r="L1025" s="494"/>
      <c r="M1025" s="309"/>
      <c r="N1025" s="309"/>
      <c r="O1025" s="309"/>
      <c r="P1025" s="309"/>
      <c r="Q1025" s="309"/>
      <c r="R1025" s="309"/>
      <c r="S1025" s="309"/>
      <c r="T1025" s="309"/>
      <c r="U1025" s="309"/>
      <c r="V1025" s="309"/>
      <c r="W1025" s="309"/>
      <c r="X1025" s="309"/>
    </row>
    <row r="1026" hidden="1">
      <c r="A1026" s="348"/>
      <c r="B1026" s="488"/>
      <c r="C1026" s="309"/>
      <c r="D1026" s="309"/>
      <c r="E1026" s="489"/>
      <c r="F1026" s="309"/>
      <c r="G1026" s="407"/>
      <c r="H1026" s="490"/>
      <c r="I1026" s="491"/>
      <c r="J1026" s="492"/>
      <c r="K1026" s="493"/>
      <c r="L1026" s="494"/>
      <c r="M1026" s="309"/>
      <c r="N1026" s="309"/>
      <c r="O1026" s="309"/>
      <c r="P1026" s="309"/>
      <c r="Q1026" s="309"/>
      <c r="R1026" s="309"/>
      <c r="S1026" s="309"/>
      <c r="T1026" s="309"/>
      <c r="U1026" s="309"/>
      <c r="V1026" s="309"/>
      <c r="W1026" s="309"/>
      <c r="X1026" s="309"/>
    </row>
    <row r="1027" hidden="1">
      <c r="A1027" s="348"/>
      <c r="B1027" s="488"/>
      <c r="C1027" s="309"/>
      <c r="D1027" s="309"/>
      <c r="E1027" s="489"/>
      <c r="F1027" s="309"/>
      <c r="G1027" s="407"/>
      <c r="H1027" s="490"/>
      <c r="I1027" s="491"/>
      <c r="J1027" s="492"/>
      <c r="K1027" s="493"/>
      <c r="L1027" s="494"/>
      <c r="M1027" s="309"/>
      <c r="N1027" s="309"/>
      <c r="O1027" s="309"/>
      <c r="P1027" s="309"/>
      <c r="Q1027" s="309"/>
      <c r="R1027" s="309"/>
      <c r="S1027" s="309"/>
      <c r="T1027" s="309"/>
      <c r="U1027" s="309"/>
      <c r="V1027" s="309"/>
      <c r="W1027" s="309"/>
      <c r="X1027" s="309"/>
    </row>
    <row r="1028" hidden="1">
      <c r="A1028" s="348"/>
      <c r="B1028" s="488"/>
      <c r="C1028" s="309"/>
      <c r="D1028" s="309"/>
      <c r="E1028" s="489"/>
      <c r="F1028" s="309"/>
      <c r="G1028" s="407"/>
      <c r="H1028" s="490"/>
      <c r="I1028" s="491"/>
      <c r="J1028" s="492"/>
      <c r="K1028" s="493"/>
      <c r="L1028" s="494"/>
      <c r="M1028" s="309"/>
      <c r="N1028" s="309"/>
      <c r="O1028" s="309"/>
      <c r="P1028" s="309"/>
      <c r="Q1028" s="309"/>
      <c r="R1028" s="309"/>
      <c r="S1028" s="309"/>
      <c r="T1028" s="309"/>
      <c r="U1028" s="309"/>
      <c r="V1028" s="309"/>
      <c r="W1028" s="309"/>
      <c r="X1028" s="309"/>
    </row>
    <row r="1029" hidden="1">
      <c r="A1029" s="348"/>
      <c r="B1029" s="488"/>
      <c r="C1029" s="309"/>
      <c r="D1029" s="309"/>
      <c r="E1029" s="489"/>
      <c r="F1029" s="309"/>
      <c r="G1029" s="407"/>
      <c r="H1029" s="490"/>
      <c r="I1029" s="491"/>
      <c r="J1029" s="492"/>
      <c r="K1029" s="493"/>
      <c r="L1029" s="494"/>
      <c r="M1029" s="309"/>
      <c r="N1029" s="309"/>
      <c r="O1029" s="309"/>
      <c r="P1029" s="309"/>
      <c r="Q1029" s="309"/>
      <c r="R1029" s="309"/>
      <c r="S1029" s="309"/>
      <c r="T1029" s="309"/>
      <c r="U1029" s="309"/>
      <c r="V1029" s="309"/>
      <c r="W1029" s="309"/>
      <c r="X1029" s="309"/>
    </row>
    <row r="1030" hidden="1">
      <c r="A1030" s="348"/>
      <c r="B1030" s="488"/>
      <c r="C1030" s="309"/>
      <c r="D1030" s="309"/>
      <c r="E1030" s="489"/>
      <c r="F1030" s="309"/>
      <c r="G1030" s="407"/>
      <c r="H1030" s="490"/>
      <c r="I1030" s="491"/>
      <c r="J1030" s="492"/>
      <c r="K1030" s="493"/>
      <c r="L1030" s="494"/>
      <c r="M1030" s="309"/>
      <c r="N1030" s="309"/>
      <c r="O1030" s="309"/>
      <c r="P1030" s="309"/>
      <c r="Q1030" s="309"/>
      <c r="R1030" s="309"/>
      <c r="S1030" s="309"/>
      <c r="T1030" s="309"/>
      <c r="U1030" s="309"/>
      <c r="V1030" s="309"/>
      <c r="W1030" s="309"/>
      <c r="X1030" s="309"/>
    </row>
    <row r="1031" hidden="1">
      <c r="A1031" s="348"/>
      <c r="B1031" s="488"/>
      <c r="C1031" s="309"/>
      <c r="D1031" s="309"/>
      <c r="E1031" s="489"/>
      <c r="F1031" s="309"/>
      <c r="G1031" s="407"/>
      <c r="H1031" s="490"/>
      <c r="I1031" s="491"/>
      <c r="J1031" s="492"/>
      <c r="K1031" s="493"/>
      <c r="L1031" s="494"/>
      <c r="M1031" s="309"/>
      <c r="N1031" s="309"/>
      <c r="O1031" s="309"/>
      <c r="P1031" s="309"/>
      <c r="Q1031" s="309"/>
      <c r="R1031" s="309"/>
      <c r="S1031" s="309"/>
      <c r="T1031" s="309"/>
      <c r="U1031" s="309"/>
      <c r="V1031" s="309"/>
      <c r="W1031" s="309"/>
      <c r="X1031" s="309"/>
    </row>
    <row r="1032" hidden="1">
      <c r="A1032" s="348"/>
      <c r="B1032" s="488"/>
      <c r="C1032" s="309"/>
      <c r="D1032" s="309"/>
      <c r="E1032" s="489"/>
      <c r="F1032" s="309"/>
      <c r="G1032" s="407"/>
      <c r="H1032" s="490"/>
      <c r="I1032" s="491"/>
      <c r="J1032" s="492"/>
      <c r="K1032" s="493"/>
      <c r="L1032" s="494"/>
      <c r="M1032" s="309"/>
      <c r="N1032" s="309"/>
      <c r="O1032" s="309"/>
      <c r="P1032" s="309"/>
      <c r="Q1032" s="309"/>
      <c r="R1032" s="309"/>
      <c r="S1032" s="309"/>
      <c r="T1032" s="309"/>
      <c r="U1032" s="309"/>
      <c r="V1032" s="309"/>
      <c r="W1032" s="309"/>
      <c r="X1032" s="309"/>
    </row>
    <row r="1033" hidden="1">
      <c r="A1033" s="348"/>
      <c r="B1033" s="488"/>
      <c r="C1033" s="309"/>
      <c r="D1033" s="309"/>
      <c r="E1033" s="489"/>
      <c r="F1033" s="309"/>
      <c r="G1033" s="407"/>
      <c r="H1033" s="490"/>
      <c r="I1033" s="491"/>
      <c r="J1033" s="492"/>
      <c r="K1033" s="493"/>
      <c r="L1033" s="494"/>
      <c r="M1033" s="309"/>
      <c r="N1033" s="309"/>
      <c r="O1033" s="309"/>
      <c r="P1033" s="309"/>
      <c r="Q1033" s="309"/>
      <c r="R1033" s="309"/>
      <c r="S1033" s="309"/>
      <c r="T1033" s="309"/>
      <c r="U1033" s="309"/>
      <c r="V1033" s="309"/>
      <c r="W1033" s="309"/>
      <c r="X1033" s="309"/>
    </row>
    <row r="1034" hidden="1">
      <c r="A1034" s="348"/>
      <c r="B1034" s="488"/>
      <c r="C1034" s="309"/>
      <c r="D1034" s="309"/>
      <c r="E1034" s="489"/>
      <c r="F1034" s="309"/>
      <c r="G1034" s="407"/>
      <c r="H1034" s="490"/>
      <c r="I1034" s="491"/>
      <c r="J1034" s="492"/>
      <c r="K1034" s="493"/>
      <c r="L1034" s="494"/>
      <c r="M1034" s="309"/>
      <c r="N1034" s="309"/>
      <c r="O1034" s="309"/>
      <c r="P1034" s="309"/>
      <c r="Q1034" s="309"/>
      <c r="R1034" s="309"/>
      <c r="S1034" s="309"/>
      <c r="T1034" s="309"/>
      <c r="U1034" s="309"/>
      <c r="V1034" s="309"/>
      <c r="W1034" s="309"/>
      <c r="X1034" s="309"/>
    </row>
    <row r="1035" hidden="1">
      <c r="A1035" s="348"/>
      <c r="B1035" s="488"/>
      <c r="C1035" s="309"/>
      <c r="D1035" s="309"/>
      <c r="E1035" s="489"/>
      <c r="F1035" s="309"/>
      <c r="G1035" s="407"/>
      <c r="H1035" s="490"/>
      <c r="I1035" s="491"/>
      <c r="J1035" s="492"/>
      <c r="K1035" s="493"/>
      <c r="L1035" s="494"/>
      <c r="M1035" s="309"/>
      <c r="N1035" s="309"/>
      <c r="O1035" s="309"/>
      <c r="P1035" s="309"/>
      <c r="Q1035" s="309"/>
      <c r="R1035" s="309"/>
      <c r="S1035" s="309"/>
      <c r="T1035" s="309"/>
      <c r="U1035" s="309"/>
      <c r="V1035" s="309"/>
      <c r="W1035" s="309"/>
      <c r="X1035" s="309"/>
    </row>
    <row r="1036" hidden="1">
      <c r="A1036" s="348"/>
      <c r="B1036" s="488"/>
      <c r="C1036" s="309"/>
      <c r="D1036" s="309"/>
      <c r="E1036" s="489"/>
      <c r="F1036" s="309"/>
      <c r="G1036" s="407"/>
      <c r="H1036" s="490"/>
      <c r="I1036" s="491"/>
      <c r="J1036" s="492"/>
      <c r="K1036" s="493"/>
      <c r="L1036" s="494"/>
      <c r="M1036" s="309"/>
      <c r="N1036" s="309"/>
      <c r="O1036" s="309"/>
      <c r="P1036" s="309"/>
      <c r="Q1036" s="309"/>
      <c r="R1036" s="309"/>
      <c r="S1036" s="309"/>
      <c r="T1036" s="309"/>
      <c r="U1036" s="309"/>
      <c r="V1036" s="309"/>
      <c r="W1036" s="309"/>
      <c r="X1036" s="309"/>
    </row>
    <row r="1037" hidden="1">
      <c r="A1037" s="348"/>
      <c r="B1037" s="488"/>
      <c r="C1037" s="309"/>
      <c r="D1037" s="309"/>
      <c r="E1037" s="489"/>
      <c r="F1037" s="309"/>
      <c r="G1037" s="407"/>
      <c r="H1037" s="490"/>
      <c r="I1037" s="491"/>
      <c r="J1037" s="492"/>
      <c r="K1037" s="493"/>
      <c r="L1037" s="494"/>
      <c r="M1037" s="309"/>
      <c r="N1037" s="309"/>
      <c r="O1037" s="309"/>
      <c r="P1037" s="309"/>
      <c r="Q1037" s="309"/>
      <c r="R1037" s="309"/>
      <c r="S1037" s="309"/>
      <c r="T1037" s="309"/>
      <c r="U1037" s="309"/>
      <c r="V1037" s="309"/>
      <c r="W1037" s="309"/>
      <c r="X1037" s="309"/>
    </row>
    <row r="1038" hidden="1">
      <c r="A1038" s="348"/>
      <c r="B1038" s="488"/>
      <c r="C1038" s="309"/>
      <c r="D1038" s="309"/>
      <c r="E1038" s="489"/>
      <c r="F1038" s="309"/>
      <c r="G1038" s="407"/>
      <c r="H1038" s="490"/>
      <c r="I1038" s="491"/>
      <c r="J1038" s="492"/>
      <c r="K1038" s="493"/>
      <c r="L1038" s="494"/>
      <c r="M1038" s="309"/>
      <c r="N1038" s="309"/>
      <c r="O1038" s="309"/>
      <c r="P1038" s="309"/>
      <c r="Q1038" s="309"/>
      <c r="R1038" s="309"/>
      <c r="S1038" s="309"/>
      <c r="T1038" s="309"/>
      <c r="U1038" s="309"/>
      <c r="V1038" s="309"/>
      <c r="W1038" s="309"/>
      <c r="X1038" s="309"/>
    </row>
    <row r="1039" hidden="1">
      <c r="A1039" s="348"/>
      <c r="B1039" s="488"/>
      <c r="C1039" s="309"/>
      <c r="D1039" s="309"/>
      <c r="E1039" s="489"/>
      <c r="F1039" s="309"/>
      <c r="G1039" s="407"/>
      <c r="H1039" s="490"/>
      <c r="I1039" s="491"/>
      <c r="J1039" s="492"/>
      <c r="K1039" s="493"/>
      <c r="L1039" s="494"/>
      <c r="M1039" s="309"/>
      <c r="N1039" s="309"/>
      <c r="O1039" s="309"/>
      <c r="P1039" s="309"/>
      <c r="Q1039" s="309"/>
      <c r="R1039" s="309"/>
      <c r="S1039" s="309"/>
      <c r="T1039" s="309"/>
      <c r="U1039" s="309"/>
      <c r="V1039" s="309"/>
      <c r="W1039" s="309"/>
      <c r="X1039" s="309"/>
    </row>
    <row r="1040" hidden="1">
      <c r="A1040" s="348"/>
      <c r="B1040" s="488"/>
      <c r="C1040" s="309"/>
      <c r="D1040" s="309"/>
      <c r="E1040" s="489"/>
      <c r="F1040" s="309"/>
      <c r="G1040" s="407"/>
      <c r="H1040" s="490"/>
      <c r="I1040" s="491"/>
      <c r="J1040" s="492"/>
      <c r="K1040" s="493"/>
      <c r="L1040" s="494"/>
      <c r="M1040" s="309"/>
      <c r="N1040" s="309"/>
      <c r="O1040" s="309"/>
      <c r="P1040" s="309"/>
      <c r="Q1040" s="309"/>
      <c r="R1040" s="309"/>
      <c r="S1040" s="309"/>
      <c r="T1040" s="309"/>
      <c r="U1040" s="309"/>
      <c r="V1040" s="309"/>
      <c r="W1040" s="309"/>
      <c r="X1040" s="309"/>
    </row>
    <row r="1041" hidden="1">
      <c r="A1041" s="348"/>
      <c r="B1041" s="488"/>
      <c r="C1041" s="309"/>
      <c r="D1041" s="309"/>
      <c r="E1041" s="489"/>
      <c r="F1041" s="309"/>
      <c r="G1041" s="407"/>
      <c r="H1041" s="490"/>
      <c r="I1041" s="491"/>
      <c r="J1041" s="492"/>
      <c r="K1041" s="493"/>
      <c r="L1041" s="494"/>
      <c r="M1041" s="309"/>
      <c r="N1041" s="309"/>
      <c r="O1041" s="309"/>
      <c r="P1041" s="309"/>
      <c r="Q1041" s="309"/>
      <c r="R1041" s="309"/>
      <c r="S1041" s="309"/>
      <c r="T1041" s="309"/>
      <c r="U1041" s="309"/>
      <c r="V1041" s="309"/>
      <c r="W1041" s="309"/>
      <c r="X1041" s="309"/>
    </row>
    <row r="1042" hidden="1">
      <c r="A1042" s="348"/>
      <c r="B1042" s="488"/>
      <c r="C1042" s="309"/>
      <c r="D1042" s="309"/>
      <c r="E1042" s="489"/>
      <c r="F1042" s="309"/>
      <c r="G1042" s="407"/>
      <c r="H1042" s="490"/>
      <c r="I1042" s="491"/>
      <c r="J1042" s="492"/>
      <c r="K1042" s="493"/>
      <c r="L1042" s="494"/>
      <c r="M1042" s="309"/>
      <c r="N1042" s="309"/>
      <c r="O1042" s="309"/>
      <c r="P1042" s="309"/>
      <c r="Q1042" s="309"/>
      <c r="R1042" s="309"/>
      <c r="S1042" s="309"/>
      <c r="T1042" s="309"/>
      <c r="U1042" s="309"/>
      <c r="V1042" s="309"/>
      <c r="W1042" s="309"/>
      <c r="X1042" s="309"/>
    </row>
    <row r="1043" hidden="1">
      <c r="A1043" s="348"/>
      <c r="B1043" s="488"/>
      <c r="C1043" s="309"/>
      <c r="D1043" s="309"/>
      <c r="E1043" s="489"/>
      <c r="F1043" s="309"/>
      <c r="G1043" s="407"/>
      <c r="H1043" s="490"/>
      <c r="I1043" s="491"/>
      <c r="J1043" s="492"/>
      <c r="K1043" s="493"/>
      <c r="L1043" s="494"/>
      <c r="M1043" s="309"/>
      <c r="N1043" s="309"/>
      <c r="O1043" s="309"/>
      <c r="P1043" s="309"/>
      <c r="Q1043" s="309"/>
      <c r="R1043" s="309"/>
      <c r="S1043" s="309"/>
      <c r="T1043" s="309"/>
      <c r="U1043" s="309"/>
      <c r="V1043" s="309"/>
      <c r="W1043" s="309"/>
      <c r="X1043" s="309"/>
    </row>
    <row r="1044" hidden="1">
      <c r="A1044" s="348"/>
      <c r="B1044" s="488"/>
      <c r="C1044" s="309"/>
      <c r="D1044" s="309"/>
      <c r="E1044" s="489"/>
      <c r="F1044" s="309"/>
      <c r="G1044" s="407"/>
      <c r="H1044" s="490"/>
      <c r="I1044" s="491"/>
      <c r="J1044" s="492"/>
      <c r="K1044" s="493"/>
      <c r="L1044" s="494"/>
      <c r="M1044" s="309"/>
      <c r="N1044" s="309"/>
      <c r="O1044" s="309"/>
      <c r="P1044" s="309"/>
      <c r="Q1044" s="309"/>
      <c r="R1044" s="309"/>
      <c r="S1044" s="309"/>
      <c r="T1044" s="309"/>
      <c r="U1044" s="309"/>
      <c r="V1044" s="309"/>
      <c r="W1044" s="309"/>
      <c r="X1044" s="309"/>
    </row>
    <row r="1045" hidden="1">
      <c r="A1045" s="348"/>
      <c r="B1045" s="488"/>
      <c r="C1045" s="309"/>
      <c r="D1045" s="309"/>
      <c r="E1045" s="489"/>
      <c r="F1045" s="309"/>
      <c r="G1045" s="407"/>
      <c r="H1045" s="490"/>
      <c r="I1045" s="491"/>
      <c r="J1045" s="492"/>
      <c r="K1045" s="493"/>
      <c r="L1045" s="494"/>
      <c r="M1045" s="309"/>
      <c r="N1045" s="309"/>
      <c r="O1045" s="309"/>
      <c r="P1045" s="309"/>
      <c r="Q1045" s="309"/>
      <c r="R1045" s="309"/>
      <c r="S1045" s="309"/>
      <c r="T1045" s="309"/>
      <c r="U1045" s="309"/>
      <c r="V1045" s="309"/>
      <c r="W1045" s="309"/>
      <c r="X1045" s="309"/>
    </row>
    <row r="1046" hidden="1">
      <c r="A1046" s="348"/>
      <c r="B1046" s="488"/>
      <c r="C1046" s="309"/>
      <c r="D1046" s="309"/>
      <c r="E1046" s="489"/>
      <c r="F1046" s="309"/>
      <c r="G1046" s="407"/>
      <c r="H1046" s="490"/>
      <c r="I1046" s="491"/>
      <c r="J1046" s="492"/>
      <c r="K1046" s="493"/>
      <c r="L1046" s="494"/>
      <c r="M1046" s="309"/>
      <c r="N1046" s="309"/>
      <c r="O1046" s="309"/>
      <c r="P1046" s="309"/>
      <c r="Q1046" s="309"/>
      <c r="R1046" s="309"/>
      <c r="S1046" s="309"/>
      <c r="T1046" s="309"/>
      <c r="U1046" s="309"/>
      <c r="V1046" s="309"/>
      <c r="W1046" s="309"/>
      <c r="X1046" s="309"/>
    </row>
    <row r="1047" hidden="1">
      <c r="A1047" s="348"/>
      <c r="B1047" s="488"/>
      <c r="C1047" s="309"/>
      <c r="D1047" s="309"/>
      <c r="E1047" s="489"/>
      <c r="F1047" s="309"/>
      <c r="G1047" s="407"/>
      <c r="H1047" s="490"/>
      <c r="I1047" s="491"/>
      <c r="J1047" s="492"/>
      <c r="K1047" s="493"/>
      <c r="L1047" s="494"/>
      <c r="M1047" s="309"/>
      <c r="N1047" s="309"/>
      <c r="O1047" s="309"/>
      <c r="P1047" s="309"/>
      <c r="Q1047" s="309"/>
      <c r="R1047" s="309"/>
      <c r="S1047" s="309"/>
      <c r="T1047" s="309"/>
      <c r="U1047" s="309"/>
      <c r="V1047" s="309"/>
      <c r="W1047" s="309"/>
      <c r="X1047" s="309"/>
    </row>
    <row r="1048" hidden="1">
      <c r="A1048" s="348"/>
      <c r="B1048" s="488"/>
      <c r="C1048" s="309"/>
      <c r="D1048" s="309"/>
      <c r="E1048" s="489"/>
      <c r="F1048" s="309"/>
      <c r="G1048" s="407"/>
      <c r="H1048" s="490"/>
      <c r="I1048" s="491"/>
      <c r="J1048" s="492"/>
      <c r="K1048" s="493"/>
      <c r="L1048" s="494"/>
      <c r="M1048" s="309"/>
      <c r="N1048" s="309"/>
      <c r="O1048" s="309"/>
      <c r="P1048" s="309"/>
      <c r="Q1048" s="309"/>
      <c r="R1048" s="309"/>
      <c r="S1048" s="309"/>
      <c r="T1048" s="309"/>
      <c r="U1048" s="309"/>
      <c r="V1048" s="309"/>
      <c r="W1048" s="309"/>
      <c r="X1048" s="309"/>
    </row>
    <row r="1049" hidden="1">
      <c r="A1049" s="348"/>
      <c r="B1049" s="488"/>
      <c r="C1049" s="309"/>
      <c r="D1049" s="309"/>
      <c r="E1049" s="489"/>
      <c r="F1049" s="309"/>
      <c r="G1049" s="407"/>
      <c r="H1049" s="490"/>
      <c r="I1049" s="491"/>
      <c r="J1049" s="492"/>
      <c r="K1049" s="493"/>
      <c r="L1049" s="494"/>
      <c r="M1049" s="309"/>
      <c r="N1049" s="309"/>
      <c r="O1049" s="309"/>
      <c r="P1049" s="309"/>
      <c r="Q1049" s="309"/>
      <c r="R1049" s="309"/>
      <c r="S1049" s="309"/>
      <c r="T1049" s="309"/>
      <c r="U1049" s="309"/>
      <c r="V1049" s="309"/>
      <c r="W1049" s="309"/>
      <c r="X1049" s="309"/>
    </row>
    <row r="1050" hidden="1">
      <c r="A1050" s="348"/>
      <c r="B1050" s="488"/>
      <c r="C1050" s="309"/>
      <c r="D1050" s="309"/>
      <c r="E1050" s="489"/>
      <c r="F1050" s="309"/>
      <c r="G1050" s="407"/>
      <c r="H1050" s="490"/>
      <c r="I1050" s="491"/>
      <c r="J1050" s="492"/>
      <c r="K1050" s="493"/>
      <c r="L1050" s="494"/>
      <c r="M1050" s="309"/>
      <c r="N1050" s="309"/>
      <c r="O1050" s="309"/>
      <c r="P1050" s="309"/>
      <c r="Q1050" s="309"/>
      <c r="R1050" s="309"/>
      <c r="S1050" s="309"/>
      <c r="T1050" s="309"/>
      <c r="U1050" s="309"/>
      <c r="V1050" s="309"/>
      <c r="W1050" s="309"/>
      <c r="X1050" s="309"/>
    </row>
    <row r="1051" hidden="1">
      <c r="A1051" s="348"/>
      <c r="B1051" s="488"/>
      <c r="C1051" s="309"/>
      <c r="D1051" s="309"/>
      <c r="E1051" s="489"/>
      <c r="F1051" s="309"/>
      <c r="G1051" s="407"/>
      <c r="H1051" s="490"/>
      <c r="I1051" s="491"/>
      <c r="J1051" s="492"/>
      <c r="K1051" s="493"/>
      <c r="L1051" s="494"/>
      <c r="M1051" s="309"/>
      <c r="N1051" s="309"/>
      <c r="O1051" s="309"/>
      <c r="P1051" s="309"/>
      <c r="Q1051" s="309"/>
      <c r="R1051" s="309"/>
      <c r="S1051" s="309"/>
      <c r="T1051" s="309"/>
      <c r="U1051" s="309"/>
      <c r="V1051" s="309"/>
      <c r="W1051" s="309"/>
      <c r="X1051" s="309"/>
    </row>
    <row r="1052" hidden="1">
      <c r="A1052" s="348"/>
      <c r="B1052" s="488"/>
      <c r="C1052" s="309"/>
      <c r="D1052" s="309"/>
      <c r="E1052" s="489"/>
      <c r="F1052" s="309"/>
      <c r="G1052" s="407"/>
      <c r="H1052" s="490"/>
      <c r="I1052" s="491"/>
      <c r="J1052" s="492"/>
      <c r="K1052" s="493"/>
      <c r="L1052" s="494"/>
      <c r="M1052" s="309"/>
      <c r="N1052" s="309"/>
      <c r="O1052" s="309"/>
      <c r="P1052" s="309"/>
      <c r="Q1052" s="309"/>
      <c r="R1052" s="309"/>
      <c r="S1052" s="309"/>
      <c r="T1052" s="309"/>
      <c r="U1052" s="309"/>
      <c r="V1052" s="309"/>
      <c r="W1052" s="309"/>
      <c r="X1052" s="309"/>
    </row>
    <row r="1053" hidden="1">
      <c r="A1053" s="348"/>
      <c r="B1053" s="488"/>
      <c r="C1053" s="309"/>
      <c r="D1053" s="309"/>
      <c r="E1053" s="489"/>
      <c r="F1053" s="309"/>
      <c r="G1053" s="407"/>
      <c r="H1053" s="490"/>
      <c r="I1053" s="491"/>
      <c r="J1053" s="492"/>
      <c r="K1053" s="493"/>
      <c r="L1053" s="494"/>
      <c r="M1053" s="309"/>
      <c r="N1053" s="309"/>
      <c r="O1053" s="309"/>
      <c r="P1053" s="309"/>
      <c r="Q1053" s="309"/>
      <c r="R1053" s="309"/>
      <c r="S1053" s="309"/>
      <c r="T1053" s="309"/>
      <c r="U1053" s="309"/>
      <c r="V1053" s="309"/>
      <c r="W1053" s="309"/>
      <c r="X1053" s="309"/>
    </row>
    <row r="1054" hidden="1">
      <c r="A1054" s="348"/>
      <c r="B1054" s="488"/>
      <c r="C1054" s="309"/>
      <c r="D1054" s="309"/>
      <c r="E1054" s="489"/>
      <c r="F1054" s="309"/>
      <c r="G1054" s="407"/>
      <c r="H1054" s="490"/>
      <c r="I1054" s="491"/>
      <c r="J1054" s="492"/>
      <c r="K1054" s="493"/>
      <c r="L1054" s="494"/>
      <c r="M1054" s="309"/>
      <c r="N1054" s="309"/>
      <c r="O1054" s="309"/>
      <c r="P1054" s="309"/>
      <c r="Q1054" s="309"/>
      <c r="R1054" s="309"/>
      <c r="S1054" s="309"/>
      <c r="T1054" s="309"/>
      <c r="U1054" s="309"/>
      <c r="V1054" s="309"/>
      <c r="W1054" s="309"/>
      <c r="X1054" s="309"/>
    </row>
    <row r="1055" hidden="1">
      <c r="A1055" s="348"/>
      <c r="B1055" s="488"/>
      <c r="C1055" s="309"/>
      <c r="D1055" s="309"/>
      <c r="E1055" s="489"/>
      <c r="F1055" s="309"/>
      <c r="G1055" s="407"/>
      <c r="H1055" s="490"/>
      <c r="I1055" s="491"/>
      <c r="J1055" s="492"/>
      <c r="K1055" s="493"/>
      <c r="L1055" s="494"/>
      <c r="M1055" s="309"/>
      <c r="N1055" s="309"/>
      <c r="O1055" s="309"/>
      <c r="P1055" s="309"/>
      <c r="Q1055" s="309"/>
      <c r="R1055" s="309"/>
      <c r="S1055" s="309"/>
      <c r="T1055" s="309"/>
      <c r="U1055" s="309"/>
      <c r="V1055" s="309"/>
      <c r="W1055" s="309"/>
      <c r="X1055" s="309"/>
    </row>
    <row r="1056" hidden="1">
      <c r="A1056" s="348"/>
      <c r="B1056" s="488"/>
      <c r="C1056" s="309"/>
      <c r="D1056" s="309"/>
      <c r="E1056" s="489"/>
      <c r="F1056" s="309"/>
      <c r="G1056" s="407"/>
      <c r="H1056" s="490"/>
      <c r="I1056" s="491"/>
      <c r="J1056" s="492"/>
      <c r="K1056" s="493"/>
      <c r="L1056" s="494"/>
      <c r="M1056" s="309"/>
      <c r="N1056" s="309"/>
      <c r="O1056" s="309"/>
      <c r="P1056" s="309"/>
      <c r="Q1056" s="309"/>
      <c r="R1056" s="309"/>
      <c r="S1056" s="309"/>
      <c r="T1056" s="309"/>
      <c r="U1056" s="309"/>
      <c r="V1056" s="309"/>
      <c r="W1056" s="309"/>
      <c r="X1056" s="309"/>
    </row>
    <row r="1057" hidden="1">
      <c r="A1057" s="348"/>
      <c r="B1057" s="488"/>
      <c r="C1057" s="309"/>
      <c r="D1057" s="309"/>
      <c r="E1057" s="489"/>
      <c r="F1057" s="309"/>
      <c r="G1057" s="407"/>
      <c r="H1057" s="490"/>
      <c r="I1057" s="491"/>
      <c r="J1057" s="492"/>
      <c r="K1057" s="493"/>
      <c r="L1057" s="494"/>
      <c r="M1057" s="309"/>
      <c r="N1057" s="309"/>
      <c r="O1057" s="309"/>
      <c r="P1057" s="309"/>
      <c r="Q1057" s="309"/>
      <c r="R1057" s="309"/>
      <c r="S1057" s="309"/>
      <c r="T1057" s="309"/>
      <c r="U1057" s="309"/>
      <c r="V1057" s="309"/>
      <c r="W1057" s="309"/>
      <c r="X1057" s="309"/>
    </row>
    <row r="1058" hidden="1">
      <c r="A1058" s="348"/>
      <c r="B1058" s="488"/>
      <c r="C1058" s="309"/>
      <c r="D1058" s="309"/>
      <c r="E1058" s="489"/>
      <c r="F1058" s="309"/>
      <c r="G1058" s="407"/>
      <c r="H1058" s="490"/>
      <c r="I1058" s="491"/>
      <c r="J1058" s="492"/>
      <c r="K1058" s="493"/>
      <c r="L1058" s="494"/>
      <c r="M1058" s="309"/>
      <c r="N1058" s="309"/>
      <c r="O1058" s="309"/>
      <c r="P1058" s="309"/>
      <c r="Q1058" s="309"/>
      <c r="R1058" s="309"/>
      <c r="S1058" s="309"/>
      <c r="T1058" s="309"/>
      <c r="U1058" s="309"/>
      <c r="V1058" s="309"/>
      <c r="W1058" s="309"/>
      <c r="X1058" s="309"/>
    </row>
    <row r="1059" hidden="1">
      <c r="A1059" s="348"/>
      <c r="B1059" s="488"/>
      <c r="C1059" s="309"/>
      <c r="D1059" s="309"/>
      <c r="E1059" s="489"/>
      <c r="F1059" s="309"/>
      <c r="G1059" s="407"/>
      <c r="H1059" s="490"/>
      <c r="I1059" s="491"/>
      <c r="J1059" s="492"/>
      <c r="K1059" s="493"/>
      <c r="L1059" s="494"/>
      <c r="M1059" s="309"/>
      <c r="N1059" s="309"/>
      <c r="O1059" s="309"/>
      <c r="P1059" s="309"/>
      <c r="Q1059" s="309"/>
      <c r="R1059" s="309"/>
      <c r="S1059" s="309"/>
      <c r="T1059" s="309"/>
      <c r="U1059" s="309"/>
      <c r="V1059" s="309"/>
      <c r="W1059" s="309"/>
      <c r="X1059" s="309"/>
    </row>
    <row r="1060" hidden="1">
      <c r="A1060" s="348"/>
      <c r="B1060" s="488"/>
      <c r="C1060" s="309"/>
      <c r="D1060" s="309"/>
      <c r="E1060" s="489"/>
      <c r="F1060" s="309"/>
      <c r="G1060" s="407"/>
      <c r="H1060" s="490"/>
      <c r="I1060" s="491"/>
      <c r="J1060" s="492"/>
      <c r="K1060" s="493"/>
      <c r="L1060" s="494"/>
      <c r="M1060" s="309"/>
      <c r="N1060" s="309"/>
      <c r="O1060" s="309"/>
      <c r="P1060" s="309"/>
      <c r="Q1060" s="309"/>
      <c r="R1060" s="309"/>
      <c r="S1060" s="309"/>
      <c r="T1060" s="309"/>
      <c r="U1060" s="309"/>
      <c r="V1060" s="309"/>
      <c r="W1060" s="309"/>
      <c r="X1060" s="309"/>
    </row>
    <row r="1061" hidden="1">
      <c r="A1061" s="348"/>
      <c r="B1061" s="488"/>
      <c r="C1061" s="309"/>
      <c r="D1061" s="309"/>
      <c r="E1061" s="489"/>
      <c r="F1061" s="309"/>
      <c r="G1061" s="407"/>
      <c r="H1061" s="490"/>
      <c r="I1061" s="491"/>
      <c r="J1061" s="492"/>
      <c r="K1061" s="493"/>
      <c r="L1061" s="494"/>
      <c r="M1061" s="309"/>
      <c r="N1061" s="309"/>
      <c r="O1061" s="309"/>
      <c r="P1061" s="309"/>
      <c r="Q1061" s="309"/>
      <c r="R1061" s="309"/>
      <c r="S1061" s="309"/>
      <c r="T1061" s="309"/>
      <c r="U1061" s="309"/>
      <c r="V1061" s="309"/>
      <c r="W1061" s="309"/>
      <c r="X1061" s="309"/>
    </row>
    <row r="1062" hidden="1">
      <c r="A1062" s="348"/>
      <c r="B1062" s="488"/>
      <c r="C1062" s="309"/>
      <c r="D1062" s="309"/>
      <c r="E1062" s="489"/>
      <c r="F1062" s="309"/>
      <c r="G1062" s="407"/>
      <c r="H1062" s="490"/>
      <c r="I1062" s="491"/>
      <c r="J1062" s="492"/>
      <c r="K1062" s="493"/>
      <c r="L1062" s="494"/>
      <c r="M1062" s="309"/>
      <c r="N1062" s="309"/>
      <c r="O1062" s="309"/>
      <c r="P1062" s="309"/>
      <c r="Q1062" s="309"/>
      <c r="R1062" s="309"/>
      <c r="S1062" s="309"/>
      <c r="T1062" s="309"/>
      <c r="U1062" s="309"/>
      <c r="V1062" s="309"/>
      <c r="W1062" s="309"/>
      <c r="X1062" s="309"/>
    </row>
    <row r="1063" hidden="1">
      <c r="A1063" s="348"/>
      <c r="B1063" s="488"/>
      <c r="C1063" s="309"/>
      <c r="D1063" s="309"/>
      <c r="E1063" s="489"/>
      <c r="F1063" s="309"/>
      <c r="G1063" s="407"/>
      <c r="H1063" s="490"/>
      <c r="I1063" s="491"/>
      <c r="J1063" s="492"/>
      <c r="K1063" s="493"/>
      <c r="L1063" s="494"/>
      <c r="M1063" s="309"/>
      <c r="N1063" s="309"/>
      <c r="O1063" s="309"/>
      <c r="P1063" s="309"/>
      <c r="Q1063" s="309"/>
      <c r="R1063" s="309"/>
      <c r="S1063" s="309"/>
      <c r="T1063" s="309"/>
      <c r="U1063" s="309"/>
      <c r="V1063" s="309"/>
      <c r="W1063" s="309"/>
      <c r="X1063" s="309"/>
    </row>
    <row r="1064" hidden="1">
      <c r="A1064" s="348"/>
      <c r="B1064" s="488"/>
      <c r="C1064" s="309"/>
      <c r="D1064" s="309"/>
      <c r="E1064" s="489"/>
      <c r="F1064" s="309"/>
      <c r="G1064" s="407"/>
      <c r="H1064" s="490"/>
      <c r="I1064" s="491"/>
      <c r="J1064" s="492"/>
      <c r="K1064" s="493"/>
      <c r="L1064" s="494"/>
      <c r="M1064" s="309"/>
      <c r="N1064" s="309"/>
      <c r="O1064" s="309"/>
      <c r="P1064" s="309"/>
      <c r="Q1064" s="309"/>
      <c r="R1064" s="309"/>
      <c r="S1064" s="309"/>
      <c r="T1064" s="309"/>
      <c r="U1064" s="309"/>
      <c r="V1064" s="309"/>
      <c r="W1064" s="309"/>
      <c r="X1064" s="309"/>
    </row>
    <row r="1065" hidden="1">
      <c r="A1065" s="348"/>
      <c r="B1065" s="488"/>
      <c r="C1065" s="309"/>
      <c r="D1065" s="309"/>
      <c r="E1065" s="489"/>
      <c r="F1065" s="309"/>
      <c r="G1065" s="407"/>
      <c r="H1065" s="490"/>
      <c r="I1065" s="491"/>
      <c r="J1065" s="492"/>
      <c r="K1065" s="493"/>
      <c r="L1065" s="494"/>
      <c r="M1065" s="309"/>
      <c r="N1065" s="309"/>
      <c r="O1065" s="309"/>
      <c r="P1065" s="309"/>
      <c r="Q1065" s="309"/>
      <c r="R1065" s="309"/>
      <c r="S1065" s="309"/>
      <c r="T1065" s="309"/>
      <c r="U1065" s="309"/>
      <c r="V1065" s="309"/>
      <c r="W1065" s="309"/>
      <c r="X1065" s="309"/>
    </row>
    <row r="1066" hidden="1">
      <c r="A1066" s="348"/>
      <c r="B1066" s="488"/>
      <c r="C1066" s="309"/>
      <c r="D1066" s="309"/>
      <c r="E1066" s="489"/>
      <c r="F1066" s="309"/>
      <c r="G1066" s="407"/>
      <c r="H1066" s="490"/>
      <c r="I1066" s="491"/>
      <c r="J1066" s="492"/>
      <c r="K1066" s="493"/>
      <c r="L1066" s="494"/>
      <c r="M1066" s="309"/>
      <c r="N1066" s="309"/>
      <c r="O1066" s="309"/>
      <c r="P1066" s="309"/>
      <c r="Q1066" s="309"/>
      <c r="R1066" s="309"/>
      <c r="S1066" s="309"/>
      <c r="T1066" s="309"/>
      <c r="U1066" s="309"/>
      <c r="V1066" s="309"/>
      <c r="W1066" s="309"/>
      <c r="X1066" s="309"/>
    </row>
    <row r="1067" hidden="1">
      <c r="A1067" s="348"/>
      <c r="B1067" s="488"/>
      <c r="C1067" s="309"/>
      <c r="D1067" s="309"/>
      <c r="E1067" s="489"/>
      <c r="F1067" s="309"/>
      <c r="G1067" s="407"/>
      <c r="H1067" s="490"/>
      <c r="I1067" s="491"/>
      <c r="J1067" s="492"/>
      <c r="K1067" s="493"/>
      <c r="L1067" s="494"/>
      <c r="M1067" s="309"/>
      <c r="N1067" s="309"/>
      <c r="O1067" s="309"/>
      <c r="P1067" s="309"/>
      <c r="Q1067" s="309"/>
      <c r="R1067" s="309"/>
      <c r="S1067" s="309"/>
      <c r="T1067" s="309"/>
      <c r="U1067" s="309"/>
      <c r="V1067" s="309"/>
      <c r="W1067" s="309"/>
      <c r="X1067" s="309"/>
    </row>
    <row r="1068" hidden="1">
      <c r="A1068" s="348"/>
      <c r="B1068" s="488"/>
      <c r="C1068" s="309"/>
      <c r="D1068" s="309"/>
      <c r="E1068" s="489"/>
      <c r="F1068" s="309"/>
      <c r="G1068" s="407"/>
      <c r="H1068" s="490"/>
      <c r="I1068" s="491"/>
      <c r="J1068" s="492"/>
      <c r="K1068" s="493"/>
      <c r="L1068" s="494"/>
      <c r="M1068" s="309"/>
      <c r="N1068" s="309"/>
      <c r="O1068" s="309"/>
      <c r="P1068" s="309"/>
      <c r="Q1068" s="309"/>
      <c r="R1068" s="309"/>
      <c r="S1068" s="309"/>
      <c r="T1068" s="309"/>
      <c r="U1068" s="309"/>
      <c r="V1068" s="309"/>
      <c r="W1068" s="309"/>
      <c r="X1068" s="309"/>
    </row>
    <row r="1069" hidden="1">
      <c r="A1069" s="348"/>
      <c r="B1069" s="488"/>
      <c r="C1069" s="309"/>
      <c r="D1069" s="309"/>
      <c r="E1069" s="489"/>
      <c r="F1069" s="309"/>
      <c r="G1069" s="407"/>
      <c r="H1069" s="490"/>
      <c r="I1069" s="491"/>
      <c r="J1069" s="492"/>
      <c r="K1069" s="493"/>
      <c r="L1069" s="494"/>
      <c r="M1069" s="309"/>
      <c r="N1069" s="309"/>
      <c r="O1069" s="309"/>
      <c r="P1069" s="309"/>
      <c r="Q1069" s="309"/>
      <c r="R1069" s="309"/>
      <c r="S1069" s="309"/>
      <c r="T1069" s="309"/>
      <c r="U1069" s="309"/>
      <c r="V1069" s="309"/>
      <c r="W1069" s="309"/>
      <c r="X1069" s="309"/>
    </row>
    <row r="1070" hidden="1">
      <c r="A1070" s="348"/>
      <c r="B1070" s="488"/>
      <c r="C1070" s="309"/>
      <c r="D1070" s="309"/>
      <c r="E1070" s="489"/>
      <c r="F1070" s="309"/>
      <c r="G1070" s="407"/>
      <c r="H1070" s="490"/>
      <c r="I1070" s="491"/>
      <c r="J1070" s="492"/>
      <c r="K1070" s="493"/>
      <c r="L1070" s="494"/>
      <c r="M1070" s="309"/>
      <c r="N1070" s="309"/>
      <c r="O1070" s="309"/>
      <c r="P1070" s="309"/>
      <c r="Q1070" s="309"/>
      <c r="R1070" s="309"/>
      <c r="S1070" s="309"/>
      <c r="T1070" s="309"/>
      <c r="U1070" s="309"/>
      <c r="V1070" s="309"/>
      <c r="W1070" s="309"/>
      <c r="X1070" s="309"/>
    </row>
    <row r="1071" hidden="1">
      <c r="A1071" s="348"/>
      <c r="B1071" s="488"/>
      <c r="C1071" s="309"/>
      <c r="D1071" s="309"/>
      <c r="E1071" s="489"/>
      <c r="F1071" s="309"/>
      <c r="G1071" s="407"/>
      <c r="H1071" s="490"/>
      <c r="I1071" s="491"/>
      <c r="J1071" s="492"/>
      <c r="K1071" s="493"/>
      <c r="L1071" s="494"/>
      <c r="M1071" s="309"/>
      <c r="N1071" s="309"/>
      <c r="O1071" s="309"/>
      <c r="P1071" s="309"/>
      <c r="Q1071" s="309"/>
      <c r="R1071" s="309"/>
      <c r="S1071" s="309"/>
      <c r="T1071" s="309"/>
      <c r="U1071" s="309"/>
      <c r="V1071" s="309"/>
      <c r="W1071" s="309"/>
      <c r="X1071" s="309"/>
    </row>
    <row r="1072" hidden="1">
      <c r="A1072" s="348"/>
      <c r="B1072" s="488"/>
      <c r="C1072" s="309"/>
      <c r="D1072" s="309"/>
      <c r="E1072" s="489"/>
      <c r="F1072" s="309"/>
      <c r="G1072" s="407"/>
      <c r="H1072" s="490"/>
      <c r="I1072" s="491"/>
      <c r="J1072" s="492"/>
      <c r="K1072" s="493"/>
      <c r="L1072" s="494"/>
      <c r="M1072" s="309"/>
      <c r="N1072" s="309"/>
      <c r="O1072" s="309"/>
      <c r="P1072" s="309"/>
      <c r="Q1072" s="309"/>
      <c r="R1072" s="309"/>
      <c r="S1072" s="309"/>
      <c r="T1072" s="309"/>
      <c r="U1072" s="309"/>
      <c r="V1072" s="309"/>
      <c r="W1072" s="309"/>
      <c r="X1072" s="309"/>
    </row>
    <row r="1073" hidden="1">
      <c r="A1073" s="348"/>
      <c r="B1073" s="488"/>
      <c r="C1073" s="309"/>
      <c r="D1073" s="309"/>
      <c r="E1073" s="489"/>
      <c r="F1073" s="309"/>
      <c r="G1073" s="407"/>
      <c r="H1073" s="490"/>
      <c r="I1073" s="491"/>
      <c r="J1073" s="492"/>
      <c r="K1073" s="493"/>
      <c r="L1073" s="494"/>
      <c r="M1073" s="309"/>
      <c r="N1073" s="309"/>
      <c r="O1073" s="309"/>
      <c r="P1073" s="309"/>
      <c r="Q1073" s="309"/>
      <c r="R1073" s="309"/>
      <c r="S1073" s="309"/>
      <c r="T1073" s="309"/>
      <c r="U1073" s="309"/>
      <c r="V1073" s="309"/>
      <c r="W1073" s="309"/>
      <c r="X1073" s="309"/>
    </row>
    <row r="1074" hidden="1">
      <c r="A1074" s="348"/>
      <c r="B1074" s="488"/>
      <c r="C1074" s="309"/>
      <c r="D1074" s="309"/>
      <c r="E1074" s="489"/>
      <c r="F1074" s="309"/>
      <c r="G1074" s="407"/>
      <c r="H1074" s="490"/>
      <c r="I1074" s="491"/>
      <c r="J1074" s="492"/>
      <c r="K1074" s="493"/>
      <c r="L1074" s="494"/>
      <c r="M1074" s="309"/>
      <c r="N1074" s="309"/>
      <c r="O1074" s="309"/>
      <c r="P1074" s="309"/>
      <c r="Q1074" s="309"/>
      <c r="R1074" s="309"/>
      <c r="S1074" s="309"/>
      <c r="T1074" s="309"/>
      <c r="U1074" s="309"/>
      <c r="V1074" s="309"/>
      <c r="W1074" s="309"/>
      <c r="X1074" s="309"/>
    </row>
    <row r="1075" hidden="1">
      <c r="A1075" s="348"/>
      <c r="B1075" s="488"/>
      <c r="C1075" s="309"/>
      <c r="D1075" s="309"/>
      <c r="E1075" s="489"/>
      <c r="F1075" s="309"/>
      <c r="G1075" s="407"/>
      <c r="H1075" s="490"/>
      <c r="I1075" s="491"/>
      <c r="J1075" s="492"/>
      <c r="K1075" s="493"/>
      <c r="L1075" s="494"/>
      <c r="M1075" s="309"/>
      <c r="N1075" s="309"/>
      <c r="O1075" s="309"/>
      <c r="P1075" s="309"/>
      <c r="Q1075" s="309"/>
      <c r="R1075" s="309"/>
      <c r="S1075" s="309"/>
      <c r="T1075" s="309"/>
      <c r="U1075" s="309"/>
      <c r="V1075" s="309"/>
      <c r="W1075" s="309"/>
      <c r="X1075" s="309"/>
    </row>
    <row r="1076" hidden="1">
      <c r="A1076" s="348"/>
      <c r="B1076" s="488"/>
      <c r="C1076" s="309"/>
      <c r="D1076" s="309"/>
      <c r="E1076" s="489"/>
      <c r="F1076" s="309"/>
      <c r="G1076" s="407"/>
      <c r="H1076" s="490"/>
      <c r="I1076" s="491"/>
      <c r="J1076" s="492"/>
      <c r="K1076" s="493"/>
      <c r="L1076" s="494"/>
      <c r="M1076" s="309"/>
      <c r="N1076" s="309"/>
      <c r="O1076" s="309"/>
      <c r="P1076" s="309"/>
      <c r="Q1076" s="309"/>
      <c r="R1076" s="309"/>
      <c r="S1076" s="309"/>
      <c r="T1076" s="309"/>
      <c r="U1076" s="309"/>
      <c r="V1076" s="309"/>
      <c r="W1076" s="309"/>
      <c r="X1076" s="309"/>
    </row>
    <row r="1077" hidden="1">
      <c r="A1077" s="348"/>
      <c r="B1077" s="488"/>
      <c r="C1077" s="309"/>
      <c r="D1077" s="309"/>
      <c r="E1077" s="489"/>
      <c r="F1077" s="309"/>
      <c r="G1077" s="407"/>
      <c r="H1077" s="490"/>
      <c r="I1077" s="491"/>
      <c r="J1077" s="492"/>
      <c r="K1077" s="493"/>
      <c r="L1077" s="494"/>
      <c r="M1077" s="309"/>
      <c r="N1077" s="309"/>
      <c r="O1077" s="309"/>
      <c r="P1077" s="309"/>
      <c r="Q1077" s="309"/>
      <c r="R1077" s="309"/>
      <c r="S1077" s="309"/>
      <c r="T1077" s="309"/>
      <c r="U1077" s="309"/>
      <c r="V1077" s="309"/>
      <c r="W1077" s="309"/>
      <c r="X1077" s="309"/>
    </row>
    <row r="1078" hidden="1">
      <c r="A1078" s="348"/>
      <c r="B1078" s="488"/>
      <c r="C1078" s="309"/>
      <c r="D1078" s="309"/>
      <c r="E1078" s="489"/>
      <c r="F1078" s="309"/>
      <c r="G1078" s="407"/>
      <c r="H1078" s="490"/>
      <c r="I1078" s="491"/>
      <c r="J1078" s="492"/>
      <c r="K1078" s="493"/>
      <c r="L1078" s="494"/>
      <c r="M1078" s="309"/>
      <c r="N1078" s="309"/>
      <c r="O1078" s="309"/>
      <c r="P1078" s="309"/>
      <c r="Q1078" s="309"/>
      <c r="R1078" s="309"/>
      <c r="S1078" s="309"/>
      <c r="T1078" s="309"/>
      <c r="U1078" s="309"/>
      <c r="V1078" s="309"/>
      <c r="W1078" s="309"/>
      <c r="X1078" s="309"/>
    </row>
    <row r="1079" hidden="1">
      <c r="A1079" s="348"/>
      <c r="B1079" s="488"/>
      <c r="C1079" s="309"/>
      <c r="D1079" s="309"/>
      <c r="E1079" s="489"/>
      <c r="F1079" s="309"/>
      <c r="G1079" s="407"/>
      <c r="H1079" s="490"/>
      <c r="I1079" s="491"/>
      <c r="J1079" s="492"/>
      <c r="K1079" s="493"/>
      <c r="L1079" s="494"/>
      <c r="M1079" s="309"/>
      <c r="N1079" s="309"/>
      <c r="O1079" s="309"/>
      <c r="P1079" s="309"/>
      <c r="Q1079" s="309"/>
      <c r="R1079" s="309"/>
      <c r="S1079" s="309"/>
      <c r="T1079" s="309"/>
      <c r="U1079" s="309"/>
      <c r="V1079" s="309"/>
      <c r="W1079" s="309"/>
      <c r="X1079" s="309"/>
    </row>
    <row r="1080" hidden="1">
      <c r="A1080" s="348"/>
      <c r="B1080" s="488"/>
      <c r="C1080" s="309"/>
      <c r="D1080" s="309"/>
      <c r="E1080" s="489"/>
      <c r="F1080" s="309"/>
      <c r="G1080" s="407"/>
      <c r="H1080" s="490"/>
      <c r="I1080" s="491"/>
      <c r="J1080" s="492"/>
      <c r="K1080" s="493"/>
      <c r="L1080" s="494"/>
      <c r="M1080" s="309"/>
      <c r="N1080" s="309"/>
      <c r="O1080" s="309"/>
      <c r="P1080" s="309"/>
      <c r="Q1080" s="309"/>
      <c r="R1080" s="309"/>
      <c r="S1080" s="309"/>
      <c r="T1080" s="309"/>
      <c r="U1080" s="309"/>
      <c r="V1080" s="309"/>
      <c r="W1080" s="309"/>
      <c r="X1080" s="309"/>
    </row>
    <row r="1081" hidden="1">
      <c r="A1081" s="348"/>
      <c r="B1081" s="488"/>
      <c r="C1081" s="309"/>
      <c r="D1081" s="309"/>
      <c r="E1081" s="489"/>
      <c r="F1081" s="309"/>
      <c r="G1081" s="407"/>
      <c r="H1081" s="490"/>
      <c r="I1081" s="491"/>
      <c r="J1081" s="492"/>
      <c r="K1081" s="493"/>
      <c r="L1081" s="494"/>
      <c r="M1081" s="309"/>
      <c r="N1081" s="309"/>
      <c r="O1081" s="309"/>
      <c r="P1081" s="309"/>
      <c r="Q1081" s="309"/>
      <c r="R1081" s="309"/>
      <c r="S1081" s="309"/>
      <c r="T1081" s="309"/>
      <c r="U1081" s="309"/>
      <c r="V1081" s="309"/>
      <c r="W1081" s="309"/>
      <c r="X1081" s="309"/>
    </row>
    <row r="1082" hidden="1">
      <c r="A1082" s="348"/>
      <c r="B1082" s="488"/>
      <c r="C1082" s="309"/>
      <c r="D1082" s="309"/>
      <c r="E1082" s="489"/>
      <c r="F1082" s="309"/>
      <c r="G1082" s="407"/>
      <c r="H1082" s="490"/>
      <c r="I1082" s="491"/>
      <c r="J1082" s="492"/>
      <c r="K1082" s="493"/>
      <c r="L1082" s="494"/>
      <c r="M1082" s="309"/>
      <c r="N1082" s="309"/>
      <c r="O1082" s="309"/>
      <c r="P1082" s="309"/>
      <c r="Q1082" s="309"/>
      <c r="R1082" s="309"/>
      <c r="S1082" s="309"/>
      <c r="T1082" s="309"/>
      <c r="U1082" s="309"/>
      <c r="V1082" s="309"/>
      <c r="W1082" s="309"/>
      <c r="X1082" s="309"/>
    </row>
    <row r="1083" hidden="1">
      <c r="A1083" s="348"/>
      <c r="B1083" s="488"/>
      <c r="C1083" s="309"/>
      <c r="D1083" s="309"/>
      <c r="E1083" s="489"/>
      <c r="F1083" s="309"/>
      <c r="G1083" s="407"/>
      <c r="H1083" s="490"/>
      <c r="I1083" s="491"/>
      <c r="J1083" s="492"/>
      <c r="K1083" s="493"/>
      <c r="L1083" s="494"/>
      <c r="M1083" s="309"/>
      <c r="N1083" s="309"/>
      <c r="O1083" s="309"/>
      <c r="P1083" s="309"/>
      <c r="Q1083" s="309"/>
      <c r="R1083" s="309"/>
      <c r="S1083" s="309"/>
      <c r="T1083" s="309"/>
      <c r="U1083" s="309"/>
      <c r="V1083" s="309"/>
      <c r="W1083" s="309"/>
      <c r="X1083" s="309"/>
    </row>
    <row r="1084" hidden="1">
      <c r="A1084" s="348"/>
      <c r="B1084" s="488"/>
      <c r="C1084" s="309"/>
      <c r="D1084" s="309"/>
      <c r="E1084" s="489"/>
      <c r="F1084" s="309"/>
      <c r="G1084" s="407"/>
      <c r="H1084" s="490"/>
      <c r="I1084" s="491"/>
      <c r="J1084" s="492"/>
      <c r="K1084" s="493"/>
      <c r="L1084" s="494"/>
      <c r="M1084" s="309"/>
      <c r="N1084" s="309"/>
      <c r="O1084" s="309"/>
      <c r="P1084" s="309"/>
      <c r="Q1084" s="309"/>
      <c r="R1084" s="309"/>
      <c r="S1084" s="309"/>
      <c r="T1084" s="309"/>
      <c r="U1084" s="309"/>
      <c r="V1084" s="309"/>
      <c r="W1084" s="309"/>
      <c r="X1084" s="309"/>
    </row>
    <row r="1085" hidden="1">
      <c r="A1085" s="348"/>
      <c r="B1085" s="488"/>
      <c r="C1085" s="309"/>
      <c r="D1085" s="309"/>
      <c r="E1085" s="489"/>
      <c r="F1085" s="309"/>
      <c r="G1085" s="407"/>
      <c r="H1085" s="490"/>
      <c r="I1085" s="491"/>
      <c r="J1085" s="492"/>
      <c r="K1085" s="493"/>
      <c r="L1085" s="494"/>
      <c r="M1085" s="309"/>
      <c r="N1085" s="309"/>
      <c r="O1085" s="309"/>
      <c r="P1085" s="309"/>
      <c r="Q1085" s="309"/>
      <c r="R1085" s="309"/>
      <c r="S1085" s="309"/>
      <c r="T1085" s="309"/>
      <c r="U1085" s="309"/>
      <c r="V1085" s="309"/>
      <c r="W1085" s="309"/>
      <c r="X1085" s="309"/>
    </row>
    <row r="1086" hidden="1">
      <c r="A1086" s="348"/>
      <c r="B1086" s="488"/>
      <c r="C1086" s="309"/>
      <c r="D1086" s="309"/>
      <c r="E1086" s="489"/>
      <c r="F1086" s="309"/>
      <c r="G1086" s="407"/>
      <c r="H1086" s="490"/>
      <c r="I1086" s="491"/>
      <c r="J1086" s="492"/>
      <c r="K1086" s="493"/>
      <c r="L1086" s="494"/>
      <c r="M1086" s="309"/>
      <c r="N1086" s="309"/>
      <c r="O1086" s="309"/>
      <c r="P1086" s="309"/>
      <c r="Q1086" s="309"/>
      <c r="R1086" s="309"/>
      <c r="S1086" s="309"/>
      <c r="T1086" s="309"/>
      <c r="U1086" s="309"/>
      <c r="V1086" s="309"/>
      <c r="W1086" s="309"/>
      <c r="X1086" s="309"/>
    </row>
    <row r="1087" hidden="1">
      <c r="A1087" s="348"/>
      <c r="B1087" s="488"/>
      <c r="C1087" s="309"/>
      <c r="D1087" s="309"/>
      <c r="E1087" s="489"/>
      <c r="F1087" s="309"/>
      <c r="G1087" s="407"/>
      <c r="H1087" s="490"/>
      <c r="I1087" s="491"/>
      <c r="J1087" s="492"/>
      <c r="K1087" s="493"/>
      <c r="L1087" s="494"/>
      <c r="M1087" s="309"/>
      <c r="N1087" s="309"/>
      <c r="O1087" s="309"/>
      <c r="P1087" s="309"/>
      <c r="Q1087" s="309"/>
      <c r="R1087" s="309"/>
      <c r="S1087" s="309"/>
      <c r="T1087" s="309"/>
      <c r="U1087" s="309"/>
      <c r="V1087" s="309"/>
      <c r="W1087" s="309"/>
      <c r="X1087" s="309"/>
    </row>
    <row r="1088" hidden="1">
      <c r="A1088" s="348"/>
      <c r="B1088" s="488"/>
      <c r="C1088" s="309"/>
      <c r="D1088" s="309"/>
      <c r="E1088" s="489"/>
      <c r="F1088" s="309"/>
      <c r="G1088" s="407"/>
      <c r="H1088" s="490"/>
      <c r="I1088" s="491"/>
      <c r="J1088" s="492"/>
      <c r="K1088" s="493"/>
      <c r="L1088" s="494"/>
      <c r="M1088" s="309"/>
      <c r="N1088" s="309"/>
      <c r="O1088" s="309"/>
      <c r="P1088" s="309"/>
      <c r="Q1088" s="309"/>
      <c r="R1088" s="309"/>
      <c r="S1088" s="309"/>
      <c r="T1088" s="309"/>
      <c r="U1088" s="309"/>
      <c r="V1088" s="309"/>
      <c r="W1088" s="309"/>
      <c r="X1088" s="309"/>
    </row>
    <row r="1089" hidden="1">
      <c r="A1089" s="348"/>
      <c r="B1089" s="488"/>
      <c r="C1089" s="309"/>
      <c r="D1089" s="309"/>
      <c r="E1089" s="489"/>
      <c r="F1089" s="309"/>
      <c r="G1089" s="407"/>
      <c r="H1089" s="490"/>
      <c r="I1089" s="491"/>
      <c r="J1089" s="492"/>
      <c r="K1089" s="493"/>
      <c r="L1089" s="494"/>
      <c r="M1089" s="309"/>
      <c r="N1089" s="309"/>
      <c r="O1089" s="309"/>
      <c r="P1089" s="309"/>
      <c r="Q1089" s="309"/>
      <c r="R1089" s="309"/>
      <c r="S1089" s="309"/>
      <c r="T1089" s="309"/>
      <c r="U1089" s="309"/>
      <c r="V1089" s="309"/>
      <c r="W1089" s="309"/>
      <c r="X1089" s="309"/>
    </row>
    <row r="1090" hidden="1">
      <c r="A1090" s="348"/>
      <c r="B1090" s="488"/>
      <c r="C1090" s="309"/>
      <c r="D1090" s="309"/>
      <c r="E1090" s="489"/>
      <c r="F1090" s="309"/>
      <c r="G1090" s="407"/>
      <c r="H1090" s="490"/>
      <c r="I1090" s="491"/>
      <c r="J1090" s="492"/>
      <c r="K1090" s="493"/>
      <c r="L1090" s="494"/>
      <c r="M1090" s="309"/>
      <c r="N1090" s="309"/>
      <c r="O1090" s="309"/>
      <c r="P1090" s="309"/>
      <c r="Q1090" s="309"/>
      <c r="R1090" s="309"/>
      <c r="S1090" s="309"/>
      <c r="T1090" s="309"/>
      <c r="U1090" s="309"/>
      <c r="V1090" s="309"/>
      <c r="W1090" s="309"/>
      <c r="X1090" s="309"/>
    </row>
    <row r="1091" hidden="1">
      <c r="A1091" s="348"/>
      <c r="B1091" s="488"/>
      <c r="C1091" s="309"/>
      <c r="D1091" s="309"/>
      <c r="E1091" s="489"/>
      <c r="F1091" s="309"/>
      <c r="G1091" s="407"/>
      <c r="H1091" s="490"/>
      <c r="I1091" s="491"/>
      <c r="J1091" s="492"/>
      <c r="K1091" s="493"/>
      <c r="L1091" s="494"/>
      <c r="M1091" s="309"/>
      <c r="N1091" s="309"/>
      <c r="O1091" s="309"/>
      <c r="P1091" s="309"/>
      <c r="Q1091" s="309"/>
      <c r="R1091" s="309"/>
      <c r="S1091" s="309"/>
      <c r="T1091" s="309"/>
      <c r="U1091" s="309"/>
      <c r="V1091" s="309"/>
      <c r="W1091" s="309"/>
      <c r="X1091" s="309"/>
    </row>
    <row r="1092" hidden="1">
      <c r="A1092" s="348"/>
      <c r="B1092" s="488"/>
      <c r="C1092" s="309"/>
      <c r="D1092" s="309"/>
      <c r="E1092" s="489"/>
      <c r="F1092" s="309"/>
      <c r="G1092" s="407"/>
      <c r="H1092" s="490"/>
      <c r="I1092" s="491"/>
      <c r="J1092" s="492"/>
      <c r="K1092" s="493"/>
      <c r="L1092" s="494"/>
      <c r="M1092" s="309"/>
      <c r="N1092" s="309"/>
      <c r="O1092" s="309"/>
      <c r="P1092" s="309"/>
      <c r="Q1092" s="309"/>
      <c r="R1092" s="309"/>
      <c r="S1092" s="309"/>
      <c r="T1092" s="309"/>
      <c r="U1092" s="309"/>
      <c r="V1092" s="309"/>
      <c r="W1092" s="309"/>
      <c r="X1092" s="309"/>
    </row>
    <row r="1093" hidden="1">
      <c r="A1093" s="348"/>
      <c r="B1093" s="488"/>
      <c r="C1093" s="309"/>
      <c r="D1093" s="309"/>
      <c r="E1093" s="489"/>
      <c r="F1093" s="309"/>
      <c r="G1093" s="407"/>
      <c r="H1093" s="490"/>
      <c r="I1093" s="491"/>
      <c r="J1093" s="492"/>
      <c r="K1093" s="493"/>
      <c r="L1093" s="494"/>
      <c r="M1093" s="309"/>
      <c r="N1093" s="309"/>
      <c r="O1093" s="309"/>
      <c r="P1093" s="309"/>
      <c r="Q1093" s="309"/>
      <c r="R1093" s="309"/>
      <c r="S1093" s="309"/>
      <c r="T1093" s="309"/>
      <c r="U1093" s="309"/>
      <c r="V1093" s="309"/>
      <c r="W1093" s="309"/>
      <c r="X1093" s="309"/>
    </row>
    <row r="1094" hidden="1">
      <c r="A1094" s="348"/>
      <c r="B1094" s="488"/>
      <c r="C1094" s="309"/>
      <c r="D1094" s="309"/>
      <c r="E1094" s="489"/>
      <c r="F1094" s="309"/>
      <c r="G1094" s="407"/>
      <c r="H1094" s="490"/>
      <c r="I1094" s="491"/>
      <c r="J1094" s="492"/>
      <c r="K1094" s="493"/>
      <c r="L1094" s="494"/>
      <c r="M1094" s="309"/>
      <c r="N1094" s="309"/>
      <c r="O1094" s="309"/>
      <c r="P1094" s="309"/>
      <c r="Q1094" s="309"/>
      <c r="R1094" s="309"/>
      <c r="S1094" s="309"/>
      <c r="T1094" s="309"/>
      <c r="U1094" s="309"/>
      <c r="V1094" s="309"/>
      <c r="W1094" s="309"/>
      <c r="X1094" s="309"/>
    </row>
    <row r="1095" hidden="1">
      <c r="A1095" s="348"/>
      <c r="B1095" s="488"/>
      <c r="C1095" s="309"/>
      <c r="D1095" s="309"/>
      <c r="E1095" s="489"/>
      <c r="F1095" s="309"/>
      <c r="G1095" s="407"/>
      <c r="H1095" s="490"/>
      <c r="I1095" s="491"/>
      <c r="J1095" s="492"/>
      <c r="K1095" s="493"/>
      <c r="L1095" s="494"/>
      <c r="M1095" s="309"/>
      <c r="N1095" s="309"/>
      <c r="O1095" s="309"/>
      <c r="P1095" s="309"/>
      <c r="Q1095" s="309"/>
      <c r="R1095" s="309"/>
      <c r="S1095" s="309"/>
      <c r="T1095" s="309"/>
      <c r="U1095" s="309"/>
      <c r="V1095" s="309"/>
      <c r="W1095" s="309"/>
      <c r="X1095" s="309"/>
    </row>
    <row r="1096" hidden="1">
      <c r="A1096" s="348"/>
      <c r="B1096" s="488"/>
      <c r="C1096" s="309"/>
      <c r="D1096" s="309"/>
      <c r="E1096" s="489"/>
      <c r="F1096" s="309"/>
      <c r="G1096" s="407"/>
      <c r="H1096" s="490"/>
      <c r="I1096" s="491"/>
      <c r="J1096" s="492"/>
      <c r="K1096" s="493"/>
      <c r="L1096" s="494"/>
      <c r="M1096" s="309"/>
      <c r="N1096" s="309"/>
      <c r="O1096" s="309"/>
      <c r="P1096" s="309"/>
      <c r="Q1096" s="309"/>
      <c r="R1096" s="309"/>
      <c r="S1096" s="309"/>
      <c r="T1096" s="309"/>
      <c r="U1096" s="309"/>
      <c r="V1096" s="309"/>
      <c r="W1096" s="309"/>
      <c r="X1096" s="309"/>
    </row>
    <row r="1097" hidden="1">
      <c r="A1097" s="348"/>
      <c r="B1097" s="488"/>
      <c r="C1097" s="309"/>
      <c r="D1097" s="309"/>
      <c r="E1097" s="489"/>
      <c r="F1097" s="309"/>
      <c r="G1097" s="407"/>
      <c r="H1097" s="490"/>
      <c r="I1097" s="491"/>
      <c r="J1097" s="492"/>
      <c r="K1097" s="493"/>
      <c r="L1097" s="494"/>
      <c r="M1097" s="309"/>
      <c r="N1097" s="309"/>
      <c r="O1097" s="309"/>
      <c r="P1097" s="309"/>
      <c r="Q1097" s="309"/>
      <c r="R1097" s="309"/>
      <c r="S1097" s="309"/>
      <c r="T1097" s="309"/>
      <c r="U1097" s="309"/>
      <c r="V1097" s="309"/>
      <c r="W1097" s="309"/>
      <c r="X1097" s="309"/>
    </row>
    <row r="1098" hidden="1">
      <c r="A1098" s="348"/>
      <c r="B1098" s="488"/>
      <c r="C1098" s="309"/>
      <c r="D1098" s="309"/>
      <c r="E1098" s="489"/>
      <c r="F1098" s="309"/>
      <c r="G1098" s="407"/>
      <c r="H1098" s="490"/>
      <c r="I1098" s="491"/>
      <c r="J1098" s="492"/>
      <c r="K1098" s="493"/>
      <c r="L1098" s="494"/>
      <c r="M1098" s="309"/>
      <c r="N1098" s="309"/>
      <c r="O1098" s="309"/>
      <c r="P1098" s="309"/>
      <c r="Q1098" s="309"/>
      <c r="R1098" s="309"/>
      <c r="S1098" s="309"/>
      <c r="T1098" s="309"/>
      <c r="U1098" s="309"/>
      <c r="V1098" s="309"/>
      <c r="W1098" s="309"/>
      <c r="X1098" s="309"/>
    </row>
    <row r="1099" hidden="1">
      <c r="A1099" s="348"/>
      <c r="B1099" s="488"/>
      <c r="C1099" s="309"/>
      <c r="D1099" s="309"/>
      <c r="E1099" s="489"/>
      <c r="F1099" s="309"/>
      <c r="G1099" s="407"/>
      <c r="H1099" s="490"/>
      <c r="I1099" s="491"/>
      <c r="J1099" s="492"/>
      <c r="K1099" s="493"/>
      <c r="L1099" s="494"/>
      <c r="M1099" s="309"/>
      <c r="N1099" s="309"/>
      <c r="O1099" s="309"/>
      <c r="P1099" s="309"/>
      <c r="Q1099" s="309"/>
      <c r="R1099" s="309"/>
      <c r="S1099" s="309"/>
      <c r="T1099" s="309"/>
      <c r="U1099" s="309"/>
      <c r="V1099" s="309"/>
      <c r="W1099" s="309"/>
      <c r="X1099" s="309"/>
    </row>
    <row r="1100" hidden="1">
      <c r="A1100" s="348"/>
      <c r="B1100" s="488"/>
      <c r="C1100" s="309"/>
      <c r="D1100" s="309"/>
      <c r="E1100" s="489"/>
      <c r="F1100" s="309"/>
      <c r="G1100" s="407"/>
      <c r="H1100" s="490"/>
      <c r="I1100" s="491"/>
      <c r="J1100" s="492"/>
      <c r="K1100" s="493"/>
      <c r="L1100" s="494"/>
      <c r="M1100" s="309"/>
      <c r="N1100" s="309"/>
      <c r="O1100" s="309"/>
      <c r="P1100" s="309"/>
      <c r="Q1100" s="309"/>
      <c r="R1100" s="309"/>
      <c r="S1100" s="309"/>
      <c r="T1100" s="309"/>
      <c r="U1100" s="309"/>
      <c r="V1100" s="309"/>
      <c r="W1100" s="309"/>
      <c r="X1100" s="309"/>
    </row>
    <row r="1101" hidden="1">
      <c r="A1101" s="348"/>
      <c r="B1101" s="488"/>
      <c r="C1101" s="309"/>
      <c r="D1101" s="309"/>
      <c r="E1101" s="489"/>
      <c r="F1101" s="309"/>
      <c r="G1101" s="407"/>
      <c r="H1101" s="490"/>
      <c r="I1101" s="491"/>
      <c r="J1101" s="492"/>
      <c r="K1101" s="493"/>
      <c r="L1101" s="494"/>
      <c r="M1101" s="309"/>
      <c r="N1101" s="309"/>
      <c r="O1101" s="309"/>
      <c r="P1101" s="309"/>
      <c r="Q1101" s="309"/>
      <c r="R1101" s="309"/>
      <c r="S1101" s="309"/>
      <c r="T1101" s="309"/>
      <c r="U1101" s="309"/>
      <c r="V1101" s="309"/>
      <c r="W1101" s="309"/>
      <c r="X1101" s="309"/>
    </row>
    <row r="1102" hidden="1">
      <c r="A1102" s="348"/>
      <c r="B1102" s="488"/>
      <c r="C1102" s="309"/>
      <c r="D1102" s="309"/>
      <c r="E1102" s="489"/>
      <c r="F1102" s="309"/>
      <c r="G1102" s="407"/>
      <c r="H1102" s="490"/>
      <c r="I1102" s="491"/>
      <c r="J1102" s="492"/>
      <c r="K1102" s="493"/>
      <c r="L1102" s="494"/>
      <c r="M1102" s="309"/>
      <c r="N1102" s="309"/>
      <c r="O1102" s="309"/>
      <c r="P1102" s="309"/>
      <c r="Q1102" s="309"/>
      <c r="R1102" s="309"/>
      <c r="S1102" s="309"/>
      <c r="T1102" s="309"/>
      <c r="U1102" s="309"/>
      <c r="V1102" s="309"/>
      <c r="W1102" s="309"/>
      <c r="X1102" s="309"/>
    </row>
    <row r="1103" hidden="1">
      <c r="A1103" s="348"/>
      <c r="B1103" s="488"/>
      <c r="C1103" s="309"/>
      <c r="D1103" s="309"/>
      <c r="E1103" s="489"/>
      <c r="F1103" s="309"/>
      <c r="G1103" s="407"/>
      <c r="H1103" s="490"/>
      <c r="I1103" s="491"/>
      <c r="J1103" s="492"/>
      <c r="K1103" s="493"/>
      <c r="L1103" s="494"/>
      <c r="M1103" s="309"/>
      <c r="N1103" s="309"/>
      <c r="O1103" s="309"/>
      <c r="P1103" s="309"/>
      <c r="Q1103" s="309"/>
      <c r="R1103" s="309"/>
      <c r="S1103" s="309"/>
      <c r="T1103" s="309"/>
      <c r="U1103" s="309"/>
      <c r="V1103" s="309"/>
      <c r="W1103" s="309"/>
      <c r="X1103" s="309"/>
    </row>
    <row r="1104" hidden="1">
      <c r="A1104" s="348"/>
      <c r="B1104" s="488"/>
      <c r="C1104" s="309"/>
      <c r="D1104" s="309"/>
      <c r="E1104" s="489"/>
      <c r="F1104" s="309"/>
      <c r="G1104" s="407"/>
      <c r="H1104" s="490"/>
      <c r="I1104" s="491"/>
      <c r="J1104" s="492"/>
      <c r="K1104" s="493"/>
      <c r="L1104" s="494"/>
      <c r="M1104" s="309"/>
      <c r="N1104" s="309"/>
      <c r="O1104" s="309"/>
      <c r="P1104" s="309"/>
      <c r="Q1104" s="309"/>
      <c r="R1104" s="309"/>
      <c r="S1104" s="309"/>
      <c r="T1104" s="309"/>
      <c r="U1104" s="309"/>
      <c r="V1104" s="309"/>
      <c r="W1104" s="309"/>
      <c r="X1104" s="309"/>
    </row>
    <row r="1105" hidden="1">
      <c r="A1105" s="348"/>
      <c r="B1105" s="488"/>
      <c r="C1105" s="309"/>
      <c r="D1105" s="309"/>
      <c r="E1105" s="489"/>
      <c r="F1105" s="309"/>
      <c r="G1105" s="407"/>
      <c r="H1105" s="490"/>
      <c r="I1105" s="491"/>
      <c r="J1105" s="492"/>
      <c r="K1105" s="493"/>
      <c r="L1105" s="494"/>
      <c r="M1105" s="309"/>
      <c r="N1105" s="309"/>
      <c r="O1105" s="309"/>
      <c r="P1105" s="309"/>
      <c r="Q1105" s="309"/>
      <c r="R1105" s="309"/>
      <c r="S1105" s="309"/>
      <c r="T1105" s="309"/>
      <c r="U1105" s="309"/>
      <c r="V1105" s="309"/>
      <c r="W1105" s="309"/>
      <c r="X1105" s="309"/>
    </row>
    <row r="1106" hidden="1">
      <c r="A1106" s="348"/>
      <c r="B1106" s="488"/>
      <c r="C1106" s="309"/>
      <c r="D1106" s="309"/>
      <c r="E1106" s="489"/>
      <c r="F1106" s="309"/>
      <c r="G1106" s="407"/>
      <c r="H1106" s="490"/>
      <c r="I1106" s="491"/>
      <c r="J1106" s="492"/>
      <c r="K1106" s="493"/>
      <c r="L1106" s="494"/>
      <c r="M1106" s="309"/>
      <c r="N1106" s="309"/>
      <c r="O1106" s="309"/>
      <c r="P1106" s="309"/>
      <c r="Q1106" s="309"/>
      <c r="R1106" s="309"/>
      <c r="S1106" s="309"/>
      <c r="T1106" s="309"/>
      <c r="U1106" s="309"/>
      <c r="V1106" s="309"/>
      <c r="W1106" s="309"/>
      <c r="X1106" s="309"/>
    </row>
    <row r="1107" hidden="1">
      <c r="A1107" s="348"/>
      <c r="B1107" s="488"/>
      <c r="C1107" s="309"/>
      <c r="D1107" s="309"/>
      <c r="E1107" s="489"/>
      <c r="F1107" s="309"/>
      <c r="G1107" s="407"/>
      <c r="H1107" s="490"/>
      <c r="I1107" s="491"/>
      <c r="J1107" s="492"/>
      <c r="K1107" s="493"/>
      <c r="L1107" s="494"/>
      <c r="M1107" s="309"/>
      <c r="N1107" s="309"/>
      <c r="O1107" s="309"/>
      <c r="P1107" s="309"/>
      <c r="Q1107" s="309"/>
      <c r="R1107" s="309"/>
      <c r="S1107" s="309"/>
      <c r="T1107" s="309"/>
      <c r="U1107" s="309"/>
      <c r="V1107" s="309"/>
      <c r="W1107" s="309"/>
      <c r="X1107" s="309"/>
    </row>
    <row r="1108" hidden="1">
      <c r="A1108" s="348"/>
      <c r="B1108" s="488"/>
      <c r="C1108" s="309"/>
      <c r="D1108" s="309"/>
      <c r="E1108" s="489"/>
      <c r="F1108" s="309"/>
      <c r="G1108" s="407"/>
      <c r="H1108" s="490"/>
      <c r="I1108" s="491"/>
      <c r="J1108" s="492"/>
      <c r="K1108" s="493"/>
      <c r="L1108" s="494"/>
      <c r="M1108" s="309"/>
      <c r="N1108" s="309"/>
      <c r="O1108" s="309"/>
      <c r="P1108" s="309"/>
      <c r="Q1108" s="309"/>
      <c r="R1108" s="309"/>
      <c r="S1108" s="309"/>
      <c r="T1108" s="309"/>
      <c r="U1108" s="309"/>
      <c r="V1108" s="309"/>
      <c r="W1108" s="309"/>
      <c r="X1108" s="309"/>
    </row>
    <row r="1109" hidden="1">
      <c r="A1109" s="348"/>
      <c r="B1109" s="488"/>
      <c r="C1109" s="309"/>
      <c r="D1109" s="309"/>
      <c r="E1109" s="489"/>
      <c r="F1109" s="309"/>
      <c r="G1109" s="407"/>
      <c r="H1109" s="490"/>
      <c r="I1109" s="491"/>
      <c r="J1109" s="492"/>
      <c r="K1109" s="493"/>
      <c r="L1109" s="494"/>
      <c r="M1109" s="309"/>
      <c r="N1109" s="309"/>
      <c r="O1109" s="309"/>
      <c r="P1109" s="309"/>
      <c r="Q1109" s="309"/>
      <c r="R1109" s="309"/>
      <c r="S1109" s="309"/>
      <c r="T1109" s="309"/>
      <c r="U1109" s="309"/>
      <c r="V1109" s="309"/>
      <c r="W1109" s="309"/>
      <c r="X1109" s="309"/>
    </row>
    <row r="1110" hidden="1">
      <c r="A1110" s="348"/>
      <c r="B1110" s="488"/>
      <c r="C1110" s="309"/>
      <c r="D1110" s="309"/>
      <c r="E1110" s="489"/>
      <c r="F1110" s="309"/>
      <c r="G1110" s="407"/>
      <c r="H1110" s="490"/>
      <c r="I1110" s="491"/>
      <c r="J1110" s="492"/>
      <c r="K1110" s="493"/>
      <c r="L1110" s="494"/>
      <c r="M1110" s="309"/>
      <c r="N1110" s="309"/>
      <c r="O1110" s="309"/>
      <c r="P1110" s="309"/>
      <c r="Q1110" s="309"/>
      <c r="R1110" s="309"/>
      <c r="S1110" s="309"/>
      <c r="T1110" s="309"/>
      <c r="U1110" s="309"/>
      <c r="V1110" s="309"/>
      <c r="W1110" s="309"/>
      <c r="X1110" s="309"/>
    </row>
    <row r="1111" hidden="1">
      <c r="A1111" s="348"/>
      <c r="B1111" s="488"/>
      <c r="C1111" s="309"/>
      <c r="D1111" s="309"/>
      <c r="E1111" s="489"/>
      <c r="F1111" s="309"/>
      <c r="G1111" s="407"/>
      <c r="H1111" s="490"/>
      <c r="I1111" s="491"/>
      <c r="J1111" s="492"/>
      <c r="K1111" s="493"/>
      <c r="L1111" s="494"/>
      <c r="M1111" s="309"/>
      <c r="N1111" s="309"/>
      <c r="O1111" s="309"/>
      <c r="P1111" s="309"/>
      <c r="Q1111" s="309"/>
      <c r="R1111" s="309"/>
      <c r="S1111" s="309"/>
      <c r="T1111" s="309"/>
      <c r="U1111" s="309"/>
      <c r="V1111" s="309"/>
      <c r="W1111" s="309"/>
      <c r="X1111" s="309"/>
    </row>
    <row r="1112" hidden="1">
      <c r="A1112" s="348"/>
      <c r="B1112" s="488"/>
      <c r="C1112" s="309"/>
      <c r="D1112" s="309"/>
      <c r="E1112" s="489"/>
      <c r="F1112" s="309"/>
      <c r="G1112" s="407"/>
      <c r="H1112" s="490"/>
      <c r="I1112" s="491"/>
      <c r="J1112" s="492"/>
      <c r="K1112" s="493"/>
      <c r="L1112" s="494"/>
      <c r="M1112" s="309"/>
      <c r="N1112" s="309"/>
      <c r="O1112" s="309"/>
      <c r="P1112" s="309"/>
      <c r="Q1112" s="309"/>
      <c r="R1112" s="309"/>
      <c r="S1112" s="309"/>
      <c r="T1112" s="309"/>
      <c r="U1112" s="309"/>
      <c r="V1112" s="309"/>
      <c r="W1112" s="309"/>
      <c r="X1112" s="309"/>
    </row>
    <row r="1113" hidden="1">
      <c r="A1113" s="348"/>
      <c r="B1113" s="488"/>
      <c r="C1113" s="309"/>
      <c r="D1113" s="309"/>
      <c r="E1113" s="489"/>
      <c r="F1113" s="309"/>
      <c r="G1113" s="407"/>
      <c r="H1113" s="490"/>
      <c r="I1113" s="491"/>
      <c r="J1113" s="492"/>
      <c r="K1113" s="493"/>
      <c r="L1113" s="494"/>
      <c r="M1113" s="309"/>
      <c r="N1113" s="309"/>
      <c r="O1113" s="309"/>
      <c r="P1113" s="309"/>
      <c r="Q1113" s="309"/>
      <c r="R1113" s="309"/>
      <c r="S1113" s="309"/>
      <c r="T1113" s="309"/>
      <c r="U1113" s="309"/>
      <c r="V1113" s="309"/>
      <c r="W1113" s="309"/>
      <c r="X1113" s="309"/>
    </row>
    <row r="1114" hidden="1">
      <c r="A1114" s="348"/>
      <c r="B1114" s="488"/>
      <c r="C1114" s="309"/>
      <c r="D1114" s="309"/>
      <c r="E1114" s="489"/>
      <c r="F1114" s="309"/>
      <c r="G1114" s="407"/>
      <c r="H1114" s="490"/>
      <c r="I1114" s="491"/>
      <c r="J1114" s="492"/>
      <c r="K1114" s="493"/>
      <c r="L1114" s="494"/>
      <c r="M1114" s="309"/>
      <c r="N1114" s="309"/>
      <c r="O1114" s="309"/>
      <c r="P1114" s="309"/>
      <c r="Q1114" s="309"/>
      <c r="R1114" s="309"/>
      <c r="S1114" s="309"/>
      <c r="T1114" s="309"/>
      <c r="U1114" s="309"/>
      <c r="V1114" s="309"/>
      <c r="W1114" s="309"/>
      <c r="X1114" s="309"/>
    </row>
    <row r="1115" hidden="1">
      <c r="A1115" s="348"/>
      <c r="B1115" s="488"/>
      <c r="C1115" s="309"/>
      <c r="D1115" s="309"/>
      <c r="E1115" s="489"/>
      <c r="F1115" s="309"/>
      <c r="G1115" s="407"/>
      <c r="H1115" s="490"/>
      <c r="I1115" s="491"/>
      <c r="J1115" s="492"/>
      <c r="K1115" s="493"/>
      <c r="L1115" s="494"/>
      <c r="M1115" s="309"/>
      <c r="N1115" s="309"/>
      <c r="O1115" s="309"/>
      <c r="P1115" s="309"/>
      <c r="Q1115" s="309"/>
      <c r="R1115" s="309"/>
      <c r="S1115" s="309"/>
      <c r="T1115" s="309"/>
      <c r="U1115" s="309"/>
      <c r="V1115" s="309"/>
      <c r="W1115" s="309"/>
      <c r="X1115" s="309"/>
    </row>
    <row r="1116" hidden="1">
      <c r="A1116" s="348"/>
      <c r="B1116" s="488"/>
      <c r="C1116" s="309"/>
      <c r="D1116" s="309"/>
      <c r="E1116" s="489"/>
      <c r="F1116" s="309"/>
      <c r="G1116" s="407"/>
      <c r="H1116" s="490"/>
      <c r="I1116" s="491"/>
      <c r="J1116" s="492"/>
      <c r="K1116" s="493"/>
      <c r="L1116" s="494"/>
      <c r="M1116" s="309"/>
      <c r="N1116" s="309"/>
      <c r="O1116" s="309"/>
      <c r="P1116" s="309"/>
      <c r="Q1116" s="309"/>
      <c r="R1116" s="309"/>
      <c r="S1116" s="309"/>
      <c r="T1116" s="309"/>
      <c r="U1116" s="309"/>
      <c r="V1116" s="309"/>
      <c r="W1116" s="309"/>
      <c r="X1116" s="309"/>
    </row>
    <row r="1117" hidden="1">
      <c r="A1117" s="348"/>
      <c r="B1117" s="488"/>
      <c r="C1117" s="309"/>
      <c r="D1117" s="309"/>
      <c r="E1117" s="489"/>
      <c r="F1117" s="309"/>
      <c r="G1117" s="407"/>
      <c r="H1117" s="490"/>
      <c r="I1117" s="491"/>
      <c r="J1117" s="492"/>
      <c r="K1117" s="493"/>
      <c r="L1117" s="494"/>
      <c r="M1117" s="309"/>
      <c r="N1117" s="309"/>
      <c r="O1117" s="309"/>
      <c r="P1117" s="309"/>
      <c r="Q1117" s="309"/>
      <c r="R1117" s="309"/>
      <c r="S1117" s="309"/>
      <c r="T1117" s="309"/>
      <c r="U1117" s="309"/>
      <c r="V1117" s="309"/>
      <c r="W1117" s="309"/>
      <c r="X1117" s="309"/>
    </row>
    <row r="1118" hidden="1">
      <c r="A1118" s="348"/>
      <c r="B1118" s="488"/>
      <c r="C1118" s="309"/>
      <c r="D1118" s="309"/>
      <c r="E1118" s="489"/>
      <c r="F1118" s="309"/>
      <c r="G1118" s="407"/>
      <c r="H1118" s="490"/>
      <c r="I1118" s="491"/>
      <c r="J1118" s="492"/>
      <c r="K1118" s="493"/>
      <c r="L1118" s="494"/>
      <c r="M1118" s="309"/>
      <c r="N1118" s="309"/>
      <c r="O1118" s="309"/>
      <c r="P1118" s="309"/>
      <c r="Q1118" s="309"/>
      <c r="R1118" s="309"/>
      <c r="S1118" s="309"/>
      <c r="T1118" s="309"/>
      <c r="U1118" s="309"/>
      <c r="V1118" s="309"/>
      <c r="W1118" s="309"/>
      <c r="X1118" s="309"/>
    </row>
    <row r="1119" hidden="1">
      <c r="A1119" s="348"/>
      <c r="B1119" s="488"/>
      <c r="C1119" s="309"/>
      <c r="D1119" s="309"/>
      <c r="E1119" s="489"/>
      <c r="F1119" s="309"/>
      <c r="G1119" s="407"/>
      <c r="H1119" s="490"/>
      <c r="I1119" s="491"/>
      <c r="J1119" s="492"/>
      <c r="K1119" s="493"/>
      <c r="L1119" s="494"/>
      <c r="M1119" s="309"/>
      <c r="N1119" s="309"/>
      <c r="O1119" s="309"/>
      <c r="P1119" s="309"/>
      <c r="Q1119" s="309"/>
      <c r="R1119" s="309"/>
      <c r="S1119" s="309"/>
      <c r="T1119" s="309"/>
      <c r="U1119" s="309"/>
      <c r="V1119" s="309"/>
      <c r="W1119" s="309"/>
      <c r="X1119" s="309"/>
    </row>
    <row r="1120" hidden="1">
      <c r="A1120" s="348"/>
      <c r="B1120" s="488"/>
      <c r="C1120" s="309"/>
      <c r="D1120" s="309"/>
      <c r="E1120" s="489"/>
      <c r="F1120" s="309"/>
      <c r="G1120" s="407"/>
      <c r="H1120" s="490"/>
      <c r="I1120" s="491"/>
      <c r="J1120" s="492"/>
      <c r="K1120" s="493"/>
      <c r="L1120" s="494"/>
      <c r="M1120" s="309"/>
      <c r="N1120" s="309"/>
      <c r="O1120" s="309"/>
      <c r="P1120" s="309"/>
      <c r="Q1120" s="309"/>
      <c r="R1120" s="309"/>
      <c r="S1120" s="309"/>
      <c r="T1120" s="309"/>
      <c r="U1120" s="309"/>
      <c r="V1120" s="309"/>
      <c r="W1120" s="309"/>
      <c r="X1120" s="309"/>
    </row>
    <row r="1121" hidden="1">
      <c r="A1121" s="348"/>
      <c r="B1121" s="488"/>
      <c r="C1121" s="309"/>
      <c r="D1121" s="309"/>
      <c r="E1121" s="489"/>
      <c r="F1121" s="309"/>
      <c r="G1121" s="407"/>
      <c r="H1121" s="490"/>
      <c r="I1121" s="491"/>
      <c r="J1121" s="492"/>
      <c r="K1121" s="493"/>
      <c r="L1121" s="494"/>
      <c r="M1121" s="309"/>
      <c r="N1121" s="309"/>
      <c r="O1121" s="309"/>
      <c r="P1121" s="309"/>
      <c r="Q1121" s="309"/>
      <c r="R1121" s="309"/>
      <c r="S1121" s="309"/>
      <c r="T1121" s="309"/>
      <c r="U1121" s="309"/>
      <c r="V1121" s="309"/>
      <c r="W1121" s="309"/>
      <c r="X1121" s="309"/>
    </row>
    <row r="1122" hidden="1">
      <c r="A1122" s="348"/>
      <c r="B1122" s="488"/>
      <c r="C1122" s="309"/>
      <c r="D1122" s="309"/>
      <c r="E1122" s="489"/>
      <c r="F1122" s="309"/>
      <c r="G1122" s="407"/>
      <c r="H1122" s="490"/>
      <c r="I1122" s="491"/>
      <c r="J1122" s="492"/>
      <c r="K1122" s="493"/>
      <c r="L1122" s="494"/>
      <c r="M1122" s="309"/>
      <c r="N1122" s="309"/>
      <c r="O1122" s="309"/>
      <c r="P1122" s="309"/>
      <c r="Q1122" s="309"/>
      <c r="R1122" s="309"/>
      <c r="S1122" s="309"/>
      <c r="T1122" s="309"/>
      <c r="U1122" s="309"/>
      <c r="V1122" s="309"/>
      <c r="W1122" s="309"/>
      <c r="X1122" s="309"/>
    </row>
    <row r="1123" hidden="1">
      <c r="A1123" s="348"/>
      <c r="B1123" s="488"/>
      <c r="C1123" s="309"/>
      <c r="D1123" s="309"/>
      <c r="E1123" s="489"/>
      <c r="F1123" s="309"/>
      <c r="G1123" s="407"/>
      <c r="H1123" s="490"/>
      <c r="I1123" s="491"/>
      <c r="J1123" s="492"/>
      <c r="K1123" s="493"/>
      <c r="L1123" s="494"/>
      <c r="M1123" s="309"/>
      <c r="N1123" s="309"/>
      <c r="O1123" s="309"/>
      <c r="P1123" s="309"/>
      <c r="Q1123" s="309"/>
      <c r="R1123" s="309"/>
      <c r="S1123" s="309"/>
      <c r="T1123" s="309"/>
      <c r="U1123" s="309"/>
      <c r="V1123" s="309"/>
      <c r="W1123" s="309"/>
      <c r="X1123" s="309"/>
    </row>
    <row r="1124" hidden="1">
      <c r="A1124" s="348"/>
      <c r="B1124" s="488"/>
      <c r="C1124" s="309"/>
      <c r="D1124" s="309"/>
      <c r="E1124" s="489"/>
      <c r="F1124" s="309"/>
      <c r="G1124" s="407"/>
      <c r="H1124" s="490"/>
      <c r="I1124" s="491"/>
      <c r="J1124" s="492"/>
      <c r="K1124" s="493"/>
      <c r="L1124" s="494"/>
      <c r="M1124" s="309"/>
      <c r="N1124" s="309"/>
      <c r="O1124" s="309"/>
      <c r="P1124" s="309"/>
      <c r="Q1124" s="309"/>
      <c r="R1124" s="309"/>
      <c r="S1124" s="309"/>
      <c r="T1124" s="309"/>
      <c r="U1124" s="309"/>
      <c r="V1124" s="309"/>
      <c r="W1124" s="309"/>
      <c r="X1124" s="309"/>
    </row>
    <row r="1125" hidden="1">
      <c r="A1125" s="348"/>
      <c r="B1125" s="488"/>
      <c r="C1125" s="309"/>
      <c r="D1125" s="309"/>
      <c r="E1125" s="489"/>
      <c r="F1125" s="309"/>
      <c r="G1125" s="407"/>
      <c r="H1125" s="490"/>
      <c r="I1125" s="491"/>
      <c r="J1125" s="492"/>
      <c r="K1125" s="493"/>
      <c r="L1125" s="494"/>
      <c r="M1125" s="309"/>
      <c r="N1125" s="309"/>
      <c r="O1125" s="309"/>
      <c r="P1125" s="309"/>
      <c r="Q1125" s="309"/>
      <c r="R1125" s="309"/>
      <c r="S1125" s="309"/>
      <c r="T1125" s="309"/>
      <c r="U1125" s="309"/>
      <c r="V1125" s="309"/>
      <c r="W1125" s="309"/>
      <c r="X1125" s="309"/>
    </row>
    <row r="1126" hidden="1">
      <c r="A1126" s="348"/>
      <c r="B1126" s="488"/>
      <c r="C1126" s="309"/>
      <c r="D1126" s="309"/>
      <c r="E1126" s="489"/>
      <c r="F1126" s="309"/>
      <c r="G1126" s="407"/>
      <c r="H1126" s="490"/>
      <c r="I1126" s="491"/>
      <c r="J1126" s="492"/>
      <c r="K1126" s="493"/>
      <c r="L1126" s="494"/>
      <c r="M1126" s="309"/>
      <c r="N1126" s="309"/>
      <c r="O1126" s="309"/>
      <c r="P1126" s="309"/>
      <c r="Q1126" s="309"/>
      <c r="R1126" s="309"/>
      <c r="S1126" s="309"/>
      <c r="T1126" s="309"/>
      <c r="U1126" s="309"/>
      <c r="V1126" s="309"/>
      <c r="W1126" s="309"/>
      <c r="X1126" s="309"/>
    </row>
    <row r="1127" hidden="1">
      <c r="A1127" s="348"/>
      <c r="B1127" s="488"/>
      <c r="C1127" s="309"/>
      <c r="D1127" s="309"/>
      <c r="E1127" s="489"/>
      <c r="F1127" s="309"/>
      <c r="G1127" s="407"/>
      <c r="H1127" s="490"/>
      <c r="I1127" s="491"/>
      <c r="J1127" s="492"/>
      <c r="K1127" s="493"/>
      <c r="L1127" s="494"/>
      <c r="M1127" s="309"/>
      <c r="N1127" s="309"/>
      <c r="O1127" s="309"/>
      <c r="P1127" s="309"/>
      <c r="Q1127" s="309"/>
      <c r="R1127" s="309"/>
      <c r="S1127" s="309"/>
      <c r="T1127" s="309"/>
      <c r="U1127" s="309"/>
      <c r="V1127" s="309"/>
      <c r="W1127" s="309"/>
      <c r="X1127" s="309"/>
    </row>
    <row r="1128" hidden="1">
      <c r="A1128" s="348"/>
      <c r="B1128" s="488"/>
      <c r="C1128" s="309"/>
      <c r="D1128" s="309"/>
      <c r="E1128" s="489"/>
      <c r="F1128" s="309"/>
      <c r="G1128" s="407"/>
      <c r="H1128" s="490"/>
      <c r="I1128" s="491"/>
      <c r="J1128" s="492"/>
      <c r="K1128" s="493"/>
      <c r="L1128" s="494"/>
      <c r="M1128" s="309"/>
      <c r="N1128" s="309"/>
      <c r="O1128" s="309"/>
      <c r="P1128" s="309"/>
      <c r="Q1128" s="309"/>
      <c r="R1128" s="309"/>
      <c r="S1128" s="309"/>
      <c r="T1128" s="309"/>
      <c r="U1128" s="309"/>
      <c r="V1128" s="309"/>
      <c r="W1128" s="309"/>
      <c r="X1128" s="309"/>
    </row>
    <row r="1129" hidden="1">
      <c r="A1129" s="348"/>
      <c r="B1129" s="488"/>
      <c r="C1129" s="309"/>
      <c r="D1129" s="309"/>
      <c r="E1129" s="489"/>
      <c r="F1129" s="309"/>
      <c r="G1129" s="407"/>
      <c r="H1129" s="490"/>
      <c r="I1129" s="491"/>
      <c r="J1129" s="492"/>
      <c r="K1129" s="493"/>
      <c r="L1129" s="494"/>
      <c r="M1129" s="309"/>
      <c r="N1129" s="309"/>
      <c r="O1129" s="309"/>
      <c r="P1129" s="309"/>
      <c r="Q1129" s="309"/>
      <c r="R1129" s="309"/>
      <c r="S1129" s="309"/>
      <c r="T1129" s="309"/>
      <c r="U1129" s="309"/>
      <c r="V1129" s="309"/>
      <c r="W1129" s="309"/>
      <c r="X1129" s="309"/>
    </row>
    <row r="1130" hidden="1">
      <c r="A1130" s="348"/>
      <c r="B1130" s="488"/>
      <c r="C1130" s="309"/>
      <c r="D1130" s="309"/>
      <c r="E1130" s="489"/>
      <c r="F1130" s="309"/>
      <c r="G1130" s="407"/>
      <c r="H1130" s="490"/>
      <c r="I1130" s="491"/>
      <c r="J1130" s="492"/>
      <c r="K1130" s="493"/>
      <c r="L1130" s="494"/>
      <c r="M1130" s="309"/>
      <c r="N1130" s="309"/>
      <c r="O1130" s="309"/>
      <c r="P1130" s="309"/>
      <c r="Q1130" s="309"/>
      <c r="R1130" s="309"/>
      <c r="S1130" s="309"/>
      <c r="T1130" s="309"/>
      <c r="U1130" s="309"/>
      <c r="V1130" s="309"/>
      <c r="W1130" s="309"/>
      <c r="X1130" s="309"/>
    </row>
    <row r="1131" hidden="1">
      <c r="A1131" s="348"/>
      <c r="B1131" s="488"/>
      <c r="C1131" s="309"/>
      <c r="D1131" s="309"/>
      <c r="E1131" s="489"/>
      <c r="F1131" s="309"/>
      <c r="G1131" s="407"/>
      <c r="H1131" s="490"/>
      <c r="I1131" s="491"/>
      <c r="J1131" s="492"/>
      <c r="K1131" s="493"/>
      <c r="L1131" s="494"/>
      <c r="M1131" s="309"/>
      <c r="N1131" s="309"/>
      <c r="O1131" s="309"/>
      <c r="P1131" s="309"/>
      <c r="Q1131" s="309"/>
      <c r="R1131" s="309"/>
      <c r="S1131" s="309"/>
      <c r="T1131" s="309"/>
      <c r="U1131" s="309"/>
      <c r="V1131" s="309"/>
      <c r="W1131" s="309"/>
      <c r="X1131" s="309"/>
    </row>
    <row r="1132" hidden="1">
      <c r="A1132" s="348"/>
      <c r="B1132" s="488"/>
      <c r="C1132" s="309"/>
      <c r="D1132" s="309"/>
      <c r="E1132" s="489"/>
      <c r="F1132" s="309"/>
      <c r="G1132" s="407"/>
      <c r="H1132" s="490"/>
      <c r="I1132" s="491"/>
      <c r="J1132" s="492"/>
      <c r="K1132" s="493"/>
      <c r="L1132" s="494"/>
      <c r="M1132" s="309"/>
      <c r="N1132" s="309"/>
      <c r="O1132" s="309"/>
      <c r="P1132" s="309"/>
      <c r="Q1132" s="309"/>
      <c r="R1132" s="309"/>
      <c r="S1132" s="309"/>
      <c r="T1132" s="309"/>
      <c r="U1132" s="309"/>
      <c r="V1132" s="309"/>
      <c r="W1132" s="309"/>
      <c r="X1132" s="309"/>
    </row>
    <row r="1133" hidden="1">
      <c r="A1133" s="348"/>
      <c r="B1133" s="488"/>
      <c r="C1133" s="309"/>
      <c r="D1133" s="309"/>
      <c r="E1133" s="489"/>
      <c r="F1133" s="309"/>
      <c r="G1133" s="407"/>
      <c r="H1133" s="490"/>
      <c r="I1133" s="491"/>
      <c r="J1133" s="492"/>
      <c r="K1133" s="493"/>
      <c r="L1133" s="494"/>
      <c r="M1133" s="309"/>
      <c r="N1133" s="309"/>
      <c r="O1133" s="309"/>
      <c r="P1133" s="309"/>
      <c r="Q1133" s="309"/>
      <c r="R1133" s="309"/>
      <c r="S1133" s="309"/>
      <c r="T1133" s="309"/>
      <c r="U1133" s="309"/>
      <c r="V1133" s="309"/>
      <c r="W1133" s="309"/>
      <c r="X1133" s="309"/>
    </row>
    <row r="1134" hidden="1">
      <c r="A1134" s="348"/>
      <c r="B1134" s="488"/>
      <c r="C1134" s="309"/>
      <c r="D1134" s="309"/>
      <c r="E1134" s="489"/>
      <c r="F1134" s="309"/>
      <c r="G1134" s="407"/>
      <c r="H1134" s="490"/>
      <c r="I1134" s="491"/>
      <c r="J1134" s="492"/>
      <c r="K1134" s="493"/>
      <c r="L1134" s="494"/>
      <c r="M1134" s="309"/>
      <c r="N1134" s="309"/>
      <c r="O1134" s="309"/>
      <c r="P1134" s="309"/>
      <c r="Q1134" s="309"/>
      <c r="R1134" s="309"/>
      <c r="S1134" s="309"/>
      <c r="T1134" s="309"/>
      <c r="U1134" s="309"/>
      <c r="V1134" s="309"/>
      <c r="W1134" s="309"/>
      <c r="X1134" s="309"/>
    </row>
    <row r="1135" hidden="1">
      <c r="A1135" s="348"/>
      <c r="B1135" s="488"/>
      <c r="C1135" s="309"/>
      <c r="D1135" s="309"/>
      <c r="E1135" s="489"/>
      <c r="F1135" s="309"/>
      <c r="G1135" s="407"/>
      <c r="H1135" s="490"/>
      <c r="I1135" s="491"/>
      <c r="J1135" s="492"/>
      <c r="K1135" s="493"/>
      <c r="L1135" s="494"/>
      <c r="M1135" s="309"/>
      <c r="N1135" s="309"/>
      <c r="O1135" s="309"/>
      <c r="P1135" s="309"/>
      <c r="Q1135" s="309"/>
      <c r="R1135" s="309"/>
      <c r="S1135" s="309"/>
      <c r="T1135" s="309"/>
      <c r="U1135" s="309"/>
      <c r="V1135" s="309"/>
      <c r="W1135" s="309"/>
      <c r="X1135" s="309"/>
    </row>
    <row r="1136" hidden="1">
      <c r="A1136" s="348"/>
      <c r="B1136" s="488"/>
      <c r="C1136" s="309"/>
      <c r="D1136" s="309"/>
      <c r="E1136" s="489"/>
      <c r="F1136" s="309"/>
      <c r="G1136" s="407"/>
      <c r="H1136" s="490"/>
      <c r="I1136" s="491"/>
      <c r="J1136" s="492"/>
      <c r="K1136" s="493"/>
      <c r="L1136" s="494"/>
      <c r="M1136" s="309"/>
      <c r="N1136" s="309"/>
      <c r="O1136" s="309"/>
      <c r="P1136" s="309"/>
      <c r="Q1136" s="309"/>
      <c r="R1136" s="309"/>
      <c r="S1136" s="309"/>
      <c r="T1136" s="309"/>
      <c r="U1136" s="309"/>
      <c r="V1136" s="309"/>
      <c r="W1136" s="309"/>
      <c r="X1136" s="309"/>
    </row>
    <row r="1137" hidden="1">
      <c r="A1137" s="348"/>
      <c r="B1137" s="488"/>
      <c r="C1137" s="309"/>
      <c r="D1137" s="309"/>
      <c r="E1137" s="489"/>
      <c r="F1137" s="309"/>
      <c r="G1137" s="407"/>
      <c r="H1137" s="490"/>
      <c r="I1137" s="491"/>
      <c r="J1137" s="492"/>
      <c r="K1137" s="493"/>
      <c r="L1137" s="494"/>
      <c r="M1137" s="309"/>
      <c r="N1137" s="309"/>
      <c r="O1137" s="309"/>
      <c r="P1137" s="309"/>
      <c r="Q1137" s="309"/>
      <c r="R1137" s="309"/>
      <c r="S1137" s="309"/>
      <c r="T1137" s="309"/>
      <c r="U1137" s="309"/>
      <c r="V1137" s="309"/>
      <c r="W1137" s="309"/>
      <c r="X1137" s="309"/>
    </row>
    <row r="1138" hidden="1">
      <c r="A1138" s="348"/>
      <c r="B1138" s="488"/>
      <c r="C1138" s="309"/>
      <c r="D1138" s="309"/>
      <c r="E1138" s="489"/>
      <c r="F1138" s="309"/>
      <c r="G1138" s="407"/>
      <c r="H1138" s="490"/>
      <c r="I1138" s="491"/>
      <c r="J1138" s="492"/>
      <c r="K1138" s="493"/>
      <c r="L1138" s="494"/>
      <c r="M1138" s="309"/>
      <c r="N1138" s="309"/>
      <c r="O1138" s="309"/>
      <c r="P1138" s="309"/>
      <c r="Q1138" s="309"/>
      <c r="R1138" s="309"/>
      <c r="S1138" s="309"/>
      <c r="T1138" s="309"/>
      <c r="U1138" s="309"/>
      <c r="V1138" s="309"/>
      <c r="W1138" s="309"/>
      <c r="X1138" s="309"/>
    </row>
    <row r="1139" hidden="1">
      <c r="A1139" s="348"/>
      <c r="B1139" s="488"/>
      <c r="C1139" s="309"/>
      <c r="D1139" s="309"/>
      <c r="E1139" s="489"/>
      <c r="F1139" s="309"/>
      <c r="G1139" s="407"/>
      <c r="H1139" s="309"/>
      <c r="I1139" s="491"/>
      <c r="J1139" s="491"/>
      <c r="K1139" s="493"/>
      <c r="L1139" s="494"/>
      <c r="M1139" s="309"/>
      <c r="N1139" s="309"/>
      <c r="O1139" s="309"/>
      <c r="P1139" s="309"/>
      <c r="Q1139" s="309"/>
      <c r="R1139" s="309"/>
      <c r="S1139" s="309"/>
      <c r="T1139" s="309"/>
      <c r="U1139" s="309"/>
      <c r="V1139" s="309"/>
      <c r="W1139" s="309"/>
      <c r="X1139" s="309"/>
    </row>
    <row r="1140" hidden="1">
      <c r="A1140" s="348"/>
      <c r="B1140" s="488"/>
      <c r="C1140" s="309"/>
      <c r="D1140" s="309"/>
      <c r="E1140" s="489"/>
      <c r="F1140" s="309"/>
      <c r="G1140" s="407"/>
      <c r="H1140" s="309"/>
      <c r="I1140" s="491"/>
      <c r="J1140" s="491"/>
      <c r="K1140" s="493"/>
      <c r="L1140" s="494"/>
      <c r="M1140" s="309"/>
      <c r="N1140" s="309"/>
      <c r="O1140" s="309"/>
      <c r="P1140" s="309"/>
      <c r="Q1140" s="309"/>
      <c r="R1140" s="309"/>
      <c r="S1140" s="309"/>
      <c r="T1140" s="309"/>
      <c r="U1140" s="309"/>
      <c r="V1140" s="309"/>
      <c r="W1140" s="309"/>
      <c r="X1140" s="309"/>
    </row>
    <row r="1141" hidden="1">
      <c r="A1141" s="348"/>
      <c r="B1141" s="488"/>
      <c r="C1141" s="309"/>
      <c r="D1141" s="309"/>
      <c r="E1141" s="489"/>
      <c r="F1141" s="309"/>
      <c r="G1141" s="407"/>
      <c r="H1141" s="309"/>
      <c r="I1141" s="491"/>
      <c r="J1141" s="491"/>
      <c r="K1141" s="493"/>
      <c r="L1141" s="494"/>
      <c r="M1141" s="309"/>
      <c r="N1141" s="309"/>
      <c r="O1141" s="309"/>
      <c r="P1141" s="309"/>
      <c r="Q1141" s="309"/>
      <c r="R1141" s="309"/>
      <c r="S1141" s="309"/>
      <c r="T1141" s="309"/>
      <c r="U1141" s="309"/>
      <c r="V1141" s="309"/>
      <c r="W1141" s="309"/>
      <c r="X1141" s="309"/>
    </row>
    <row r="1142" hidden="1">
      <c r="A1142" s="348"/>
      <c r="B1142" s="488"/>
      <c r="C1142" s="309"/>
      <c r="D1142" s="309"/>
      <c r="E1142" s="489"/>
      <c r="F1142" s="309"/>
      <c r="G1142" s="407"/>
      <c r="H1142" s="309"/>
      <c r="I1142" s="491"/>
      <c r="J1142" s="491"/>
      <c r="K1142" s="493"/>
      <c r="L1142" s="494"/>
      <c r="M1142" s="309"/>
      <c r="N1142" s="309"/>
      <c r="O1142" s="309"/>
      <c r="P1142" s="309"/>
      <c r="Q1142" s="309"/>
      <c r="R1142" s="309"/>
      <c r="S1142" s="309"/>
      <c r="T1142" s="309"/>
      <c r="U1142" s="309"/>
      <c r="V1142" s="309"/>
      <c r="W1142" s="309"/>
      <c r="X1142" s="309"/>
    </row>
    <row r="1143" hidden="1">
      <c r="A1143" s="348"/>
      <c r="B1143" s="488"/>
      <c r="C1143" s="309"/>
      <c r="D1143" s="309"/>
      <c r="E1143" s="489"/>
      <c r="F1143" s="309"/>
      <c r="G1143" s="407"/>
      <c r="H1143" s="309"/>
      <c r="I1143" s="491"/>
      <c r="J1143" s="491"/>
      <c r="K1143" s="493"/>
      <c r="L1143" s="494"/>
      <c r="M1143" s="309"/>
      <c r="N1143" s="309"/>
      <c r="O1143" s="309"/>
      <c r="P1143" s="309"/>
      <c r="Q1143" s="309"/>
      <c r="R1143" s="309"/>
      <c r="S1143" s="309"/>
      <c r="T1143" s="309"/>
      <c r="U1143" s="309"/>
      <c r="V1143" s="309"/>
      <c r="W1143" s="309"/>
      <c r="X1143" s="309"/>
    </row>
    <row r="1144" hidden="1">
      <c r="A1144" s="348"/>
      <c r="B1144" s="488"/>
      <c r="C1144" s="309"/>
      <c r="D1144" s="309"/>
      <c r="E1144" s="489"/>
      <c r="F1144" s="309"/>
      <c r="G1144" s="407"/>
      <c r="H1144" s="309"/>
      <c r="I1144" s="491"/>
      <c r="J1144" s="491"/>
      <c r="K1144" s="493"/>
      <c r="L1144" s="494"/>
      <c r="M1144" s="309"/>
      <c r="N1144" s="309"/>
      <c r="O1144" s="309"/>
      <c r="P1144" s="309"/>
      <c r="Q1144" s="309"/>
      <c r="R1144" s="309"/>
      <c r="S1144" s="309"/>
      <c r="T1144" s="309"/>
      <c r="U1144" s="309"/>
      <c r="V1144" s="309"/>
      <c r="W1144" s="309"/>
      <c r="X1144" s="309"/>
    </row>
    <row r="1145" hidden="1">
      <c r="A1145" s="348"/>
      <c r="B1145" s="488"/>
      <c r="C1145" s="309"/>
      <c r="D1145" s="309"/>
      <c r="E1145" s="489"/>
      <c r="F1145" s="309"/>
      <c r="G1145" s="407"/>
      <c r="H1145" s="309"/>
      <c r="I1145" s="491"/>
      <c r="J1145" s="491"/>
      <c r="K1145" s="493"/>
      <c r="L1145" s="494"/>
      <c r="M1145" s="309"/>
      <c r="N1145" s="309"/>
      <c r="O1145" s="309"/>
      <c r="P1145" s="309"/>
      <c r="Q1145" s="309"/>
      <c r="R1145" s="309"/>
      <c r="S1145" s="309"/>
      <c r="T1145" s="309"/>
      <c r="U1145" s="309"/>
      <c r="V1145" s="309"/>
      <c r="W1145" s="309"/>
      <c r="X1145" s="309"/>
    </row>
    <row r="1146" hidden="1">
      <c r="A1146" s="348"/>
      <c r="B1146" s="488"/>
      <c r="C1146" s="309"/>
      <c r="D1146" s="309"/>
      <c r="E1146" s="489"/>
      <c r="F1146" s="309"/>
      <c r="G1146" s="407"/>
      <c r="H1146" s="309"/>
      <c r="I1146" s="491"/>
      <c r="J1146" s="491"/>
      <c r="K1146" s="493"/>
      <c r="L1146" s="494"/>
      <c r="M1146" s="309"/>
      <c r="N1146" s="309"/>
      <c r="O1146" s="309"/>
      <c r="P1146" s="309"/>
      <c r="Q1146" s="309"/>
      <c r="R1146" s="309"/>
      <c r="S1146" s="309"/>
      <c r="T1146" s="309"/>
      <c r="U1146" s="309"/>
      <c r="V1146" s="309"/>
      <c r="W1146" s="309"/>
      <c r="X1146" s="309"/>
    </row>
    <row r="1147" hidden="1">
      <c r="A1147" s="348"/>
      <c r="B1147" s="488"/>
      <c r="C1147" s="309"/>
      <c r="D1147" s="309"/>
      <c r="E1147" s="489"/>
      <c r="F1147" s="309"/>
      <c r="G1147" s="407"/>
      <c r="H1147" s="309"/>
      <c r="I1147" s="491"/>
      <c r="J1147" s="491"/>
      <c r="K1147" s="493"/>
      <c r="L1147" s="494"/>
      <c r="M1147" s="309"/>
      <c r="N1147" s="309"/>
      <c r="O1147" s="309"/>
      <c r="P1147" s="309"/>
      <c r="Q1147" s="309"/>
      <c r="R1147" s="309"/>
      <c r="S1147" s="309"/>
      <c r="T1147" s="309"/>
      <c r="U1147" s="309"/>
      <c r="V1147" s="309"/>
      <c r="W1147" s="309"/>
      <c r="X1147" s="309"/>
    </row>
    <row r="1148" hidden="1">
      <c r="A1148" s="348"/>
      <c r="B1148" s="488"/>
      <c r="C1148" s="309"/>
      <c r="D1148" s="309"/>
      <c r="E1148" s="489"/>
      <c r="F1148" s="309"/>
      <c r="G1148" s="407"/>
      <c r="H1148" s="309"/>
      <c r="I1148" s="491"/>
      <c r="J1148" s="491"/>
      <c r="K1148" s="493"/>
      <c r="L1148" s="494"/>
      <c r="M1148" s="309"/>
      <c r="N1148" s="309"/>
      <c r="O1148" s="309"/>
      <c r="P1148" s="309"/>
      <c r="Q1148" s="309"/>
      <c r="R1148" s="309"/>
      <c r="S1148" s="309"/>
      <c r="T1148" s="309"/>
      <c r="U1148" s="309"/>
      <c r="V1148" s="309"/>
      <c r="W1148" s="309"/>
      <c r="X1148" s="309"/>
    </row>
    <row r="1149" hidden="1">
      <c r="A1149" s="348"/>
      <c r="B1149" s="488"/>
      <c r="C1149" s="309"/>
      <c r="D1149" s="309"/>
      <c r="E1149" s="489"/>
      <c r="F1149" s="309"/>
      <c r="G1149" s="407"/>
      <c r="H1149" s="309"/>
      <c r="I1149" s="491"/>
      <c r="J1149" s="491"/>
      <c r="K1149" s="493"/>
      <c r="L1149" s="494"/>
      <c r="M1149" s="309"/>
      <c r="N1149" s="309"/>
      <c r="O1149" s="309"/>
      <c r="P1149" s="309"/>
      <c r="Q1149" s="309"/>
      <c r="R1149" s="309"/>
      <c r="S1149" s="309"/>
      <c r="T1149" s="309"/>
      <c r="U1149" s="309"/>
      <c r="V1149" s="309"/>
      <c r="W1149" s="309"/>
      <c r="X1149" s="309"/>
    </row>
    <row r="1150" hidden="1">
      <c r="A1150" s="348"/>
      <c r="B1150" s="488"/>
      <c r="C1150" s="309"/>
      <c r="D1150" s="309"/>
      <c r="E1150" s="489"/>
      <c r="F1150" s="309"/>
      <c r="G1150" s="407"/>
      <c r="H1150" s="309"/>
      <c r="I1150" s="491"/>
      <c r="J1150" s="491"/>
      <c r="K1150" s="493"/>
      <c r="L1150" s="494"/>
      <c r="M1150" s="309"/>
      <c r="N1150" s="309"/>
      <c r="O1150" s="309"/>
      <c r="P1150" s="309"/>
      <c r="Q1150" s="309"/>
      <c r="R1150" s="309"/>
      <c r="S1150" s="309"/>
      <c r="T1150" s="309"/>
      <c r="U1150" s="309"/>
      <c r="V1150" s="309"/>
      <c r="W1150" s="309"/>
      <c r="X1150" s="309"/>
    </row>
    <row r="1151" hidden="1">
      <c r="A1151" s="348"/>
      <c r="B1151" s="488"/>
      <c r="C1151" s="309"/>
      <c r="D1151" s="309"/>
      <c r="E1151" s="489"/>
      <c r="F1151" s="309"/>
      <c r="G1151" s="407"/>
      <c r="H1151" s="309"/>
      <c r="I1151" s="491"/>
      <c r="J1151" s="491"/>
      <c r="K1151" s="493"/>
      <c r="L1151" s="494"/>
      <c r="M1151" s="309"/>
      <c r="N1151" s="309"/>
      <c r="O1151" s="309"/>
      <c r="P1151" s="309"/>
      <c r="Q1151" s="309"/>
      <c r="R1151" s="309"/>
      <c r="S1151" s="309"/>
      <c r="T1151" s="309"/>
      <c r="U1151" s="309"/>
      <c r="V1151" s="309"/>
      <c r="W1151" s="309"/>
      <c r="X1151" s="309"/>
    </row>
    <row r="1152" hidden="1">
      <c r="A1152" s="348"/>
      <c r="B1152" s="488"/>
      <c r="C1152" s="309"/>
      <c r="D1152" s="309"/>
      <c r="E1152" s="489"/>
      <c r="F1152" s="309"/>
      <c r="G1152" s="407"/>
      <c r="H1152" s="309"/>
      <c r="I1152" s="491"/>
      <c r="J1152" s="491"/>
      <c r="K1152" s="493"/>
      <c r="L1152" s="494"/>
      <c r="M1152" s="309"/>
      <c r="N1152" s="309"/>
      <c r="O1152" s="309"/>
      <c r="P1152" s="309"/>
      <c r="Q1152" s="309"/>
      <c r="R1152" s="309"/>
      <c r="S1152" s="309"/>
      <c r="T1152" s="309"/>
      <c r="U1152" s="309"/>
      <c r="V1152" s="309"/>
      <c r="W1152" s="309"/>
      <c r="X1152" s="309"/>
    </row>
    <row r="1153" hidden="1">
      <c r="A1153" s="348"/>
      <c r="B1153" s="488"/>
      <c r="C1153" s="309"/>
      <c r="D1153" s="309"/>
      <c r="E1153" s="489"/>
      <c r="F1153" s="309"/>
      <c r="G1153" s="407"/>
      <c r="H1153" s="309"/>
      <c r="I1153" s="491"/>
      <c r="J1153" s="491"/>
      <c r="K1153" s="493"/>
      <c r="L1153" s="494"/>
      <c r="M1153" s="309"/>
      <c r="N1153" s="309"/>
      <c r="O1153" s="309"/>
      <c r="P1153" s="309"/>
      <c r="Q1153" s="309"/>
      <c r="R1153" s="309"/>
      <c r="S1153" s="309"/>
      <c r="T1153" s="309"/>
      <c r="U1153" s="309"/>
      <c r="V1153" s="309"/>
      <c r="W1153" s="309"/>
      <c r="X1153" s="309"/>
    </row>
  </sheetData>
  <customSheetViews>
    <customSheetView guid="{7B4C6949-4C66-4E73-8AD3-11F94D6FEF48}" filter="1" showAutoFilter="1">
      <autoFilter ref="$C$3:$C$155">
        <filterColumn colId="0">
          <filters>
            <filter val="W0090"/>
            <filter val="W0091"/>
            <filter val="W0092"/>
            <filter val="W0093"/>
            <filter val="W0094"/>
            <filter val="W0095"/>
            <filter val="W0096"/>
            <filter val="W0097"/>
            <filter val="W0076-I"/>
            <filter val="W0098"/>
            <filter val="W0099"/>
            <filter val="W0084-I"/>
            <filter val="W0080"/>
            <filter val="W0081"/>
            <filter val="W0082"/>
            <filter val="W0083"/>
            <filter val="W0084"/>
            <filter val="W0085"/>
            <filter val="W0086"/>
            <filter val="W0087"/>
            <filter val="W0088-I"/>
            <filter val="W0088"/>
            <filter val="W0089"/>
            <filter val="W0075"/>
            <filter val="W0076"/>
            <filter val="W0077"/>
            <filter val="W0078"/>
            <filter val="W0079"/>
            <filter val="W0081-I"/>
            <filter val="W0100"/>
            <filter val="W0101"/>
            <filter val="W0102"/>
            <filter val="W0103"/>
            <filter val="W0104"/>
            <filter val="W0105"/>
            <filter val="W0097-I"/>
          </filters>
        </filterColumn>
      </autoFilter>
    </customSheetView>
    <customSheetView guid="{FA010777-0597-4B91-A6E5-51A95D5D29B7}" filter="1" showAutoFilter="1">
      <autoFilter ref="$C$3:$C$155">
        <filterColumn colId="0">
          <filters>
            <filter val="M0204"/>
            <filter val="M0203"/>
            <filter val="M0169"/>
            <filter val="M0202"/>
            <filter val="M0168"/>
            <filter val="M0201"/>
            <filter val="M0208"/>
            <filter val="M0207"/>
            <filter val="M0206"/>
            <filter val="M0205"/>
            <filter val="M0209"/>
            <filter val="M0163"/>
            <filter val="M0162"/>
            <filter val="M0161"/>
            <filter val="M0160"/>
            <filter val="M0167"/>
            <filter val="M0200"/>
            <filter val="M0166"/>
            <filter val="M0165"/>
            <filter val="M0164"/>
            <filter val="M0179"/>
            <filter val="M0212"/>
            <filter val="M0170"/>
            <filter val="M0174"/>
            <filter val="M0173"/>
            <filter val="M0172"/>
            <filter val="M0171"/>
            <filter val="M0178"/>
            <filter val="M0211"/>
            <filter val="M0177"/>
            <filter val="M0210"/>
            <filter val="M0176"/>
            <filter val="M0175"/>
            <filter val="M0149"/>
            <filter val="M0159"/>
            <filter val="M0158"/>
            <filter val="M0157"/>
            <filter val="M0152"/>
            <filter val="M0151"/>
            <filter val="M0150"/>
            <filter val="M0156"/>
            <filter val="M0155"/>
            <filter val="M0154"/>
            <filter val="M0153"/>
            <filter val="M0181"/>
            <filter val="M0180"/>
            <filter val="M0185"/>
            <filter val="M0184"/>
            <filter val="M0183"/>
            <filter val="M0182"/>
            <filter val="M0189"/>
            <filter val="M0188"/>
            <filter val="M0187"/>
            <filter val="M0186"/>
            <filter val="M0192"/>
            <filter val="M0191"/>
            <filter val="M0190"/>
            <filter val="M0196"/>
            <filter val="M0195"/>
            <filter val="M0194"/>
            <filter val="M0193"/>
            <filter val="M0199"/>
            <filter val="M0198"/>
            <filter val="M0197"/>
          </filters>
        </filterColumn>
      </autoFilter>
    </customSheetView>
    <customSheetView guid="{3A661417-35C1-467D-956C-A7DA8502F566}" filter="1" showAutoFilter="1">
      <autoFilter ref="$C$3:$C$155"/>
    </customSheetView>
    <customSheetView guid="{527A0B77-B7B1-4D4C-BE5D-C05DA1F70CFA}" filter="1" showAutoFilter="1">
      <autoFilter ref="$C$4:$C$1153"/>
    </customSheetView>
    <customSheetView guid="{25168877-78B3-4E36-8EDD-918222010A74}" filter="1" showAutoFilter="1">
      <autoFilter ref="$B$159"/>
    </customSheetView>
    <customSheetView guid="{563191C9-E199-43DA-99AD-1F2C3E2B443B}" filter="1" showAutoFilter="1">
      <autoFilter ref="$C$3:$C$1153">
        <filterColumn colId="0">
          <filters>
            <filter val="KB0027"/>
            <filter val="KB0024"/>
            <filter val="KB0025"/>
            <filter val="KB0026"/>
          </filters>
        </filterColumn>
      </autoFilter>
    </customSheetView>
    <customSheetView guid="{01F820AF-17B4-4AB1-BBB9-CFEF631E15AA}" filter="1" showAutoFilter="1">
      <autoFilter ref="$C$3:$C$1153">
        <filterColumn colId="0">
          <customFilters>
            <customFilter val="KS*"/>
          </customFilters>
        </filterColumn>
      </autoFilter>
    </customSheetView>
    <customSheetView guid="{FD8A8E4D-B6BA-4AD3-B477-8F35105710E1}" filter="1" showAutoFilter="1">
      <autoFilter ref="$C$3:$C$1153">
        <filterColumn colId="0">
          <filters>
            <filter val="DB0034"/>
          </filters>
        </filterColumn>
      </autoFilter>
    </customSheetView>
  </customSheetViews>
  <mergeCells count="115">
    <mergeCell ref="I50:I51"/>
    <mergeCell ref="I52:I53"/>
    <mergeCell ref="J52:J53"/>
    <mergeCell ref="I33:I34"/>
    <mergeCell ref="I35:I36"/>
    <mergeCell ref="I40:I41"/>
    <mergeCell ref="J40:J41"/>
    <mergeCell ref="I45:I47"/>
    <mergeCell ref="J45:J47"/>
    <mergeCell ref="I48:I49"/>
    <mergeCell ref="A35:A36"/>
    <mergeCell ref="A37:A39"/>
    <mergeCell ref="A40:A41"/>
    <mergeCell ref="A43:A47"/>
    <mergeCell ref="A48:A49"/>
    <mergeCell ref="A50:A51"/>
    <mergeCell ref="A52:A53"/>
    <mergeCell ref="A54:A56"/>
    <mergeCell ref="A59:A61"/>
    <mergeCell ref="A68:A69"/>
    <mergeCell ref="A70:A71"/>
    <mergeCell ref="A74:A75"/>
    <mergeCell ref="A78:A81"/>
    <mergeCell ref="A82:A83"/>
    <mergeCell ref="A92:A94"/>
    <mergeCell ref="A95:A96"/>
    <mergeCell ref="B95:B96"/>
    <mergeCell ref="A97:A98"/>
    <mergeCell ref="A100:A101"/>
    <mergeCell ref="B100:B101"/>
    <mergeCell ref="A106:A108"/>
    <mergeCell ref="A109:A111"/>
    <mergeCell ref="A112:A113"/>
    <mergeCell ref="A114:A115"/>
    <mergeCell ref="A116:A118"/>
    <mergeCell ref="A119:A120"/>
    <mergeCell ref="A121:A122"/>
    <mergeCell ref="A123:A125"/>
    <mergeCell ref="A141:A142"/>
    <mergeCell ref="A143:A144"/>
    <mergeCell ref="A126:A127"/>
    <mergeCell ref="A128:A129"/>
    <mergeCell ref="A130:A131"/>
    <mergeCell ref="A132:A134"/>
    <mergeCell ref="A135:A136"/>
    <mergeCell ref="A137:A138"/>
    <mergeCell ref="A139:A140"/>
    <mergeCell ref="K89:K90"/>
    <mergeCell ref="K98:K99"/>
    <mergeCell ref="K101:K105"/>
    <mergeCell ref="I104:I105"/>
    <mergeCell ref="J104:J105"/>
    <mergeCell ref="I107:I108"/>
    <mergeCell ref="K108:K109"/>
    <mergeCell ref="J124:J125"/>
    <mergeCell ref="K124:K125"/>
    <mergeCell ref="J126:J127"/>
    <mergeCell ref="K126:K130"/>
    <mergeCell ref="J128:J129"/>
    <mergeCell ref="J107:J108"/>
    <mergeCell ref="J112:J113"/>
    <mergeCell ref="K113:K116"/>
    <mergeCell ref="J114:J115"/>
    <mergeCell ref="J119:J120"/>
    <mergeCell ref="K119:K122"/>
    <mergeCell ref="J121:J122"/>
    <mergeCell ref="A1:D2"/>
    <mergeCell ref="E1:H2"/>
    <mergeCell ref="I1:J2"/>
    <mergeCell ref="K1:K2"/>
    <mergeCell ref="L1:L3"/>
    <mergeCell ref="K6:K9"/>
    <mergeCell ref="A11:A13"/>
    <mergeCell ref="A14:A16"/>
    <mergeCell ref="I14:I16"/>
    <mergeCell ref="J14:J16"/>
    <mergeCell ref="K14:K15"/>
    <mergeCell ref="I17:I19"/>
    <mergeCell ref="J17:J19"/>
    <mergeCell ref="K17:K18"/>
    <mergeCell ref="I12:I13"/>
    <mergeCell ref="J12:J13"/>
    <mergeCell ref="I20:I21"/>
    <mergeCell ref="J20:J21"/>
    <mergeCell ref="K20:K21"/>
    <mergeCell ref="I24:I25"/>
    <mergeCell ref="J24:J25"/>
    <mergeCell ref="I29:I30"/>
    <mergeCell ref="J29:J30"/>
    <mergeCell ref="K30:K31"/>
    <mergeCell ref="I31:I32"/>
    <mergeCell ref="J31:J32"/>
    <mergeCell ref="K32:K36"/>
    <mergeCell ref="J33:J34"/>
    <mergeCell ref="J35:J36"/>
    <mergeCell ref="A17:A19"/>
    <mergeCell ref="A20:A21"/>
    <mergeCell ref="A22:A23"/>
    <mergeCell ref="A24:A25"/>
    <mergeCell ref="A27:A30"/>
    <mergeCell ref="A31:A32"/>
    <mergeCell ref="A33:A34"/>
    <mergeCell ref="A85:A86"/>
    <mergeCell ref="A87:A89"/>
    <mergeCell ref="A102:A103"/>
    <mergeCell ref="B102:B103"/>
    <mergeCell ref="A104:A105"/>
    <mergeCell ref="B104:B105"/>
    <mergeCell ref="J48:J49"/>
    <mergeCell ref="K48:K51"/>
    <mergeCell ref="J50:J51"/>
    <mergeCell ref="K62:K64"/>
    <mergeCell ref="K70:K71"/>
    <mergeCell ref="K75:K76"/>
    <mergeCell ref="K83:K86"/>
  </mergeCells>
  <conditionalFormatting sqref="A4:B1153">
    <cfRule type="expression" dxfId="7" priority="1">
      <formula>AND(ISNUMBER(A4),TRUNC(A4)&lt;TODAY())</formula>
    </cfRule>
  </conditionalFormatting>
  <conditionalFormatting sqref="A4:B1153">
    <cfRule type="timePeriod" dxfId="8" priority="2" timePeriod="today"/>
  </conditionalFormatting>
  <conditionalFormatting sqref="A4:B1153">
    <cfRule type="timePeriod" dxfId="9" priority="3" timePeriod="tomorrow"/>
  </conditionalFormatting>
  <conditionalFormatting sqref="A4:B1153">
    <cfRule type="expression" dxfId="10" priority="6">
      <formula>AND(ISNUMBER(A4),TRUNC(A4)&gt;TODAY())</formula>
    </cfRule>
  </conditionalFormatting>
  <conditionalFormatting sqref="I4:I99 J4:J1153 K4:K94 G63 K96:K1153 I101:I1153">
    <cfRule type="expression" dxfId="7" priority="7">
      <formula>AND(ISNUMBER(I4),TRUNC(I4)&lt;TODAY())</formula>
    </cfRule>
  </conditionalFormatting>
  <conditionalFormatting sqref="I4:I99 J4:J1153 K4:K94 G63 K96:K1153 I101:I1153">
    <cfRule type="timePeriod" dxfId="8" priority="8" timePeriod="today"/>
  </conditionalFormatting>
  <conditionalFormatting sqref="I4:I99 J4:J1153 K4:K94 G63 K96:K1153 I101:I1153">
    <cfRule type="timePeriod" dxfId="9" priority="9" timePeriod="tomorrow"/>
  </conditionalFormatting>
  <conditionalFormatting sqref="I4:I99 J4:J1153 K4:K94 G63 K96:K1153 I101:I1153">
    <cfRule type="expression" dxfId="10" priority="12">
      <formula>AND(ISNUMBER(I4),TRUNC(I4)&gt;TODAY())</formula>
    </cfRule>
  </conditionalFormatting>
  <conditionalFormatting sqref="D4:D155">
    <cfRule type="cellIs" dxfId="11" priority="13" operator="equal">
      <formula>"-"</formula>
    </cfRule>
  </conditionalFormatting>
  <conditionalFormatting sqref="D4:D1153">
    <cfRule type="cellIs" dxfId="12" priority="14" operator="equal">
      <formula>"Koninklijk Besluit"</formula>
    </cfRule>
  </conditionalFormatting>
  <conditionalFormatting sqref="D4:D155">
    <cfRule type="cellIs" dxfId="13" priority="15" operator="equal">
      <formula>"Wetsvoorstel"</formula>
    </cfRule>
  </conditionalFormatting>
  <conditionalFormatting sqref="D4:D155">
    <cfRule type="cellIs" dxfId="14" priority="16" operator="equal">
      <formula>"Motie"</formula>
    </cfRule>
  </conditionalFormatting>
  <conditionalFormatting sqref="D4:D155">
    <cfRule type="endsWith" dxfId="15" priority="17" operator="endsWith" text="Stemming">
      <formula>RIGHT((D4),LEN("Stemming"))=("Stemming")</formula>
    </cfRule>
  </conditionalFormatting>
  <conditionalFormatting sqref="D4:D155">
    <cfRule type="endsWith" dxfId="15" priority="18" operator="endsWith" text="Uitslagen">
      <formula>RIGHT((D4),LEN("Uitslagen"))=("Uitslagen")</formula>
    </cfRule>
  </conditionalFormatting>
  <conditionalFormatting sqref="D4:D155">
    <cfRule type="cellIs" dxfId="16" priority="19" operator="equal">
      <formula>"Debat"</formula>
    </cfRule>
  </conditionalFormatting>
  <conditionalFormatting sqref="D4:D1153">
    <cfRule type="cellIs" dxfId="17" priority="20" operator="equal">
      <formula>"Kamerbrief"</formula>
    </cfRule>
  </conditionalFormatting>
  <conditionalFormatting sqref="E4:F1153">
    <cfRule type="cellIs" dxfId="18" priority="21" operator="equal">
      <formula>"TRUE"</formula>
    </cfRule>
  </conditionalFormatting>
  <conditionalFormatting sqref="E4:F1107">
    <cfRule type="cellIs" dxfId="19" priority="22" operator="equal">
      <formula>"FALSE"</formula>
    </cfRule>
  </conditionalFormatting>
  <conditionalFormatting sqref="G4:H1153">
    <cfRule type="notContainsBlanks" dxfId="20" priority="23">
      <formula>LEN(TRIM(G4))&gt;0</formula>
    </cfRule>
  </conditionalFormatting>
  <conditionalFormatting sqref="C2:C1153">
    <cfRule type="endsWith" dxfId="21" priority="24" operator="endsWith" text="-I">
      <formula>RIGHT((C2),LEN("-I"))=("-I")</formula>
    </cfRule>
  </conditionalFormatting>
  <conditionalFormatting sqref="C3:C1153">
    <cfRule type="beginsWith" dxfId="13" priority="25" operator="beginsWith" text="W">
      <formula>LEFT((C3),LEN("W"))=("W")</formula>
    </cfRule>
  </conditionalFormatting>
  <conditionalFormatting sqref="C4:C1153">
    <cfRule type="beginsWith" dxfId="14" priority="26" operator="beginsWith" text="M">
      <formula>LEFT((C4),LEN("M"))=("M")</formula>
    </cfRule>
  </conditionalFormatting>
  <conditionalFormatting sqref="C4:C1153">
    <cfRule type="beginsWith" dxfId="15" priority="27" operator="beginsWith" text="TS">
      <formula>LEFT((C4),LEN("TS"))=("TS")</formula>
    </cfRule>
  </conditionalFormatting>
  <conditionalFormatting sqref="C4:C1153">
    <cfRule type="beginsWith" dxfId="15" priority="28" operator="beginsWith" text="ES">
      <formula>LEFT((C4),LEN("ES"))=("ES")</formula>
    </cfRule>
  </conditionalFormatting>
  <conditionalFormatting sqref="C4:C1153">
    <cfRule type="beginsWith" dxfId="12" priority="29" operator="beginsWith" text="KB">
      <formula>LEFT((C4),LEN("KB"))=("KB")</formula>
    </cfRule>
  </conditionalFormatting>
  <conditionalFormatting sqref="C4:C1153">
    <cfRule type="beginsWith" dxfId="17" priority="30" operator="beginsWith" text="KS">
      <formula>LEFT((C4),LEN("KS"))=("KS")</formula>
    </cfRule>
  </conditionalFormatting>
  <conditionalFormatting sqref="C4:C1153">
    <cfRule type="notContainsBlanks" dxfId="22" priority="31">
      <formula>LEN(TRIM(C4))&gt;0</formula>
    </cfRule>
  </conditionalFormatting>
  <conditionalFormatting sqref="D4:D1153">
    <cfRule type="cellIs" dxfId="21" priority="32" operator="equal">
      <formula>"Amendement"</formula>
    </cfRule>
  </conditionalFormatting>
  <conditionalFormatting sqref="D102">
    <cfRule type="notContainsBlanks" dxfId="23" priority="33">
      <formula>LEN(TRIM(D102))&gt;0</formula>
    </cfRule>
  </conditionalFormatting>
  <dataValidations>
    <dataValidation type="list" allowBlank="1" sqref="D10 D26 D35:D36 D40:D42 D48:D53 D57:D58 D62:D64 D67 D70:D73 D76 D82:D91 D94:D105 D108:D122 D124:D138 D140:D148 D150:D155">
      <formula1>'Agenda Validatie'!$A$1:$A$9</formula1>
    </dataValidation>
    <dataValidation type="custom" allowBlank="1" showDropDown="1" sqref="B8:B21 B24:B26 B31:B95 B97:B100 B102 B104 B106:B155">
      <formula1>OR(NOT(ISERROR(DATEVALUE(B8))), AND(ISNUMBER(B8), LEFT(CELL("format", B8))="D"))</formula1>
    </dataValidation>
    <dataValidation type="list" allowBlank="1" sqref="D77">
      <formula1>'Agenda Validatie'!$A$1:$A$15</formula1>
    </dataValidation>
    <dataValidation type="list" allowBlank="1" sqref="D4:D9 D11:D25 D27:D34 D37:D39 D43:D47 D54:D56 D59:D61 D65:D66 D68:D69 D74:D75 D78:D81 D92:D93 D106:D107 D123 D139 D149">
      <formula1>'Agenda Validatie'!$A$1:$A1153</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14"/>
  </cols>
  <sheetData>
    <row r="1">
      <c r="A1" s="495" t="s">
        <v>56</v>
      </c>
    </row>
    <row r="2">
      <c r="A2" s="495" t="s">
        <v>192</v>
      </c>
    </row>
    <row r="3">
      <c r="A3" s="495" t="s">
        <v>199</v>
      </c>
    </row>
    <row r="4">
      <c r="A4" s="495" t="s">
        <v>409</v>
      </c>
    </row>
    <row r="5">
      <c r="A5" s="495" t="s">
        <v>227</v>
      </c>
    </row>
    <row r="6">
      <c r="A6" s="495" t="s">
        <v>233</v>
      </c>
    </row>
    <row r="7">
      <c r="A7" s="495" t="s">
        <v>235</v>
      </c>
    </row>
    <row r="8">
      <c r="A8" s="495" t="s">
        <v>242</v>
      </c>
    </row>
    <row r="9">
      <c r="A9" s="496" t="s">
        <v>243</v>
      </c>
    </row>
    <row r="10">
      <c r="A10" s="495" t="s">
        <v>240</v>
      </c>
    </row>
    <row r="11">
      <c r="A11" s="495" t="s">
        <v>347</v>
      </c>
    </row>
    <row r="12">
      <c r="A12" s="495" t="s">
        <v>212</v>
      </c>
    </row>
    <row r="13">
      <c r="A13" s="495" t="s">
        <v>347</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34343"/>
    <outlinePr summaryBelow="0" summaryRight="0"/>
  </sheetPr>
  <sheetViews>
    <sheetView workbookViewId="0"/>
  </sheetViews>
  <sheetFormatPr customHeight="1" defaultColWidth="14.43" defaultRowHeight="15.75"/>
  <cols>
    <col customWidth="1" min="1" max="1" width="3.71"/>
    <col customWidth="1" min="2" max="2" width="49.0"/>
    <col customWidth="1" min="3" max="4" width="13.71"/>
    <col customWidth="1" min="5" max="5" width="3.71"/>
    <col customWidth="1" min="6" max="6" width="25.14"/>
    <col customWidth="1" min="7" max="7" width="3.71"/>
    <col customWidth="1" min="8" max="8" width="15.0"/>
    <col customWidth="1" min="9" max="9" width="7.29"/>
    <col customWidth="1" min="10" max="10" width="3.71"/>
    <col customWidth="1" min="11" max="11" width="29.57"/>
    <col customWidth="1" min="12" max="12" width="3.71"/>
    <col customWidth="1" min="13" max="13" width="24.86"/>
    <col customWidth="1" min="14" max="14" width="3.71"/>
  </cols>
  <sheetData>
    <row r="1" ht="18.75" customHeight="1">
      <c r="A1" s="497"/>
      <c r="B1" s="497"/>
      <c r="C1" s="497"/>
      <c r="D1" s="497"/>
      <c r="E1" s="497"/>
      <c r="F1" s="497"/>
      <c r="G1" s="497"/>
      <c r="H1" s="497"/>
      <c r="I1" s="497"/>
      <c r="J1" s="497"/>
      <c r="K1" s="497"/>
      <c r="L1" s="497"/>
      <c r="M1" s="497"/>
      <c r="N1" s="498"/>
    </row>
    <row r="2" ht="42.75" customHeight="1">
      <c r="A2" s="499"/>
      <c r="B2" s="500" t="s">
        <v>0</v>
      </c>
      <c r="C2" s="501"/>
      <c r="D2" s="501"/>
      <c r="E2" s="501"/>
      <c r="F2" s="501"/>
      <c r="G2" s="501"/>
      <c r="H2" s="501"/>
      <c r="I2" s="501"/>
      <c r="J2" s="501"/>
      <c r="K2" s="501"/>
      <c r="L2" s="501"/>
      <c r="M2" s="100"/>
      <c r="N2" s="502"/>
    </row>
    <row r="3" ht="65.25" customHeight="1">
      <c r="A3" s="499"/>
      <c r="B3" s="503" t="s">
        <v>1</v>
      </c>
      <c r="C3" s="504"/>
      <c r="D3" s="504"/>
      <c r="E3" s="504"/>
      <c r="F3" s="504"/>
      <c r="G3" s="504"/>
      <c r="H3" s="504"/>
      <c r="I3" s="504"/>
      <c r="J3" s="504"/>
      <c r="K3" s="504"/>
      <c r="L3" s="504"/>
      <c r="M3" s="27"/>
      <c r="N3" s="505"/>
    </row>
    <row r="4" ht="11.25" customHeight="1">
      <c r="A4" s="506"/>
      <c r="B4" s="507"/>
      <c r="C4" s="507"/>
      <c r="D4" s="507"/>
      <c r="E4" s="506"/>
      <c r="F4" s="507"/>
      <c r="G4" s="506"/>
      <c r="H4" s="507"/>
      <c r="I4" s="507"/>
      <c r="J4" s="506"/>
      <c r="K4" s="507"/>
      <c r="L4" s="506"/>
      <c r="M4" s="507"/>
      <c r="N4" s="498"/>
    </row>
    <row r="5" ht="28.5" customHeight="1">
      <c r="A5" s="508"/>
      <c r="B5" s="15" t="s">
        <v>4</v>
      </c>
      <c r="C5" s="16"/>
      <c r="D5" s="17"/>
      <c r="E5" s="508"/>
      <c r="F5" s="13" t="s">
        <v>6</v>
      </c>
      <c r="G5" s="508"/>
      <c r="H5" s="19" t="s">
        <v>7</v>
      </c>
      <c r="I5" s="20"/>
      <c r="J5" s="508"/>
      <c r="K5" s="13" t="s">
        <v>8</v>
      </c>
      <c r="L5" s="508"/>
      <c r="M5" s="18" t="s">
        <v>9</v>
      </c>
      <c r="N5" s="505"/>
    </row>
    <row r="6" ht="22.5" customHeight="1">
      <c r="A6" s="505"/>
      <c r="B6" s="24" t="s">
        <v>11</v>
      </c>
      <c r="C6" s="24" t="s">
        <v>12</v>
      </c>
      <c r="D6" s="509" t="s">
        <v>13</v>
      </c>
      <c r="E6" s="510"/>
      <c r="F6" s="21"/>
      <c r="G6" s="508"/>
      <c r="H6" s="26"/>
      <c r="I6" s="27"/>
      <c r="J6" s="508"/>
      <c r="K6" s="21"/>
      <c r="L6" s="508"/>
      <c r="M6" s="21"/>
      <c r="N6" s="505"/>
    </row>
    <row r="7" ht="6.0" customHeight="1">
      <c r="A7" s="498"/>
      <c r="B7" s="497"/>
      <c r="C7" s="497"/>
      <c r="D7" s="497"/>
      <c r="E7" s="498"/>
      <c r="F7" s="497"/>
      <c r="G7" s="498"/>
      <c r="H7" s="507"/>
      <c r="I7" s="507"/>
      <c r="J7" s="497"/>
      <c r="K7" s="507"/>
      <c r="L7" s="498"/>
      <c r="M7" s="507"/>
      <c r="N7" s="498"/>
    </row>
    <row r="8" ht="22.5" customHeight="1">
      <c r="A8" s="498"/>
      <c r="B8" s="511" t="s">
        <v>439</v>
      </c>
      <c r="C8" s="512" t="s">
        <v>440</v>
      </c>
      <c r="D8" s="513">
        <v>7.0</v>
      </c>
      <c r="E8" s="508"/>
      <c r="F8" s="514" t="s">
        <v>441</v>
      </c>
      <c r="G8" s="505"/>
      <c r="H8" s="36" t="s">
        <v>18</v>
      </c>
      <c r="I8" s="20"/>
      <c r="J8" s="508"/>
      <c r="K8" s="37" t="s">
        <v>19</v>
      </c>
      <c r="L8" s="508"/>
      <c r="M8" s="38" t="s">
        <v>442</v>
      </c>
      <c r="N8" s="505"/>
    </row>
    <row r="9" ht="6.0" customHeight="1">
      <c r="A9" s="498"/>
      <c r="B9" s="507"/>
      <c r="C9" s="507"/>
      <c r="D9" s="507"/>
      <c r="E9" s="510"/>
      <c r="F9" s="506"/>
      <c r="G9" s="505"/>
      <c r="H9" s="43"/>
      <c r="I9" s="44"/>
      <c r="J9" s="508"/>
      <c r="K9" s="45" t="s">
        <v>21</v>
      </c>
      <c r="L9" s="508"/>
      <c r="M9" s="46" t="s">
        <v>22</v>
      </c>
      <c r="N9" s="505"/>
    </row>
    <row r="10" ht="22.5" customHeight="1">
      <c r="A10" s="498"/>
      <c r="B10" s="515" t="s">
        <v>30</v>
      </c>
      <c r="C10" s="516" t="s">
        <v>31</v>
      </c>
      <c r="D10" s="517">
        <v>7.0</v>
      </c>
      <c r="E10" s="508"/>
      <c r="F10" s="52" t="s">
        <v>26</v>
      </c>
      <c r="G10" s="505"/>
      <c r="H10" s="53" t="s">
        <v>443</v>
      </c>
      <c r="I10" s="27"/>
      <c r="J10" s="508"/>
      <c r="K10" s="54"/>
      <c r="L10" s="508"/>
      <c r="M10" s="54"/>
      <c r="N10" s="505"/>
    </row>
    <row r="11" ht="6.0" customHeight="1">
      <c r="A11" s="498"/>
      <c r="B11" s="507"/>
      <c r="C11" s="507"/>
      <c r="D11" s="507"/>
      <c r="E11" s="510"/>
      <c r="F11" s="518" t="s">
        <v>444</v>
      </c>
      <c r="G11" s="505"/>
      <c r="H11" s="10"/>
      <c r="I11" s="10"/>
      <c r="J11" s="508"/>
      <c r="K11" s="45" t="s">
        <v>29</v>
      </c>
      <c r="L11" s="510"/>
      <c r="M11" s="45" t="str">
        <f>HYPERLINK("https://docs.google.com/spreadsheets/d/1oACHtCK9LUfY8qoKgW6FdyzXnfTn2guThBVex-Mdzns/edit?usp=sharing","RMTK Financiën")</f>
        <v>RMTK Financiën</v>
      </c>
      <c r="N11" s="505"/>
    </row>
    <row r="12" ht="22.5" customHeight="1">
      <c r="A12" s="498"/>
      <c r="B12" s="519" t="s">
        <v>445</v>
      </c>
      <c r="C12" s="520" t="s">
        <v>446</v>
      </c>
      <c r="D12" s="521">
        <v>5.0</v>
      </c>
      <c r="E12" s="508"/>
      <c r="F12" s="522"/>
      <c r="G12" s="505"/>
      <c r="H12" s="36" t="s">
        <v>33</v>
      </c>
      <c r="I12" s="20"/>
      <c r="J12" s="508"/>
      <c r="K12" s="21"/>
      <c r="L12" s="508"/>
      <c r="M12" s="21"/>
      <c r="N12" s="505"/>
    </row>
    <row r="13" ht="6.0" customHeight="1">
      <c r="A13" s="498"/>
      <c r="B13" s="507"/>
      <c r="C13" s="507"/>
      <c r="D13" s="507"/>
      <c r="E13" s="510"/>
      <c r="F13" s="523" t="s">
        <v>447</v>
      </c>
      <c r="G13" s="505"/>
      <c r="H13" s="43"/>
      <c r="I13" s="44"/>
      <c r="J13" s="505"/>
      <c r="K13" s="507"/>
      <c r="L13" s="510"/>
      <c r="M13" s="507"/>
      <c r="N13" s="505"/>
    </row>
    <row r="14" ht="22.5" customHeight="1">
      <c r="A14" s="498"/>
      <c r="B14" s="524" t="s">
        <v>448</v>
      </c>
      <c r="C14" s="525" t="s">
        <v>449</v>
      </c>
      <c r="D14" s="526">
        <v>3.0</v>
      </c>
      <c r="E14" s="508"/>
      <c r="F14" s="522"/>
      <c r="G14" s="505"/>
      <c r="H14" s="53" t="s">
        <v>27</v>
      </c>
      <c r="I14" s="27"/>
      <c r="J14" s="508"/>
      <c r="K14" s="69" t="s">
        <v>39</v>
      </c>
      <c r="L14" s="508"/>
      <c r="M14" s="70" t="s">
        <v>40</v>
      </c>
      <c r="N14" s="505"/>
    </row>
    <row r="15" ht="6.0" customHeight="1">
      <c r="A15" s="498"/>
      <c r="B15" s="507"/>
      <c r="C15" s="507"/>
      <c r="D15" s="507"/>
      <c r="E15" s="510"/>
      <c r="F15" s="527" t="s">
        <v>450</v>
      </c>
      <c r="G15" s="505"/>
      <c r="H15" s="1"/>
      <c r="I15" s="1"/>
      <c r="J15" s="510"/>
      <c r="K15" s="71" t="s">
        <v>41</v>
      </c>
      <c r="L15" s="508"/>
      <c r="M15" s="72" t="str">
        <f>HYPERLINK("https://www.reddit.com/r/RMTK/comments/7277wf/word_lid_van_een_partij/","Word lid van een partij!")</f>
        <v>Word lid van een partij!</v>
      </c>
      <c r="N15" s="505"/>
    </row>
    <row r="16" ht="22.5" customHeight="1">
      <c r="A16" s="498"/>
      <c r="B16" s="528" t="s">
        <v>451</v>
      </c>
      <c r="C16" s="529" t="s">
        <v>452</v>
      </c>
      <c r="D16" s="530">
        <v>1.0</v>
      </c>
      <c r="E16" s="508"/>
      <c r="F16" s="21"/>
      <c r="G16" s="505"/>
      <c r="H16" s="36" t="s">
        <v>453</v>
      </c>
      <c r="I16" s="20"/>
      <c r="J16" s="510"/>
      <c r="K16" s="54"/>
      <c r="L16" s="508"/>
      <c r="M16" s="54"/>
      <c r="N16" s="505"/>
    </row>
    <row r="17" ht="6.0" customHeight="1">
      <c r="A17" s="498"/>
      <c r="B17" s="507"/>
      <c r="C17" s="507"/>
      <c r="D17" s="507"/>
      <c r="E17" s="498"/>
      <c r="F17" s="531" t="s">
        <v>454</v>
      </c>
      <c r="G17" s="498"/>
      <c r="H17" s="43"/>
      <c r="I17" s="44"/>
      <c r="J17" s="510"/>
      <c r="K17" s="71" t="s">
        <v>47</v>
      </c>
      <c r="L17" s="508"/>
      <c r="M17" s="72" t="str">
        <f>HYPERLINK("https://www.reddit.com/r/RMTK/wiki/nieuwe-leden-gids","Nieuwe ledengids")</f>
        <v>Nieuwe ledengids</v>
      </c>
      <c r="N17" s="505"/>
    </row>
    <row r="18" ht="22.5" customHeight="1">
      <c r="A18" s="498"/>
      <c r="B18" s="532" t="s">
        <v>455</v>
      </c>
      <c r="C18" s="533" t="s">
        <v>456</v>
      </c>
      <c r="D18" s="534">
        <v>1.0</v>
      </c>
      <c r="E18" s="505"/>
      <c r="F18" s="21"/>
      <c r="G18" s="510"/>
      <c r="H18" s="84" t="s">
        <v>38</v>
      </c>
      <c r="I18" s="44"/>
      <c r="J18" s="508"/>
      <c r="K18" s="54"/>
      <c r="L18" s="508"/>
      <c r="M18" s="54"/>
      <c r="N18" s="505"/>
    </row>
    <row r="19" ht="6.0" customHeight="1">
      <c r="A19" s="498"/>
      <c r="B19" s="507"/>
      <c r="C19" s="507"/>
      <c r="D19" s="507"/>
      <c r="E19" s="510"/>
      <c r="F19" s="498"/>
      <c r="G19" s="508"/>
      <c r="H19" s="84"/>
      <c r="I19" s="44"/>
      <c r="J19" s="508"/>
      <c r="K19" s="71" t="s">
        <v>53</v>
      </c>
      <c r="L19" s="508"/>
      <c r="M19" s="72" t="str">
        <f>HYPERLINK("https://www.reddit.com/r/RMTK/wiki/grondwet","RMTK Grondwet")</f>
        <v>RMTK Grondwet</v>
      </c>
      <c r="N19" s="505"/>
    </row>
    <row r="20" ht="21.0" customHeight="1">
      <c r="A20" s="498"/>
      <c r="B20" s="535" t="s">
        <v>457</v>
      </c>
      <c r="C20" s="536" t="s">
        <v>458</v>
      </c>
      <c r="D20" s="537">
        <v>1.0</v>
      </c>
      <c r="E20" s="508"/>
      <c r="F20" s="38" t="s">
        <v>45</v>
      </c>
      <c r="G20" s="508"/>
      <c r="H20" s="53" t="s">
        <v>459</v>
      </c>
      <c r="I20" s="27"/>
      <c r="J20" s="508"/>
      <c r="K20" s="54"/>
      <c r="L20" s="508"/>
      <c r="M20" s="54"/>
      <c r="N20" s="505"/>
    </row>
    <row r="21" ht="6.0" customHeight="1">
      <c r="A21" s="498"/>
      <c r="B21" s="507"/>
      <c r="C21" s="507"/>
      <c r="D21" s="507"/>
      <c r="E21" s="498"/>
      <c r="F21" s="538" t="str">
        <f>HYPERLINK("https://www.docdroid.net/lto0JxF/regeerakkoord-een-hoefijzercoalitie-door-het-nemen-van-verantwoordelijkheid-als-resultaat-van-een-pragmatisch-overleg.pdf#page=4","Hoefijzercoalitie")</f>
        <v>Hoefijzercoalitie</v>
      </c>
      <c r="G21" s="498"/>
      <c r="H21" s="506"/>
      <c r="I21" s="506"/>
      <c r="J21" s="510"/>
      <c r="K21" s="71" t="s">
        <v>58</v>
      </c>
      <c r="L21" s="505"/>
      <c r="M21" s="72" t="str">
        <f>HYPERLINK("https://www.reddit.com/r/RMTK/wiki/richtlijnen","RMTK Richtlijnen")</f>
        <v>RMTK Richtlijnen</v>
      </c>
      <c r="N21" s="498"/>
    </row>
    <row r="22" ht="21.0" customHeight="1">
      <c r="A22" s="498"/>
      <c r="B22" s="539" t="s">
        <v>460</v>
      </c>
      <c r="C22" s="540" t="s">
        <v>461</v>
      </c>
      <c r="D22" s="541" t="s">
        <v>56</v>
      </c>
      <c r="E22" s="505"/>
      <c r="F22" s="21"/>
      <c r="G22" s="510"/>
      <c r="H22" s="36" t="s">
        <v>59</v>
      </c>
      <c r="I22" s="20"/>
      <c r="J22" s="508"/>
      <c r="K22" s="21"/>
      <c r="L22" s="505"/>
      <c r="M22" s="21"/>
      <c r="N22" s="505"/>
    </row>
    <row r="23" ht="6.0" customHeight="1">
      <c r="A23" s="498"/>
      <c r="B23" s="497"/>
      <c r="C23" s="497"/>
      <c r="D23" s="497"/>
      <c r="E23" s="498"/>
      <c r="F23" s="498"/>
      <c r="G23" s="510"/>
      <c r="H23" s="43"/>
      <c r="I23" s="44"/>
      <c r="J23" s="505"/>
      <c r="K23" s="507"/>
      <c r="L23" s="505"/>
      <c r="M23" s="505"/>
      <c r="N23" s="505"/>
    </row>
    <row r="24" ht="21.0" customHeight="1">
      <c r="A24" s="498"/>
      <c r="B24" s="497"/>
      <c r="C24" s="497"/>
      <c r="D24" s="497"/>
      <c r="E24" s="498"/>
      <c r="F24" s="498"/>
      <c r="G24" s="510"/>
      <c r="H24" s="84" t="s">
        <v>462</v>
      </c>
      <c r="I24" s="44"/>
      <c r="J24" s="508"/>
      <c r="K24" s="92" t="s">
        <v>61</v>
      </c>
      <c r="L24" s="508"/>
      <c r="M24" s="70" t="s">
        <v>62</v>
      </c>
      <c r="N24" s="505"/>
    </row>
    <row r="25" ht="6.0" customHeight="1">
      <c r="A25" s="497"/>
      <c r="B25" s="497"/>
      <c r="C25" s="497"/>
      <c r="D25" s="497"/>
      <c r="E25" s="497"/>
      <c r="F25" s="497"/>
      <c r="G25" s="510"/>
      <c r="H25" s="84"/>
      <c r="I25" s="44"/>
      <c r="J25" s="508"/>
      <c r="K25" s="46" t="s">
        <v>64</v>
      </c>
      <c r="L25" s="508"/>
      <c r="M25" s="93" t="str">
        <f>HYPERLINK("https://www.reddit.com/r/RMTK/","r/RMTK")</f>
        <v>r/RMTK</v>
      </c>
      <c r="N25" s="505"/>
    </row>
    <row r="26" ht="21.0" customHeight="1">
      <c r="A26" s="497"/>
      <c r="B26" s="497"/>
      <c r="C26" s="497"/>
      <c r="D26" s="497"/>
      <c r="E26" s="497"/>
      <c r="F26" s="497"/>
      <c r="G26" s="508"/>
      <c r="H26" s="84" t="s">
        <v>463</v>
      </c>
      <c r="I26" s="44"/>
      <c r="J26" s="508"/>
      <c r="K26" s="54"/>
      <c r="L26" s="508"/>
      <c r="M26" s="54"/>
      <c r="N26" s="505"/>
    </row>
    <row r="27" ht="6.0" customHeight="1">
      <c r="A27" s="497"/>
      <c r="B27" s="497"/>
      <c r="C27" s="497"/>
      <c r="D27" s="497"/>
      <c r="E27" s="497"/>
      <c r="F27" s="497"/>
      <c r="G27" s="510"/>
      <c r="H27" s="84"/>
      <c r="I27" s="44"/>
      <c r="J27" s="508"/>
      <c r="K27" s="46" t="s">
        <v>66</v>
      </c>
      <c r="L27" s="508"/>
      <c r="M27" s="542" t="str">
        <f>HYPERLINK("https://www.reddit.com/r/RMTKMedia/","r/RMTKMedia")</f>
        <v>r/RMTKMedia</v>
      </c>
      <c r="N27" s="505"/>
    </row>
    <row r="28" ht="21.0" customHeight="1">
      <c r="A28" s="497"/>
      <c r="B28" s="91" t="s">
        <v>60</v>
      </c>
      <c r="C28" s="16"/>
      <c r="D28" s="16"/>
      <c r="E28" s="16"/>
      <c r="F28" s="17"/>
      <c r="G28" s="508"/>
      <c r="H28" s="53" t="s">
        <v>464</v>
      </c>
      <c r="I28" s="27"/>
      <c r="J28" s="508"/>
      <c r="K28" s="54"/>
      <c r="L28" s="508"/>
      <c r="M28" s="54"/>
      <c r="N28" s="505"/>
    </row>
    <row r="29" ht="6.0" customHeight="1">
      <c r="A29" s="497"/>
      <c r="B29" s="9"/>
      <c r="C29" s="9"/>
      <c r="D29" s="9"/>
      <c r="E29" s="9"/>
      <c r="F29" s="9"/>
      <c r="G29" s="510"/>
      <c r="H29" s="498"/>
      <c r="I29" s="498"/>
      <c r="J29" s="508"/>
      <c r="K29" s="46" t="s">
        <v>67</v>
      </c>
      <c r="L29" s="508"/>
      <c r="M29" s="542" t="str">
        <f>HYPERLINK("https://www.reddit.com/r/RMTKMeta/","r/RMTKMeta")</f>
        <v>r/RMTKMeta</v>
      </c>
      <c r="N29" s="505"/>
    </row>
    <row r="30" ht="21.0" customHeight="1">
      <c r="A30" s="497"/>
      <c r="B30" s="95" t="str">
        <f>HYPERLINK("https://docs.google.com/spreadsheets/d/1QqfHXFp2eF_sX1Vf8ggoeIvxp-W66m3i-4bI3OeFHg8/edit#gid=19430298","Geschiedenis")</f>
        <v>Geschiedenis</v>
      </c>
      <c r="C30" s="16"/>
      <c r="D30" s="16"/>
      <c r="E30" s="16"/>
      <c r="F30" s="17"/>
      <c r="G30" s="508"/>
      <c r="H30" s="498"/>
      <c r="I30" s="498"/>
      <c r="J30" s="508"/>
      <c r="K30" s="21"/>
      <c r="L30" s="508"/>
      <c r="M30" s="21"/>
      <c r="N30" s="505"/>
    </row>
    <row r="31" ht="6.0" customHeight="1">
      <c r="A31" s="497"/>
      <c r="B31" s="96"/>
      <c r="C31" s="96"/>
      <c r="D31" s="96"/>
      <c r="E31" s="96"/>
      <c r="F31" s="96"/>
      <c r="G31" s="498"/>
      <c r="H31" s="498"/>
      <c r="I31" s="498"/>
      <c r="J31" s="498"/>
      <c r="K31" s="506"/>
      <c r="L31" s="508"/>
      <c r="M31" s="508"/>
      <c r="N31" s="505"/>
    </row>
    <row r="32" ht="21.0" customHeight="1">
      <c r="A32" s="497"/>
      <c r="B32" s="95" t="str">
        <f>HYPERLINK("https://docs.google.com/spreadsheets/d/1eD5XmIXxBoOfQW2WEzHST1i5Lj7OThDQwM-IMhG8HnU/edit#gid=1998938486","Politiek")</f>
        <v>Politiek</v>
      </c>
      <c r="C32" s="16"/>
      <c r="D32" s="16"/>
      <c r="E32" s="16"/>
      <c r="F32" s="17"/>
      <c r="G32" s="505"/>
      <c r="H32" s="498"/>
      <c r="I32" s="498"/>
      <c r="J32" s="498"/>
      <c r="K32" s="543" t="s">
        <v>68</v>
      </c>
      <c r="L32" s="508"/>
      <c r="M32" s="544" t="str">
        <f>HYPERLINK("https://discordapp.com/invite/59a6CBC","Discord")</f>
        <v>Discord</v>
      </c>
      <c r="N32" s="505"/>
    </row>
    <row r="33" ht="6.0" customHeight="1">
      <c r="A33" s="497"/>
      <c r="B33" s="506"/>
      <c r="C33" s="506"/>
      <c r="D33" s="506"/>
      <c r="E33" s="506"/>
      <c r="F33" s="506"/>
      <c r="G33" s="498"/>
      <c r="H33" s="498"/>
      <c r="I33" s="498"/>
      <c r="J33" s="498"/>
      <c r="K33" s="46" t="s">
        <v>68</v>
      </c>
      <c r="L33" s="510"/>
      <c r="M33" s="21"/>
      <c r="N33" s="505"/>
    </row>
    <row r="34" ht="21.0" customHeight="1">
      <c r="A34" s="498"/>
      <c r="B34" s="498"/>
      <c r="C34" s="498"/>
      <c r="D34" s="498"/>
      <c r="E34" s="498"/>
      <c r="F34" s="498"/>
      <c r="G34" s="498"/>
      <c r="H34" s="498"/>
      <c r="I34" s="498"/>
      <c r="J34" s="498"/>
      <c r="K34" s="21"/>
      <c r="L34" s="498"/>
      <c r="M34" s="506"/>
      <c r="N34" s="498"/>
    </row>
  </sheetData>
  <mergeCells count="49">
    <mergeCell ref="B2:M2"/>
    <mergeCell ref="B3:M3"/>
    <mergeCell ref="B5:D5"/>
    <mergeCell ref="F5:F6"/>
    <mergeCell ref="H5:I6"/>
    <mergeCell ref="M5:M6"/>
    <mergeCell ref="M9:M10"/>
    <mergeCell ref="F15:F16"/>
    <mergeCell ref="F17:F18"/>
    <mergeCell ref="F21:F22"/>
    <mergeCell ref="B28:F28"/>
    <mergeCell ref="B30:F30"/>
    <mergeCell ref="B32:F32"/>
    <mergeCell ref="H8:I9"/>
    <mergeCell ref="H10:I10"/>
    <mergeCell ref="F11:F12"/>
    <mergeCell ref="H12:I13"/>
    <mergeCell ref="F13:F14"/>
    <mergeCell ref="H14:I14"/>
    <mergeCell ref="H16:I17"/>
    <mergeCell ref="K17:K18"/>
    <mergeCell ref="K19:K20"/>
    <mergeCell ref="K21:K22"/>
    <mergeCell ref="K25:K26"/>
    <mergeCell ref="K27:K28"/>
    <mergeCell ref="K29:K30"/>
    <mergeCell ref="K33:K34"/>
    <mergeCell ref="M19:M20"/>
    <mergeCell ref="M21:M22"/>
    <mergeCell ref="M25:M26"/>
    <mergeCell ref="M27:M28"/>
    <mergeCell ref="M29:M30"/>
    <mergeCell ref="M32:M33"/>
    <mergeCell ref="K5:K6"/>
    <mergeCell ref="K9:K10"/>
    <mergeCell ref="K11:K12"/>
    <mergeCell ref="M11:M12"/>
    <mergeCell ref="K15:K16"/>
    <mergeCell ref="M15:M16"/>
    <mergeCell ref="M17:M18"/>
    <mergeCell ref="H27:I27"/>
    <mergeCell ref="H28:I28"/>
    <mergeCell ref="H18:I18"/>
    <mergeCell ref="H19:I19"/>
    <mergeCell ref="H20:I20"/>
    <mergeCell ref="H22:I23"/>
    <mergeCell ref="H24:I24"/>
    <mergeCell ref="H25:I25"/>
    <mergeCell ref="H26:I26"/>
  </mergeCells>
  <hyperlinks>
    <hyperlink display="Tweede Kamer" location="TK-HiddeVdV96 I!A1" ref="K9"/>
    <hyperlink display="Hall of Fame" location="Hall of Fame!A1" ref="M9"/>
    <hyperlink display="Eerste Kamer" location="EK-HiddeVdV96 I!A1" ref="K11"/>
    <hyperlink display="RMTK Geschiedenis" location="RMTK Geschiedenis!A1" ref="K15"/>
    <hyperlink display="Moties" location="Moties!A1" ref="K25"/>
    <hyperlink display="Wetten &amp; Amendementen" location="Wetten &amp; Amendementen!A1" ref="K27"/>
    <hyperlink display="Overige Kamerstukken" location="Overige Kamerstukken!A1" ref="K29"/>
    <hyperlink display="Agenda" location="Agenda-7Hielke-I!A1" ref="K33"/>
  </hyperlink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34343"/>
    <outlinePr summaryBelow="0" summaryRight="0"/>
  </sheetPr>
  <sheetViews>
    <sheetView workbookViewId="0"/>
  </sheetViews>
  <sheetFormatPr customHeight="1" defaultColWidth="14.43" defaultRowHeight="15.75"/>
  <cols>
    <col customWidth="1" min="1" max="1" width="3.14"/>
    <col customWidth="1" min="2" max="2" width="30.14"/>
    <col customWidth="1" min="3" max="3" width="3.14"/>
    <col customWidth="1" min="4" max="4" width="49.0"/>
    <col customWidth="1" min="5" max="5" width="13.57"/>
    <col customWidth="1" min="6" max="6" width="10.0"/>
    <col customWidth="1" min="7" max="7" width="3.14"/>
    <col customWidth="1" min="8" max="8" width="25.14"/>
    <col customWidth="1" min="9" max="9" width="2.86"/>
    <col customWidth="1" min="10" max="10" width="26.57"/>
    <col customWidth="1" min="11" max="11" width="3.14"/>
  </cols>
  <sheetData>
    <row r="1" ht="6.75" customHeight="1">
      <c r="A1" s="545" t="s">
        <v>465</v>
      </c>
      <c r="B1" s="546"/>
      <c r="C1" s="546"/>
      <c r="D1" s="546"/>
      <c r="E1" s="546"/>
      <c r="F1" s="546"/>
      <c r="G1" s="546"/>
      <c r="H1" s="546"/>
      <c r="I1" s="546"/>
      <c r="J1" s="546"/>
      <c r="K1" s="545"/>
    </row>
    <row r="2" ht="24.75" customHeight="1">
      <c r="A2" s="547"/>
      <c r="B2" s="548" t="s">
        <v>0</v>
      </c>
      <c r="C2" s="549"/>
      <c r="D2" s="549"/>
      <c r="E2" s="549"/>
      <c r="F2" s="549"/>
      <c r="G2" s="549"/>
      <c r="H2" s="549"/>
      <c r="I2" s="549"/>
      <c r="J2" s="550"/>
      <c r="K2" s="551"/>
    </row>
    <row r="3">
      <c r="A3" s="547"/>
      <c r="B3" s="552" t="s">
        <v>1</v>
      </c>
      <c r="C3" s="7"/>
      <c r="D3" s="7"/>
      <c r="E3" s="7"/>
      <c r="F3" s="7"/>
      <c r="G3" s="7"/>
      <c r="H3" s="7"/>
      <c r="I3" s="7"/>
      <c r="J3" s="8"/>
      <c r="K3" s="545"/>
    </row>
    <row r="4" ht="8.25" customHeight="1">
      <c r="A4" s="545"/>
      <c r="B4" s="553"/>
      <c r="C4" s="553"/>
      <c r="D4" s="553"/>
      <c r="E4" s="553"/>
      <c r="F4" s="553"/>
      <c r="G4" s="553"/>
      <c r="H4" s="554"/>
      <c r="I4" s="553"/>
      <c r="J4" s="553"/>
      <c r="K4" s="545"/>
    </row>
    <row r="5" ht="21.0" customHeight="1">
      <c r="A5" s="545"/>
      <c r="B5" s="555" t="s">
        <v>39</v>
      </c>
      <c r="C5" s="545"/>
      <c r="D5" s="556" t="s">
        <v>466</v>
      </c>
      <c r="E5" s="557"/>
      <c r="F5" s="240"/>
      <c r="G5" s="547"/>
      <c r="H5" s="558" t="s">
        <v>467</v>
      </c>
      <c r="I5" s="551"/>
      <c r="J5" s="559" t="s">
        <v>468</v>
      </c>
      <c r="K5" s="545"/>
    </row>
    <row r="6" ht="21.0" customHeight="1">
      <c r="A6" s="545"/>
      <c r="B6" s="560" t="s">
        <v>41</v>
      </c>
      <c r="C6" s="545"/>
      <c r="D6" s="561" t="s">
        <v>83</v>
      </c>
      <c r="E6" s="561" t="s">
        <v>12</v>
      </c>
      <c r="F6" s="562" t="s">
        <v>13</v>
      </c>
      <c r="G6" s="547"/>
      <c r="H6" s="563"/>
      <c r="I6" s="551"/>
      <c r="J6" s="564" t="s">
        <v>469</v>
      </c>
      <c r="K6" s="545"/>
    </row>
    <row r="7" ht="21.0" customHeight="1">
      <c r="A7" s="545"/>
      <c r="B7" s="565" t="s">
        <v>47</v>
      </c>
      <c r="C7" s="545"/>
      <c r="D7" s="566" t="s">
        <v>439</v>
      </c>
      <c r="E7" s="567" t="s">
        <v>440</v>
      </c>
      <c r="F7" s="568">
        <v>7.0</v>
      </c>
      <c r="G7" s="545"/>
      <c r="H7" s="569" t="str">
        <f>HYPERLINK("https://drive.google.com/file/d/17dfz3ugsUi00d9ATu_7GYjmhTo_Vk0WD/view","Verkiezingsprogramma")</f>
        <v>Verkiezingsprogramma</v>
      </c>
      <c r="I7" s="545"/>
      <c r="J7" s="570" t="s">
        <v>470</v>
      </c>
      <c r="K7" s="545"/>
    </row>
    <row r="8" ht="21.0" customHeight="1">
      <c r="A8" s="545"/>
      <c r="B8" s="565" t="s">
        <v>58</v>
      </c>
      <c r="C8" s="547"/>
      <c r="D8" s="571" t="s">
        <v>30</v>
      </c>
      <c r="E8" s="572" t="s">
        <v>31</v>
      </c>
      <c r="F8" s="573">
        <v>6.0</v>
      </c>
      <c r="G8" s="545"/>
      <c r="H8" s="569" t="str">
        <f>HYPERLINK("https://drive.google.com/file/d/103NNr-_Qkoj5OvqX3CGRHVINlFA-ByF4/view","Verkiezingsprogramma")</f>
        <v>Verkiezingsprogramma</v>
      </c>
      <c r="I8" s="545"/>
      <c r="J8" s="545"/>
      <c r="K8" s="545"/>
    </row>
    <row r="9" ht="21.0" customHeight="1">
      <c r="A9" s="545"/>
      <c r="B9" s="574" t="s">
        <v>53</v>
      </c>
      <c r="C9" s="545"/>
      <c r="D9" s="575" t="s">
        <v>445</v>
      </c>
      <c r="E9" s="576" t="s">
        <v>446</v>
      </c>
      <c r="F9" s="577">
        <v>6.0</v>
      </c>
      <c r="G9" s="547"/>
      <c r="H9" s="569" t="s">
        <v>471</v>
      </c>
      <c r="I9" s="551"/>
      <c r="J9" s="578" t="s">
        <v>472</v>
      </c>
      <c r="K9" s="545"/>
    </row>
    <row r="10" ht="21.0" customHeight="1">
      <c r="A10" s="545"/>
      <c r="B10" s="545"/>
      <c r="C10" s="545"/>
      <c r="D10" s="579" t="s">
        <v>448</v>
      </c>
      <c r="E10" s="580" t="s">
        <v>473</v>
      </c>
      <c r="F10" s="580">
        <v>3.0</v>
      </c>
      <c r="G10" s="545"/>
      <c r="H10" s="569" t="str">
        <f>HYPERLINK("https://indd.adobe.com/view/0c3dbca6-33d2-4b22-ad09-5779be2abe99","Verkiezingsprogramma")</f>
        <v>Verkiezingsprogramma</v>
      </c>
      <c r="I10" s="547"/>
      <c r="J10" s="581" t="str">
        <f>HYPERLINK("https://www.reddit.com/r/RMTK/comments/7277wf/word_lid_van_een_partij/","Word lid van een partij!")</f>
        <v>Word lid van een partij!</v>
      </c>
      <c r="K10" s="545"/>
    </row>
    <row r="11" ht="21.0" customHeight="1">
      <c r="A11" s="545"/>
      <c r="B11" s="545"/>
      <c r="C11" s="545"/>
      <c r="D11" s="582" t="s">
        <v>451</v>
      </c>
      <c r="E11" s="583" t="s">
        <v>452</v>
      </c>
      <c r="F11" s="584">
        <v>1.0</v>
      </c>
      <c r="G11" s="545"/>
      <c r="H11" s="569" t="s">
        <v>471</v>
      </c>
      <c r="I11" s="547"/>
      <c r="J11" s="585" t="str">
        <f>HYPERLINK("https://www.reddit.com/r/RMTK/wiki/nieuwe-leden-gids","Nieuwe ledengids")</f>
        <v>Nieuwe ledengids</v>
      </c>
      <c r="K11" s="545"/>
    </row>
    <row r="12" ht="21.0" customHeight="1">
      <c r="A12" s="545"/>
      <c r="B12" s="586" t="s">
        <v>19</v>
      </c>
      <c r="C12" s="545"/>
      <c r="D12" s="587" t="s">
        <v>455</v>
      </c>
      <c r="E12" s="588" t="s">
        <v>456</v>
      </c>
      <c r="F12" s="589">
        <v>1.0</v>
      </c>
      <c r="G12" s="545"/>
      <c r="H12" s="569" t="str">
        <f>HYPERLINK("https://docs.google.com/document/d/1FkdOQ1Z2EvX49eDFMsHQsXpsXd9vSDtar5TIKXp6_w8/edit","Verkiezingsprogramma")</f>
        <v>Verkiezingsprogramma</v>
      </c>
      <c r="I12" s="547"/>
      <c r="J12" s="585" t="str">
        <f>HYPERLINK("https://www.reddit.com/r/RMTK/wiki/grondwet","RMTK Grondwet")</f>
        <v>RMTK Grondwet</v>
      </c>
      <c r="K12" s="545"/>
    </row>
    <row r="13" ht="21.0" customHeight="1">
      <c r="A13" s="545"/>
      <c r="B13" s="590" t="s">
        <v>21</v>
      </c>
      <c r="C13" s="545"/>
      <c r="D13" s="591" t="s">
        <v>474</v>
      </c>
      <c r="E13" s="592" t="s">
        <v>475</v>
      </c>
      <c r="F13" s="593">
        <v>1.0</v>
      </c>
      <c r="G13" s="547"/>
      <c r="H13" s="594" t="str">
        <f>HYPERLINK("https://docs.google.com/document/d/1wzhrP-OsCj83m7I1cfIPeFkNGYGr13oU85xtDIumENc/edit","Verkiezingsprogramma")</f>
        <v>Verkiezingsprogramma</v>
      </c>
      <c r="I13" s="595"/>
      <c r="J13" s="585" t="str">
        <f>HYPERLINK("https://www.reddit.com/r/RMTK/wiki/richtlijnen","RMTK Richtlijnen")</f>
        <v>RMTK Richtlijnen</v>
      </c>
      <c r="K13" s="545"/>
    </row>
    <row r="14" ht="21.0" customHeight="1">
      <c r="A14" s="545"/>
      <c r="B14" s="596" t="s">
        <v>29</v>
      </c>
      <c r="C14" s="547"/>
      <c r="D14" s="597" t="s">
        <v>476</v>
      </c>
      <c r="E14" s="598" t="s">
        <v>477</v>
      </c>
      <c r="F14" s="598" t="s">
        <v>56</v>
      </c>
      <c r="G14" s="595"/>
      <c r="H14" s="599"/>
      <c r="I14" s="595"/>
      <c r="J14" s="600" t="s">
        <v>22</v>
      </c>
      <c r="K14" s="545"/>
    </row>
    <row r="15" ht="21.0" customHeight="1">
      <c r="A15" s="545"/>
      <c r="B15" s="545"/>
      <c r="C15" s="545"/>
      <c r="D15" s="599"/>
      <c r="E15" s="599"/>
      <c r="F15" s="599"/>
      <c r="G15" s="547"/>
      <c r="H15" s="601"/>
      <c r="I15" s="551"/>
      <c r="J15" s="551"/>
      <c r="K15" s="545"/>
    </row>
    <row r="16" ht="21.0" customHeight="1">
      <c r="A16" s="545"/>
      <c r="B16" s="545"/>
      <c r="C16" s="545"/>
      <c r="D16" s="601"/>
      <c r="E16" s="601"/>
      <c r="F16" s="601"/>
      <c r="G16" s="547"/>
      <c r="H16" s="601"/>
      <c r="I16" s="551"/>
      <c r="J16" s="578" t="s">
        <v>478</v>
      </c>
      <c r="K16" s="545"/>
    </row>
    <row r="17" ht="21.0" customHeight="1">
      <c r="A17" s="545"/>
      <c r="B17" s="602" t="s">
        <v>61</v>
      </c>
      <c r="C17" s="545"/>
      <c r="D17" s="556" t="s">
        <v>60</v>
      </c>
      <c r="E17" s="557"/>
      <c r="F17" s="557"/>
      <c r="G17" s="557"/>
      <c r="H17" s="240"/>
      <c r="I17" s="545"/>
      <c r="J17" s="603" t="str">
        <f>HYPERLINK("https://www.reddit.com/r/RMTK/","r/RMTK")</f>
        <v>r/RMTK</v>
      </c>
      <c r="K17" s="545"/>
    </row>
    <row r="18" ht="21.0" customHeight="1">
      <c r="A18" s="545"/>
      <c r="B18" s="585" t="s">
        <v>64</v>
      </c>
      <c r="C18" s="547"/>
      <c r="D18" s="604" t="str">
        <f>HYPERLINK("https://docs.google.com/spreadsheets/d/1QqfHXFp2eF_sX1Vf8ggoeIvxp-W66m3i-4bI3OeFHg8/edit#gid=19430298","Geschiedenis")</f>
        <v>Geschiedenis</v>
      </c>
      <c r="E18" s="605" t="str">
        <f>HYPERLINK("https://docs.google.com/spreadsheets/d/1eD5XmIXxBoOfQW2WEzHST1i5Lj7OThDQwM-IMhG8HnU/edit#gid=1998938486","Politiek")</f>
        <v>Politiek</v>
      </c>
      <c r="F18" s="549"/>
      <c r="G18" s="549"/>
      <c r="H18" s="550"/>
      <c r="I18" s="551"/>
      <c r="J18" s="585" t="str">
        <f>HYPERLINK("https://www.reddit.com/r/RMTKMedia/","RMTKMedia")</f>
        <v>RMTKMedia</v>
      </c>
      <c r="K18" s="545"/>
    </row>
    <row r="19" ht="21.0" customHeight="1">
      <c r="A19" s="545"/>
      <c r="B19" s="585" t="s">
        <v>66</v>
      </c>
      <c r="C19" s="547"/>
      <c r="D19" s="606"/>
      <c r="E19" s="607"/>
      <c r="F19" s="7"/>
      <c r="G19" s="7"/>
      <c r="H19" s="8"/>
      <c r="I19" s="551"/>
      <c r="J19" s="585" t="str">
        <f>HYPERLINK("https://www.reddit.com/r/RMTKMeta/","RMTKMeta")</f>
        <v>RMTKMeta</v>
      </c>
      <c r="K19" s="545"/>
    </row>
    <row r="20" ht="21.0" customHeight="1">
      <c r="A20" s="545"/>
      <c r="B20" s="608" t="s">
        <v>67</v>
      </c>
      <c r="C20" s="547"/>
      <c r="D20" s="599"/>
      <c r="E20" s="599"/>
      <c r="F20" s="599"/>
      <c r="G20" s="599"/>
      <c r="H20" s="599"/>
      <c r="I20" s="551"/>
      <c r="J20" s="585" t="str">
        <f>HYPERLINK("https://www.reddit.com/r/RMTKCafe/","Café Binnenhof")</f>
        <v>Café Binnenhof</v>
      </c>
      <c r="K20" s="545"/>
    </row>
    <row r="21" ht="21.0" customHeight="1">
      <c r="A21" s="545"/>
      <c r="B21" s="545"/>
      <c r="C21" s="547"/>
      <c r="D21" s="545"/>
      <c r="E21" s="545"/>
      <c r="F21" s="545"/>
      <c r="G21" s="545"/>
      <c r="H21" s="545"/>
      <c r="I21" s="551"/>
      <c r="J21" s="609" t="str">
        <f>HYPERLINK("https://discordapp.com/invite/59a6CBC","Discord")</f>
        <v>Discord</v>
      </c>
      <c r="K21" s="545"/>
    </row>
    <row r="22" ht="21.0" customHeight="1">
      <c r="A22" s="545"/>
      <c r="B22" s="545"/>
      <c r="C22" s="545"/>
      <c r="D22" s="545"/>
      <c r="E22" s="545"/>
      <c r="F22" s="545"/>
      <c r="G22" s="545"/>
      <c r="H22" s="545"/>
      <c r="I22" s="545"/>
      <c r="J22" s="545"/>
      <c r="K22" s="545"/>
    </row>
  </sheetData>
  <mergeCells count="7">
    <mergeCell ref="B2:J2"/>
    <mergeCell ref="B3:J3"/>
    <mergeCell ref="D5:F5"/>
    <mergeCell ref="H5:H6"/>
    <mergeCell ref="D17:H17"/>
    <mergeCell ref="D18:D19"/>
    <mergeCell ref="E18:H19"/>
  </mergeCells>
  <hyperlinks>
    <hyperlink display="RMTK Geschiedenis" location="RMTK Geschiedenis!A1" ref="B6"/>
    <hyperlink display="Tweede Kamer" location="TK-HiddeVdV96 I!A1" ref="B13"/>
    <hyperlink display="Eerste Kamer" location="EK-HiddeVdV96 I!A1" ref="B14"/>
    <hyperlink display="Hall of Fame" location="Hall of Fame!A1" ref="J14"/>
    <hyperlink display="Moties" location="Moties!A1" ref="B18"/>
    <hyperlink display="Wetten &amp; Amendementen" location="Wetten &amp; Amendementen!A1" ref="B19"/>
    <hyperlink display="Overige Kamerstukken" location="Overige Kamerstukken!A1" ref="B20"/>
  </hyperlink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8.43"/>
    <col customWidth="1" min="2" max="2" width="22.71"/>
    <col customWidth="1" min="3" max="24" width="7.29"/>
  </cols>
  <sheetData>
    <row r="1" ht="21.0" customHeight="1">
      <c r="A1" s="610" t="s">
        <v>479</v>
      </c>
      <c r="B1" s="20"/>
      <c r="C1" s="611" t="s">
        <v>480</v>
      </c>
      <c r="D1" s="611"/>
      <c r="E1" s="611"/>
      <c r="F1" s="611"/>
      <c r="G1" s="611"/>
      <c r="H1" s="611"/>
      <c r="I1" s="611"/>
      <c r="J1" s="611"/>
      <c r="K1" s="611"/>
      <c r="L1" s="611"/>
      <c r="M1" s="611"/>
      <c r="N1" s="611"/>
      <c r="O1" s="611"/>
      <c r="P1" s="611"/>
      <c r="Q1" s="611"/>
      <c r="R1" s="611"/>
      <c r="S1" s="611"/>
      <c r="T1" s="611"/>
      <c r="U1" s="611"/>
      <c r="V1" s="611"/>
      <c r="W1" s="611"/>
      <c r="X1" s="611"/>
    </row>
    <row r="2" ht="21.0" customHeight="1">
      <c r="A2" s="43"/>
      <c r="B2" s="44"/>
      <c r="C2" s="612"/>
      <c r="F2" s="115"/>
      <c r="G2" s="612">
        <v>2019.0</v>
      </c>
    </row>
    <row r="3" ht="21.0" customHeight="1">
      <c r="A3" s="26"/>
      <c r="B3" s="27"/>
      <c r="C3" s="613" t="s">
        <v>481</v>
      </c>
      <c r="D3" s="504"/>
      <c r="E3" s="613" t="s">
        <v>482</v>
      </c>
      <c r="F3" s="614"/>
      <c r="G3" s="613" t="s">
        <v>483</v>
      </c>
      <c r="H3" s="504"/>
      <c r="I3" s="613" t="s">
        <v>484</v>
      </c>
      <c r="J3" s="504"/>
      <c r="K3" s="613" t="s">
        <v>485</v>
      </c>
      <c r="L3" s="504"/>
      <c r="M3" s="613" t="s">
        <v>486</v>
      </c>
      <c r="N3" s="504"/>
      <c r="O3" s="613" t="s">
        <v>487</v>
      </c>
      <c r="P3" s="504"/>
      <c r="Q3" s="613" t="s">
        <v>488</v>
      </c>
      <c r="R3" s="504"/>
      <c r="S3" s="613" t="s">
        <v>489</v>
      </c>
      <c r="T3" s="504"/>
      <c r="U3" s="613" t="s">
        <v>490</v>
      </c>
      <c r="V3" s="504"/>
      <c r="W3" s="613" t="s">
        <v>491</v>
      </c>
      <c r="X3" s="504"/>
    </row>
    <row r="4" ht="3.75" customHeight="1">
      <c r="A4" s="615"/>
      <c r="B4" s="616"/>
      <c r="C4" s="617"/>
      <c r="D4" s="617"/>
      <c r="E4" s="617"/>
      <c r="F4" s="617"/>
      <c r="G4" s="617"/>
      <c r="H4" s="617"/>
      <c r="I4" s="617"/>
      <c r="J4" s="617"/>
      <c r="K4" s="617"/>
      <c r="L4" s="617"/>
      <c r="M4" s="617"/>
      <c r="N4" s="617"/>
      <c r="O4" s="617"/>
      <c r="P4" s="617"/>
      <c r="Q4" s="617"/>
      <c r="R4" s="617"/>
      <c r="S4" s="617"/>
      <c r="T4" s="617"/>
      <c r="U4" s="617"/>
      <c r="V4" s="617"/>
      <c r="W4" s="617"/>
      <c r="X4" s="617"/>
    </row>
    <row r="5" ht="16.5" customHeight="1">
      <c r="A5" s="618" t="s">
        <v>492</v>
      </c>
      <c r="C5" s="619" t="s">
        <v>493</v>
      </c>
      <c r="D5" s="112"/>
      <c r="E5" s="112"/>
      <c r="F5" s="112"/>
      <c r="G5" s="620"/>
      <c r="H5" s="620"/>
      <c r="I5" s="620"/>
      <c r="J5" s="620"/>
      <c r="K5" s="620"/>
      <c r="L5" s="620"/>
      <c r="M5" s="620"/>
      <c r="N5" s="620"/>
      <c r="O5" s="620"/>
      <c r="P5" s="620"/>
      <c r="Q5" s="620"/>
      <c r="R5" s="620"/>
      <c r="S5" s="620"/>
      <c r="T5" s="620"/>
      <c r="U5" s="620"/>
      <c r="V5" s="620"/>
      <c r="W5" s="620"/>
      <c r="X5" s="620"/>
    </row>
    <row r="6" ht="16.5" customHeight="1">
      <c r="A6" s="618" t="s">
        <v>494</v>
      </c>
      <c r="C6" s="621" t="s">
        <v>495</v>
      </c>
      <c r="G6" s="622"/>
      <c r="H6" s="622"/>
      <c r="I6" s="622"/>
      <c r="J6" s="622"/>
      <c r="K6" s="622"/>
      <c r="L6" s="622"/>
      <c r="M6" s="622"/>
      <c r="N6" s="622"/>
      <c r="O6" s="622"/>
      <c r="P6" s="622"/>
      <c r="Q6" s="622"/>
      <c r="R6" s="622"/>
      <c r="S6" s="622"/>
      <c r="T6" s="622"/>
      <c r="U6" s="622"/>
      <c r="V6" s="622"/>
      <c r="W6" s="622"/>
      <c r="X6" s="622"/>
    </row>
    <row r="7" ht="12.75" customHeight="1">
      <c r="A7" s="623"/>
      <c r="B7" s="624"/>
      <c r="C7" s="625"/>
      <c r="D7" s="625"/>
      <c r="E7" s="625"/>
      <c r="F7" s="625"/>
      <c r="G7" s="625"/>
      <c r="H7" s="625"/>
      <c r="I7" s="625"/>
      <c r="J7" s="625"/>
      <c r="K7" s="625"/>
      <c r="L7" s="625"/>
      <c r="M7" s="625"/>
      <c r="N7" s="625"/>
      <c r="O7" s="625"/>
      <c r="P7" s="625"/>
      <c r="Q7" s="625"/>
      <c r="R7" s="625"/>
      <c r="S7" s="625"/>
      <c r="T7" s="625"/>
      <c r="U7" s="625"/>
      <c r="V7" s="625"/>
      <c r="W7" s="625"/>
      <c r="X7" s="625"/>
    </row>
    <row r="8" ht="21.0" customHeight="1">
      <c r="A8" s="626" t="s">
        <v>496</v>
      </c>
      <c r="B8" s="627" t="s">
        <v>497</v>
      </c>
      <c r="C8" s="628" t="s">
        <v>498</v>
      </c>
      <c r="G8" s="629"/>
      <c r="H8" s="629"/>
      <c r="I8" s="629"/>
      <c r="J8" s="629"/>
      <c r="K8" s="629"/>
      <c r="L8" s="629"/>
      <c r="M8" s="629"/>
      <c r="N8" s="629"/>
      <c r="O8" s="629"/>
      <c r="P8" s="629"/>
      <c r="Q8" s="629"/>
      <c r="R8" s="629"/>
      <c r="S8" s="629"/>
      <c r="T8" s="629"/>
      <c r="U8" s="629"/>
      <c r="V8" s="629"/>
      <c r="W8" s="629"/>
      <c r="X8" s="629"/>
    </row>
    <row r="9" ht="21.0" customHeight="1">
      <c r="B9" s="627" t="s">
        <v>82</v>
      </c>
      <c r="C9" s="630" t="s">
        <v>499</v>
      </c>
      <c r="G9" s="629"/>
      <c r="H9" s="629"/>
      <c r="I9" s="629"/>
      <c r="J9" s="629"/>
      <c r="K9" s="629"/>
      <c r="L9" s="629"/>
      <c r="M9" s="629"/>
      <c r="N9" s="629"/>
      <c r="O9" s="629"/>
      <c r="P9" s="629"/>
      <c r="Q9" s="629"/>
      <c r="R9" s="629"/>
      <c r="S9" s="629"/>
      <c r="T9" s="629"/>
      <c r="U9" s="629"/>
      <c r="V9" s="629"/>
      <c r="W9" s="629"/>
      <c r="X9" s="629"/>
    </row>
    <row r="10" ht="22.5" customHeight="1">
      <c r="B10" s="627" t="s">
        <v>500</v>
      </c>
      <c r="C10" s="630" t="s">
        <v>501</v>
      </c>
      <c r="G10" s="629"/>
      <c r="H10" s="629"/>
      <c r="I10" s="629"/>
      <c r="J10" s="629"/>
      <c r="K10" s="629"/>
      <c r="L10" s="629"/>
      <c r="M10" s="629"/>
      <c r="N10" s="629"/>
      <c r="O10" s="629"/>
      <c r="P10" s="629"/>
      <c r="Q10" s="629"/>
      <c r="R10" s="629"/>
      <c r="S10" s="629"/>
      <c r="T10" s="629"/>
      <c r="U10" s="629"/>
      <c r="V10" s="629"/>
      <c r="W10" s="629"/>
      <c r="X10" s="629"/>
    </row>
    <row r="11" ht="21.0" customHeight="1">
      <c r="B11" s="627" t="s">
        <v>502</v>
      </c>
      <c r="C11" s="631" t="s">
        <v>503</v>
      </c>
      <c r="G11" s="629"/>
      <c r="H11" s="629"/>
      <c r="I11" s="629"/>
      <c r="K11" s="629"/>
      <c r="L11" s="629"/>
      <c r="M11" s="629"/>
      <c r="N11" s="629"/>
      <c r="O11" s="629"/>
      <c r="P11" s="629"/>
      <c r="Q11" s="629"/>
      <c r="R11" s="629"/>
      <c r="S11" s="629"/>
      <c r="T11" s="629"/>
      <c r="U11" s="629"/>
      <c r="V11" s="629"/>
      <c r="W11" s="629"/>
      <c r="X11" s="629"/>
    </row>
    <row r="12" ht="21.0" customHeight="1">
      <c r="B12" s="632" t="s">
        <v>504</v>
      </c>
      <c r="C12" s="633" t="s">
        <v>505</v>
      </c>
      <c r="G12" s="629"/>
      <c r="H12" s="629"/>
      <c r="I12" s="629"/>
      <c r="J12" s="629"/>
      <c r="K12" s="629"/>
      <c r="L12" s="629"/>
      <c r="M12" s="629"/>
      <c r="N12" s="629"/>
      <c r="O12" s="629"/>
      <c r="P12" s="629"/>
      <c r="Q12" s="629"/>
      <c r="R12" s="629"/>
      <c r="S12" s="629"/>
      <c r="T12" s="629"/>
      <c r="U12" s="629"/>
      <c r="V12" s="629"/>
      <c r="W12" s="629"/>
      <c r="X12" s="629"/>
    </row>
    <row r="13" ht="21.0" customHeight="1">
      <c r="A13" s="626"/>
      <c r="B13" s="632" t="s">
        <v>506</v>
      </c>
      <c r="C13" s="634" t="s">
        <v>507</v>
      </c>
      <c r="E13" s="635" t="s">
        <v>118</v>
      </c>
      <c r="G13" s="629"/>
      <c r="H13" s="629"/>
      <c r="I13" s="629"/>
      <c r="J13" s="629"/>
      <c r="K13" s="629"/>
      <c r="L13" s="629"/>
      <c r="M13" s="629"/>
      <c r="N13" s="629"/>
      <c r="O13" s="629"/>
      <c r="P13" s="629"/>
      <c r="Q13" s="629"/>
      <c r="R13" s="629"/>
      <c r="S13" s="629"/>
      <c r="T13" s="629"/>
      <c r="U13" s="629"/>
      <c r="V13" s="629"/>
      <c r="W13" s="629"/>
      <c r="X13" s="629"/>
    </row>
    <row r="14" ht="12.75" customHeight="1">
      <c r="A14" s="615"/>
      <c r="B14" s="615"/>
      <c r="C14" s="625"/>
      <c r="D14" s="625"/>
      <c r="E14" s="625"/>
      <c r="F14" s="625"/>
      <c r="G14" s="625"/>
      <c r="H14" s="625"/>
      <c r="I14" s="625"/>
      <c r="J14" s="625"/>
      <c r="K14" s="625"/>
      <c r="L14" s="625"/>
      <c r="M14" s="625"/>
      <c r="N14" s="625"/>
      <c r="O14" s="625"/>
      <c r="P14" s="625"/>
      <c r="Q14" s="625"/>
      <c r="R14" s="625"/>
      <c r="S14" s="625"/>
      <c r="T14" s="625"/>
      <c r="U14" s="625"/>
      <c r="V14" s="625"/>
      <c r="W14" s="625"/>
      <c r="X14" s="625"/>
    </row>
    <row r="15" ht="21.0" customHeight="1">
      <c r="A15" s="626" t="s">
        <v>508</v>
      </c>
      <c r="B15" s="636" t="s">
        <v>509</v>
      </c>
      <c r="C15" s="637" t="s">
        <v>510</v>
      </c>
      <c r="N15" s="629"/>
      <c r="O15" s="629"/>
      <c r="P15" s="629"/>
      <c r="Q15" s="629"/>
      <c r="R15" s="629"/>
      <c r="S15" s="629"/>
      <c r="T15" s="629"/>
      <c r="U15" s="629"/>
      <c r="V15" s="629"/>
      <c r="W15" s="629"/>
      <c r="X15" s="629"/>
    </row>
    <row r="16" ht="21.0" customHeight="1">
      <c r="B16" s="627" t="s">
        <v>511</v>
      </c>
      <c r="C16" s="638" t="s">
        <v>378</v>
      </c>
      <c r="F16" s="629"/>
      <c r="G16" s="629"/>
      <c r="H16" s="629"/>
      <c r="I16" s="629"/>
      <c r="J16" s="629"/>
      <c r="K16" s="629"/>
      <c r="L16" s="629"/>
      <c r="M16" s="629"/>
      <c r="N16" s="629"/>
      <c r="O16" s="629"/>
      <c r="P16" s="629"/>
      <c r="Q16" s="629"/>
      <c r="R16" s="629"/>
      <c r="S16" s="629"/>
      <c r="T16" s="629"/>
      <c r="U16" s="629"/>
      <c r="V16" s="629"/>
      <c r="W16" s="629"/>
      <c r="X16" s="629"/>
    </row>
    <row r="17" ht="21.0" customHeight="1">
      <c r="B17" s="627" t="s">
        <v>512</v>
      </c>
      <c r="C17" s="639" t="s">
        <v>513</v>
      </c>
      <c r="F17" s="629"/>
      <c r="G17" s="629"/>
      <c r="H17" s="629"/>
      <c r="I17" s="629"/>
      <c r="J17" s="629"/>
      <c r="K17" s="629"/>
      <c r="L17" s="629"/>
      <c r="M17" s="629"/>
      <c r="N17" s="629"/>
      <c r="O17" s="629"/>
      <c r="P17" s="629"/>
      <c r="Q17" s="629"/>
      <c r="R17" s="629"/>
      <c r="S17" s="629"/>
      <c r="T17" s="629"/>
      <c r="U17" s="629"/>
      <c r="V17" s="629"/>
      <c r="W17" s="629"/>
      <c r="X17" s="629"/>
    </row>
    <row r="18" ht="21.0" customHeight="1">
      <c r="B18" s="627" t="s">
        <v>514</v>
      </c>
      <c r="C18" s="640" t="s">
        <v>515</v>
      </c>
      <c r="F18" s="641"/>
      <c r="G18" s="641"/>
      <c r="H18" s="641"/>
      <c r="I18" s="641"/>
      <c r="J18" s="641"/>
      <c r="K18" s="641"/>
      <c r="L18" s="641"/>
      <c r="M18" s="641"/>
      <c r="N18" s="641"/>
      <c r="O18" s="641"/>
      <c r="P18" s="641"/>
      <c r="Q18" s="641"/>
      <c r="R18" s="641"/>
      <c r="S18" s="641"/>
      <c r="T18" s="641"/>
      <c r="U18" s="641"/>
      <c r="V18" s="641"/>
      <c r="W18" s="641"/>
      <c r="X18" s="641"/>
    </row>
    <row r="19" ht="21.0" customHeight="1">
      <c r="B19" s="627" t="s">
        <v>516</v>
      </c>
      <c r="C19" s="633" t="s">
        <v>203</v>
      </c>
      <c r="F19" s="641"/>
      <c r="G19" s="641"/>
      <c r="H19" s="641"/>
      <c r="I19" s="641"/>
      <c r="J19" s="641"/>
      <c r="K19" s="641"/>
      <c r="L19" s="641"/>
      <c r="M19" s="641"/>
      <c r="N19" s="641"/>
      <c r="O19" s="641"/>
      <c r="P19" s="641"/>
      <c r="Q19" s="641"/>
      <c r="R19" s="641"/>
      <c r="S19" s="641"/>
      <c r="T19" s="641"/>
      <c r="U19" s="641"/>
      <c r="V19" s="641"/>
      <c r="W19" s="641"/>
      <c r="X19" s="641"/>
    </row>
    <row r="20" ht="12.75" customHeight="1">
      <c r="A20" s="615"/>
      <c r="B20" s="616"/>
      <c r="C20" s="625"/>
      <c r="D20" s="625"/>
      <c r="E20" s="625"/>
      <c r="F20" s="625"/>
      <c r="G20" s="625"/>
      <c r="H20" s="625"/>
      <c r="I20" s="625"/>
      <c r="J20" s="625"/>
      <c r="K20" s="625"/>
      <c r="L20" s="625"/>
      <c r="M20" s="625"/>
      <c r="N20" s="625"/>
      <c r="O20" s="625"/>
      <c r="P20" s="625"/>
      <c r="Q20" s="625"/>
      <c r="R20" s="625"/>
      <c r="S20" s="625"/>
      <c r="T20" s="625"/>
      <c r="U20" s="625"/>
      <c r="V20" s="625"/>
      <c r="W20" s="625"/>
      <c r="X20" s="625"/>
    </row>
    <row r="21" ht="21.0" customHeight="1">
      <c r="A21" s="642" t="s">
        <v>517</v>
      </c>
      <c r="B21" s="643" t="s">
        <v>518</v>
      </c>
      <c r="C21" s="630" t="s">
        <v>501</v>
      </c>
      <c r="G21" s="629"/>
      <c r="H21" s="629"/>
      <c r="I21" s="629"/>
      <c r="J21" s="629"/>
      <c r="K21" s="629"/>
      <c r="L21" s="629"/>
      <c r="M21" s="629"/>
      <c r="N21" s="629"/>
      <c r="O21" s="629"/>
      <c r="P21" s="629"/>
      <c r="Q21" s="629"/>
      <c r="R21" s="629"/>
      <c r="S21" s="629"/>
      <c r="T21" s="629"/>
      <c r="U21" s="629"/>
      <c r="V21" s="629"/>
      <c r="W21" s="629"/>
      <c r="X21" s="629"/>
    </row>
    <row r="22" ht="21.0" customHeight="1">
      <c r="A22" s="644"/>
      <c r="B22" s="645" t="s">
        <v>519</v>
      </c>
      <c r="C22" s="631" t="s">
        <v>503</v>
      </c>
      <c r="G22" s="629"/>
      <c r="H22" s="629"/>
      <c r="I22" s="629"/>
      <c r="J22" s="629"/>
      <c r="K22" s="629"/>
      <c r="L22" s="629"/>
      <c r="M22" s="629"/>
      <c r="N22" s="629"/>
      <c r="O22" s="629"/>
      <c r="P22" s="629"/>
      <c r="Q22" s="629"/>
      <c r="R22" s="629"/>
      <c r="S22" s="629"/>
      <c r="T22" s="629"/>
      <c r="U22" s="629"/>
      <c r="V22" s="629"/>
      <c r="W22" s="629"/>
      <c r="X22" s="629"/>
    </row>
    <row r="23" ht="21.0" customHeight="1">
      <c r="A23" s="644"/>
      <c r="B23" s="646" t="s">
        <v>31</v>
      </c>
      <c r="C23" s="633" t="s">
        <v>203</v>
      </c>
      <c r="G23" s="629"/>
      <c r="H23" s="629"/>
      <c r="I23" s="629"/>
      <c r="J23" s="629"/>
      <c r="K23" s="629"/>
      <c r="L23" s="629"/>
      <c r="M23" s="629"/>
      <c r="N23" s="629"/>
      <c r="O23" s="629"/>
      <c r="P23" s="629"/>
      <c r="Q23" s="629"/>
      <c r="R23" s="629"/>
      <c r="S23" s="629"/>
      <c r="T23" s="629"/>
      <c r="U23" s="629"/>
      <c r="V23" s="629"/>
      <c r="W23" s="629"/>
      <c r="X23" s="629"/>
    </row>
    <row r="24" ht="21.0" customHeight="1">
      <c r="A24" s="644"/>
      <c r="B24" s="647" t="s">
        <v>520</v>
      </c>
      <c r="C24" s="638" t="s">
        <v>378</v>
      </c>
      <c r="E24" s="638" t="s">
        <v>521</v>
      </c>
      <c r="G24" s="629"/>
      <c r="H24" s="629"/>
      <c r="I24" s="629"/>
      <c r="J24" s="629"/>
      <c r="K24" s="629"/>
      <c r="L24" s="629"/>
      <c r="M24" s="629"/>
      <c r="N24" s="629"/>
      <c r="O24" s="629"/>
      <c r="P24" s="629"/>
      <c r="Q24" s="629"/>
      <c r="R24" s="629"/>
      <c r="S24" s="629"/>
      <c r="T24" s="629"/>
      <c r="U24" s="629"/>
      <c r="V24" s="629"/>
      <c r="W24" s="629"/>
      <c r="X24" s="629"/>
    </row>
    <row r="25" ht="21.0" customHeight="1">
      <c r="A25" s="644"/>
      <c r="B25" s="648" t="s">
        <v>522</v>
      </c>
      <c r="C25" s="634" t="s">
        <v>507</v>
      </c>
      <c r="E25" s="635" t="s">
        <v>118</v>
      </c>
      <c r="F25" s="635" t="s">
        <v>523</v>
      </c>
      <c r="G25" s="629"/>
      <c r="H25" s="629"/>
      <c r="I25" s="629"/>
      <c r="J25" s="629"/>
      <c r="K25" s="629"/>
      <c r="L25" s="629"/>
      <c r="M25" s="629"/>
      <c r="N25" s="629"/>
      <c r="O25" s="629"/>
      <c r="P25" s="629"/>
      <c r="Q25" s="629"/>
      <c r="R25" s="629"/>
      <c r="S25" s="629"/>
      <c r="T25" s="629"/>
      <c r="U25" s="629"/>
      <c r="V25" s="629"/>
      <c r="W25" s="629"/>
      <c r="X25" s="629"/>
    </row>
    <row r="26" ht="21.0" customHeight="1">
      <c r="A26" s="644"/>
      <c r="B26" s="649" t="s">
        <v>524</v>
      </c>
      <c r="C26" s="650" t="s">
        <v>525</v>
      </c>
      <c r="G26" s="629"/>
      <c r="H26" s="629"/>
      <c r="I26" s="629"/>
      <c r="J26" s="629"/>
      <c r="K26" s="629"/>
      <c r="L26" s="629"/>
      <c r="M26" s="629"/>
      <c r="N26" s="629"/>
      <c r="O26" s="629"/>
      <c r="P26" s="629"/>
      <c r="Q26" s="629"/>
      <c r="R26" s="629"/>
      <c r="S26" s="629"/>
      <c r="T26" s="629"/>
      <c r="U26" s="629"/>
      <c r="V26" s="629"/>
      <c r="W26" s="629"/>
      <c r="X26" s="629"/>
    </row>
    <row r="27" ht="21.0" customHeight="1">
      <c r="A27" s="644"/>
      <c r="B27" s="651" t="s">
        <v>526</v>
      </c>
      <c r="C27" s="652" t="s">
        <v>527</v>
      </c>
      <c r="G27" s="629"/>
      <c r="H27" s="629"/>
      <c r="I27" s="629"/>
      <c r="J27" s="629"/>
      <c r="K27" s="629"/>
      <c r="L27" s="629"/>
      <c r="M27" s="629"/>
      <c r="N27" s="629"/>
      <c r="O27" s="629"/>
      <c r="P27" s="629"/>
      <c r="Q27" s="629"/>
      <c r="R27" s="629"/>
      <c r="S27" s="629"/>
      <c r="T27" s="629"/>
      <c r="U27" s="629"/>
      <c r="V27" s="629"/>
      <c r="W27" s="629"/>
      <c r="X27" s="629"/>
    </row>
    <row r="28" ht="21.0" customHeight="1">
      <c r="A28" s="644"/>
      <c r="B28" s="653" t="s">
        <v>528</v>
      </c>
      <c r="C28" s="639" t="s">
        <v>529</v>
      </c>
      <c r="G28" s="629"/>
      <c r="H28" s="629"/>
      <c r="I28" s="629"/>
      <c r="J28" s="629"/>
      <c r="K28" s="629"/>
      <c r="L28" s="629"/>
      <c r="M28" s="629"/>
      <c r="N28" s="629"/>
      <c r="O28" s="629"/>
      <c r="P28" s="629"/>
      <c r="Q28" s="629"/>
      <c r="R28" s="629"/>
      <c r="S28" s="629"/>
      <c r="T28" s="629"/>
      <c r="U28" s="629"/>
      <c r="V28" s="629"/>
      <c r="W28" s="629"/>
      <c r="X28" s="629"/>
    </row>
    <row r="29" ht="21.0" customHeight="1">
      <c r="A29" s="644"/>
      <c r="B29" s="654" t="s">
        <v>452</v>
      </c>
      <c r="C29" s="655" t="s">
        <v>530</v>
      </c>
      <c r="G29" s="629"/>
      <c r="H29" s="629"/>
      <c r="I29" s="629"/>
      <c r="J29" s="629"/>
      <c r="K29" s="629"/>
      <c r="L29" s="629"/>
      <c r="M29" s="629"/>
      <c r="N29" s="629"/>
      <c r="O29" s="629"/>
      <c r="P29" s="629"/>
      <c r="Q29" s="629"/>
      <c r="R29" s="629"/>
      <c r="S29" s="629"/>
      <c r="T29" s="629"/>
      <c r="U29" s="629"/>
      <c r="V29" s="629"/>
      <c r="W29" s="629"/>
      <c r="X29" s="629"/>
    </row>
    <row r="30" ht="21.0" customHeight="1">
      <c r="A30" s="644"/>
      <c r="B30" s="656" t="s">
        <v>531</v>
      </c>
      <c r="C30" s="657" t="s">
        <v>532</v>
      </c>
      <c r="G30" s="629"/>
      <c r="H30" s="629"/>
      <c r="I30" s="629"/>
      <c r="J30" s="629"/>
      <c r="K30" s="629"/>
      <c r="L30" s="629"/>
      <c r="M30" s="629"/>
      <c r="N30" s="629"/>
      <c r="O30" s="629"/>
      <c r="P30" s="629"/>
      <c r="Q30" s="629"/>
      <c r="R30" s="629"/>
      <c r="S30" s="629"/>
      <c r="T30" s="629"/>
      <c r="U30" s="629"/>
      <c r="V30" s="629"/>
      <c r="W30" s="629"/>
      <c r="X30" s="629"/>
    </row>
    <row r="31" ht="21.0" customHeight="1">
      <c r="A31" s="658"/>
      <c r="B31" s="659" t="s">
        <v>533</v>
      </c>
      <c r="C31" s="660" t="s">
        <v>534</v>
      </c>
      <c r="F31" s="661" t="s">
        <v>154</v>
      </c>
      <c r="G31" s="629"/>
      <c r="H31" s="629"/>
      <c r="I31" s="629"/>
      <c r="J31" s="629"/>
      <c r="K31" s="629"/>
      <c r="L31" s="629"/>
      <c r="M31" s="629"/>
      <c r="N31" s="629"/>
      <c r="O31" s="629"/>
      <c r="P31" s="629"/>
      <c r="Q31" s="629"/>
      <c r="R31" s="629"/>
      <c r="S31" s="629"/>
      <c r="T31" s="629"/>
      <c r="U31" s="629"/>
      <c r="V31" s="629"/>
      <c r="W31" s="629"/>
      <c r="X31" s="629"/>
    </row>
    <row r="32" ht="11.25" customHeight="1">
      <c r="A32" s="615"/>
      <c r="B32" s="616"/>
      <c r="C32" s="625"/>
      <c r="D32" s="625"/>
      <c r="E32" s="625"/>
      <c r="F32" s="625"/>
      <c r="G32" s="625"/>
      <c r="H32" s="625"/>
      <c r="I32" s="625"/>
      <c r="J32" s="625"/>
      <c r="K32" s="625"/>
      <c r="L32" s="625"/>
      <c r="M32" s="625"/>
      <c r="N32" s="625"/>
      <c r="O32" s="625"/>
      <c r="P32" s="625"/>
      <c r="Q32" s="625"/>
      <c r="R32" s="625"/>
      <c r="S32" s="625"/>
      <c r="T32" s="625"/>
      <c r="U32" s="625"/>
      <c r="V32" s="625"/>
      <c r="W32" s="625"/>
      <c r="X32" s="625"/>
    </row>
    <row r="33" ht="26.25" customHeight="1">
      <c r="A33" s="662" t="s">
        <v>535</v>
      </c>
      <c r="B33" s="663" t="s">
        <v>536</v>
      </c>
      <c r="C33" s="664" t="s">
        <v>537</v>
      </c>
      <c r="D33" s="112"/>
      <c r="E33" s="112"/>
      <c r="F33" s="112"/>
      <c r="G33" s="629"/>
      <c r="H33" s="629"/>
      <c r="I33" s="629"/>
      <c r="J33" s="629"/>
      <c r="K33" s="629"/>
      <c r="L33" s="629"/>
      <c r="M33" s="629"/>
      <c r="N33" s="629"/>
      <c r="O33" s="629"/>
      <c r="P33" s="629"/>
      <c r="Q33" s="629"/>
      <c r="R33" s="629"/>
      <c r="S33" s="629"/>
      <c r="T33" s="629"/>
      <c r="U33" s="629"/>
      <c r="V33" s="629"/>
      <c r="W33" s="629"/>
      <c r="X33" s="629"/>
    </row>
    <row r="34" ht="11.25" customHeight="1">
      <c r="A34" s="615"/>
      <c r="B34" s="616"/>
      <c r="C34" s="625"/>
      <c r="D34" s="625"/>
      <c r="E34" s="625"/>
      <c r="F34" s="625"/>
      <c r="G34" s="625"/>
      <c r="H34" s="625"/>
      <c r="I34" s="625"/>
      <c r="J34" s="625"/>
      <c r="K34" s="625"/>
      <c r="L34" s="625"/>
      <c r="M34" s="625"/>
      <c r="N34" s="625"/>
      <c r="O34" s="625"/>
      <c r="P34" s="625"/>
      <c r="Q34" s="625"/>
      <c r="R34" s="625"/>
      <c r="S34" s="625"/>
      <c r="T34" s="625"/>
      <c r="U34" s="625"/>
      <c r="V34" s="625"/>
      <c r="W34" s="625"/>
      <c r="X34" s="625"/>
    </row>
    <row r="35" ht="21.0" customHeight="1">
      <c r="A35" s="665" t="s">
        <v>538</v>
      </c>
      <c r="B35" s="666" t="s">
        <v>119</v>
      </c>
      <c r="C35" s="629" t="s">
        <v>119</v>
      </c>
      <c r="D35" s="629"/>
      <c r="E35" s="629"/>
      <c r="F35" s="629"/>
      <c r="G35" s="629"/>
      <c r="H35" s="629"/>
      <c r="I35" s="629"/>
      <c r="J35" s="629"/>
      <c r="K35" s="629"/>
      <c r="L35" s="629"/>
      <c r="M35" s="629"/>
      <c r="N35" s="629"/>
      <c r="O35" s="629"/>
      <c r="P35" s="629"/>
      <c r="Q35" s="629"/>
      <c r="R35" s="629"/>
      <c r="S35" s="629"/>
      <c r="T35" s="629"/>
      <c r="U35" s="629"/>
      <c r="V35" s="629"/>
      <c r="W35" s="629"/>
      <c r="X35" s="629"/>
    </row>
    <row r="36" ht="21.0" customHeight="1">
      <c r="A36" s="658"/>
      <c r="B36" s="159"/>
      <c r="D36" s="629"/>
      <c r="E36" s="629"/>
      <c r="F36" s="629"/>
      <c r="G36" s="629"/>
      <c r="H36" s="629"/>
      <c r="I36" s="629"/>
      <c r="J36" s="629"/>
      <c r="K36" s="629"/>
      <c r="L36" s="629"/>
      <c r="M36" s="629"/>
      <c r="N36" s="629"/>
      <c r="O36" s="629"/>
      <c r="P36" s="629"/>
      <c r="Q36" s="629"/>
      <c r="R36" s="629"/>
      <c r="S36" s="629"/>
      <c r="T36" s="629"/>
      <c r="U36" s="629"/>
      <c r="V36" s="629"/>
      <c r="W36" s="629"/>
      <c r="X36" s="629"/>
    </row>
  </sheetData>
  <mergeCells count="50">
    <mergeCell ref="C11:F11"/>
    <mergeCell ref="C12:F12"/>
    <mergeCell ref="C13:D13"/>
    <mergeCell ref="E13:F13"/>
    <mergeCell ref="A15:A19"/>
    <mergeCell ref="C16:E16"/>
    <mergeCell ref="C17:E17"/>
    <mergeCell ref="C26:F26"/>
    <mergeCell ref="C27:F27"/>
    <mergeCell ref="C28:F28"/>
    <mergeCell ref="C29:F29"/>
    <mergeCell ref="C30:F30"/>
    <mergeCell ref="C31:E31"/>
    <mergeCell ref="C33:F33"/>
    <mergeCell ref="A35:A36"/>
    <mergeCell ref="B35:B36"/>
    <mergeCell ref="C35:C36"/>
    <mergeCell ref="C18:E18"/>
    <mergeCell ref="C19:E19"/>
    <mergeCell ref="A21:A31"/>
    <mergeCell ref="C23:F23"/>
    <mergeCell ref="C24:D24"/>
    <mergeCell ref="E24:F24"/>
    <mergeCell ref="C25:D25"/>
    <mergeCell ref="O3:P3"/>
    <mergeCell ref="Q3:R3"/>
    <mergeCell ref="S3:T3"/>
    <mergeCell ref="U3:V3"/>
    <mergeCell ref="A1:B3"/>
    <mergeCell ref="C2:F2"/>
    <mergeCell ref="G2:X2"/>
    <mergeCell ref="C3:D3"/>
    <mergeCell ref="E3:F3"/>
    <mergeCell ref="G3:H3"/>
    <mergeCell ref="I3:J3"/>
    <mergeCell ref="W3:X3"/>
    <mergeCell ref="C6:F6"/>
    <mergeCell ref="C8:F8"/>
    <mergeCell ref="C9:F9"/>
    <mergeCell ref="C10:F10"/>
    <mergeCell ref="K3:L3"/>
    <mergeCell ref="M3:N3"/>
    <mergeCell ref="A5:B5"/>
    <mergeCell ref="C5:F5"/>
    <mergeCell ref="A6:B6"/>
    <mergeCell ref="A7:B7"/>
    <mergeCell ref="A8:A12"/>
    <mergeCell ref="C15:M15"/>
    <mergeCell ref="C21:F21"/>
    <mergeCell ref="C22:F22"/>
  </mergeCells>
  <conditionalFormatting sqref="B22">
    <cfRule type="colorScale" priority="1">
      <colorScale>
        <cfvo type="min"/>
        <cfvo type="max"/>
        <color rgb="FF57BB8A"/>
        <color rgb="FFFFFFFF"/>
      </colorScale>
    </cfRule>
  </conditionalFormatting>
  <conditionalFormatting sqref="B16:B19">
    <cfRule type="cellIs" dxfId="24" priority="2" operator="equal">
      <formula>"D66"</formula>
    </cfRule>
  </conditionalFormatting>
  <conditionalFormatting sqref="B16:B19">
    <cfRule type="cellIs" dxfId="18" priority="3" operator="equal">
      <formula>"MPN"</formula>
    </cfRule>
  </conditionalFormatting>
  <conditionalFormatting sqref="B16:B19">
    <cfRule type="cellIs" dxfId="25" priority="4" operator="equal">
      <formula>"S&amp;V"</formula>
    </cfRule>
  </conditionalFormatting>
  <conditionalFormatting sqref="B16:B19">
    <cfRule type="cellIs" dxfId="26" priority="5" operator="equal">
      <formula>"PVV"</formula>
    </cfRule>
  </conditionalFormatting>
  <conditionalFormatting sqref="B16:B19">
    <cfRule type="cellIs" dxfId="27" priority="6" operator="equal">
      <formula>"VVD"</formula>
    </cfRule>
  </conditionalFormatting>
  <conditionalFormatting sqref="B16:B19">
    <cfRule type="cellIs" dxfId="28" priority="7" operator="equal">
      <formula>"GL"</formula>
    </cfRule>
  </conditionalFormatting>
  <conditionalFormatting sqref="B16:B19">
    <cfRule type="cellIs" dxfId="29" priority="8" operator="equal">
      <formula>"PP"</formula>
    </cfRule>
  </conditionalFormatting>
  <conditionalFormatting sqref="B16:B19">
    <cfRule type="cellIs" dxfId="30" priority="9" operator="equal">
      <formula>"CDA"</formula>
    </cfRule>
  </conditionalFormatting>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5818E"/>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29.29"/>
    <col customWidth="1" min="2" max="2" width="10.29"/>
    <col customWidth="1" min="3" max="3" width="8.43"/>
    <col customWidth="1" min="4" max="4" width="19.29"/>
    <col customWidth="1" min="5" max="5" width="105.86"/>
    <col customWidth="1" min="6" max="6" width="0.86"/>
    <col customWidth="1" min="7" max="7" width="13.0"/>
    <col customWidth="1" min="8" max="8" width="0.86"/>
    <col customWidth="1" min="9" max="10" width="12.57"/>
    <col customWidth="1" min="11" max="11" width="0.86"/>
    <col customWidth="1" min="12" max="12" width="66.43"/>
  </cols>
  <sheetData>
    <row r="1" ht="30.75" customHeight="1">
      <c r="A1" s="667" t="s">
        <v>539</v>
      </c>
      <c r="B1" s="504"/>
      <c r="C1" s="504"/>
      <c r="D1" s="504"/>
      <c r="E1" s="27"/>
      <c r="F1" s="668"/>
      <c r="G1" s="669" t="s">
        <v>540</v>
      </c>
      <c r="H1" s="670"/>
      <c r="I1" s="671" t="s">
        <v>541</v>
      </c>
      <c r="J1" s="614"/>
      <c r="K1" s="672"/>
      <c r="L1" s="673" t="s">
        <v>542</v>
      </c>
    </row>
    <row r="2">
      <c r="A2" s="674" t="s">
        <v>497</v>
      </c>
      <c r="B2" s="675" t="s">
        <v>543</v>
      </c>
      <c r="C2" s="675" t="s">
        <v>544</v>
      </c>
      <c r="D2" s="676" t="s">
        <v>545</v>
      </c>
      <c r="E2" s="677" t="s">
        <v>546</v>
      </c>
      <c r="F2" s="678"/>
      <c r="G2" s="679" t="s">
        <v>547</v>
      </c>
      <c r="H2" s="680"/>
      <c r="I2" s="679" t="s">
        <v>548</v>
      </c>
      <c r="J2" s="681" t="s">
        <v>549</v>
      </c>
      <c r="K2" s="682"/>
      <c r="L2" s="27"/>
    </row>
    <row r="3" ht="17.25" customHeight="1">
      <c r="A3" s="683" t="s">
        <v>498</v>
      </c>
      <c r="B3" s="684" t="s">
        <v>550</v>
      </c>
      <c r="C3" s="685" t="s">
        <v>520</v>
      </c>
      <c r="D3" s="685" t="s">
        <v>120</v>
      </c>
      <c r="E3" s="686" t="str">
        <f>HYPERLINK("https://www.reddit.com/r/RMTK/comments/9uck83/m0001_motie_van_wantrouwen_jegens_de_minister_ocws/","Motie van Wantrouwen jegens de minister OCWS")</f>
        <v>Motie van Wantrouwen jegens de minister OCWS</v>
      </c>
      <c r="F3" s="687"/>
      <c r="G3" s="688" t="s">
        <v>551</v>
      </c>
      <c r="H3" s="689"/>
      <c r="I3" s="684" t="s">
        <v>552</v>
      </c>
      <c r="J3" s="688" t="s">
        <v>119</v>
      </c>
      <c r="K3" s="689"/>
      <c r="L3" s="690" t="s">
        <v>56</v>
      </c>
    </row>
    <row r="4" ht="17.25" customHeight="1">
      <c r="B4" s="684" t="s">
        <v>553</v>
      </c>
      <c r="C4" s="685" t="s">
        <v>520</v>
      </c>
      <c r="D4" s="685" t="s">
        <v>120</v>
      </c>
      <c r="E4" s="691" t="str">
        <f>HYPERLINK("https://www.reddit.com/r/RMTK/comments/9uhc7u/m0001_motie_van_afkeuring_jegens_de_minister_ocws/","Motie van afkeuring jegens de minister OCWS")</f>
        <v>Motie van afkeuring jegens de minister OCWS</v>
      </c>
      <c r="F4" s="687"/>
      <c r="G4" s="692" t="s">
        <v>554</v>
      </c>
      <c r="H4" s="689"/>
      <c r="I4" s="684" t="s">
        <v>552</v>
      </c>
      <c r="J4" s="693" t="str">
        <f>hyperlink("https://www.reddit.com/r/RMTKMedia/comments/a4kxdp/wijziging_van_partijleider_mbe/","Ja")</f>
        <v>Ja</v>
      </c>
      <c r="K4" s="689"/>
      <c r="L4" s="690" t="s">
        <v>555</v>
      </c>
    </row>
    <row r="5" ht="17.25" customHeight="1">
      <c r="B5" s="684" t="s">
        <v>556</v>
      </c>
      <c r="C5" s="694" t="s">
        <v>524</v>
      </c>
      <c r="D5" s="694" t="s">
        <v>155</v>
      </c>
      <c r="E5" s="695" t="str">
        <f>HYPERLINK("https://www.reddit.com/r/RMTK/comments/9v3mni/m0003_motie_tot_het_intrekken_van_het_plan_voor/","Motie tot het intrekken van het plan voor klassenverkleining naar 15 zetels")</f>
        <v>Motie tot het intrekken van het plan voor klassenverkleining naar 15 zetels</v>
      </c>
      <c r="F5" s="687"/>
      <c r="G5" s="696" t="s">
        <v>557</v>
      </c>
      <c r="H5" s="689"/>
      <c r="I5" s="684" t="s">
        <v>552</v>
      </c>
      <c r="J5" s="688" t="s">
        <v>119</v>
      </c>
      <c r="K5" s="689"/>
      <c r="L5" s="690" t="s">
        <v>56</v>
      </c>
    </row>
    <row r="6" ht="17.25" customHeight="1">
      <c r="B6" s="684" t="s">
        <v>558</v>
      </c>
      <c r="C6" s="685" t="s">
        <v>520</v>
      </c>
      <c r="D6" s="685" t="s">
        <v>378</v>
      </c>
      <c r="E6" s="695" t="str">
        <f>HYPERLINK("https://www.reddit.com/r/RMTK/comments/9vbs93/m0004_motie_tot_vrijheid_voor_ons_allen/","Motie tot vrijheid voor ons allen")</f>
        <v>Motie tot vrijheid voor ons allen</v>
      </c>
      <c r="F6" s="687"/>
      <c r="G6" s="696" t="s">
        <v>557</v>
      </c>
      <c r="H6" s="689"/>
      <c r="I6" s="684" t="s">
        <v>559</v>
      </c>
      <c r="J6" s="688" t="s">
        <v>119</v>
      </c>
      <c r="K6" s="689"/>
      <c r="L6" s="690" t="s">
        <v>56</v>
      </c>
    </row>
    <row r="7" ht="17.25" customHeight="1">
      <c r="B7" s="684" t="s">
        <v>560</v>
      </c>
      <c r="C7" s="697" t="s">
        <v>522</v>
      </c>
      <c r="D7" s="697" t="s">
        <v>118</v>
      </c>
      <c r="E7" s="695" t="str">
        <f>HYPERLINK("https://www.reddit.com/r/RMTK/comments/9xaw30/m0005_motie_tot_het_verdediging_van_de_abc/","Motie tot het verdediging van de ABC eilanden")</f>
        <v>Motie tot het verdediging van de ABC eilanden</v>
      </c>
      <c r="F7" s="687"/>
      <c r="G7" s="692" t="s">
        <v>554</v>
      </c>
      <c r="H7" s="689"/>
      <c r="I7" s="684" t="s">
        <v>561</v>
      </c>
      <c r="J7" s="693" t="str">
        <f>hyperlink ("https://www.reddit.com/r/RMTK/comments/a8d26g/ks0002_kamerbrief_aangaande_versterkingen_abc/","Ja")</f>
        <v>Ja</v>
      </c>
      <c r="K7" s="689"/>
      <c r="L7" s="690" t="s">
        <v>56</v>
      </c>
    </row>
    <row r="8" ht="17.25" customHeight="1">
      <c r="B8" s="684" t="s">
        <v>562</v>
      </c>
      <c r="C8" s="685" t="s">
        <v>520</v>
      </c>
      <c r="D8" s="685" t="s">
        <v>378</v>
      </c>
      <c r="E8" s="695" t="str">
        <f>HYPERLINK("https://www.reddit.com/r/RMTK/comments/9yb2l5/m0006_motie_tot_aanpassen_omgang_met_gegevens/","Motie tot aanpassen omgang met gegevens door Kamer van Koophandel")</f>
        <v>Motie tot aanpassen omgang met gegevens door Kamer van Koophandel</v>
      </c>
      <c r="F8" s="687"/>
      <c r="G8" s="692" t="s">
        <v>554</v>
      </c>
      <c r="H8" s="689"/>
      <c r="I8" s="684" t="s">
        <v>563</v>
      </c>
      <c r="J8" s="698" t="s">
        <v>564</v>
      </c>
      <c r="K8" s="689"/>
      <c r="L8" s="690" t="s">
        <v>56</v>
      </c>
    </row>
    <row r="9" ht="17.25" customHeight="1">
      <c r="B9" s="684" t="s">
        <v>565</v>
      </c>
      <c r="C9" s="685" t="s">
        <v>520</v>
      </c>
      <c r="D9" s="685" t="s">
        <v>116</v>
      </c>
      <c r="E9" s="695" t="str">
        <f>HYPERLINK("https://www.reddit.com/r/RMTK/comments/9yw1yh/m0007_motie_betreffende_plundering_venda_burial/","Motie betreffende plundering Venda Burial Society Mutual Bank ")</f>
        <v>Motie betreffende plundering Venda Burial Society Mutual Bank </v>
      </c>
      <c r="F9" s="687"/>
      <c r="G9" s="692" t="s">
        <v>554</v>
      </c>
      <c r="H9" s="689"/>
      <c r="I9" s="684" t="s">
        <v>566</v>
      </c>
      <c r="J9" s="693" t="str">
        <f>hyperlink("https://www.reddit.com/r/RMTK/comments/a7c1t4/ks0001_kamerbrief_aangaande_plundering_venda/","Ja")</f>
        <v>Ja</v>
      </c>
      <c r="K9" s="689"/>
      <c r="L9" s="690" t="s">
        <v>56</v>
      </c>
    </row>
    <row r="10" ht="17.25" customHeight="1">
      <c r="B10" s="684" t="s">
        <v>567</v>
      </c>
      <c r="C10" s="694" t="s">
        <v>524</v>
      </c>
      <c r="D10" s="694" t="s">
        <v>155</v>
      </c>
      <c r="E10" s="695" t="str">
        <f>HYPERLINK("https://www.reddit.com/r/RMTK/comments/a0hbsz/m0008_motie_betreffende_het_sluiten_van_chinese/","Motie betreffende het sluiten van Chinese heropvoedingskampen ")</f>
        <v>Motie betreffende het sluiten van Chinese heropvoedingskampen </v>
      </c>
      <c r="F10" s="687"/>
      <c r="G10" s="692" t="s">
        <v>554</v>
      </c>
      <c r="H10" s="689"/>
      <c r="I10" s="684" t="s">
        <v>566</v>
      </c>
      <c r="J10" s="693" t="str">
        <f>hyperlink("https://www.reddit.com/r/RMTK/comments/a943eb/ks0003_kamerbrief_aangaande_het_sluiten_van/","Ja")</f>
        <v>Ja</v>
      </c>
      <c r="K10" s="689"/>
      <c r="L10" s="690" t="s">
        <v>56</v>
      </c>
    </row>
    <row r="11" ht="17.25" customHeight="1">
      <c r="B11" s="684" t="s">
        <v>568</v>
      </c>
      <c r="C11" s="694" t="s">
        <v>524</v>
      </c>
      <c r="D11" s="694" t="s">
        <v>155</v>
      </c>
      <c r="E11" s="695" t="str">
        <f>HYPERLINK("https://www.reddit.com/r/RMTK/comments/a157uw/m0009_motie_over_de_aanbevelingen_van_het/","Motie over de aanbevelingen van het Planetary Security Initiative")</f>
        <v>Motie over de aanbevelingen van het Planetary Security Initiative</v>
      </c>
      <c r="F11" s="687"/>
      <c r="G11" s="692" t="s">
        <v>554</v>
      </c>
      <c r="H11" s="689"/>
      <c r="I11" s="684" t="s">
        <v>569</v>
      </c>
      <c r="J11" s="698" t="s">
        <v>564</v>
      </c>
      <c r="K11" s="689"/>
      <c r="L11" s="690" t="s">
        <v>56</v>
      </c>
    </row>
    <row r="12" ht="17.25" customHeight="1">
      <c r="B12" s="684" t="s">
        <v>570</v>
      </c>
      <c r="C12" s="685" t="s">
        <v>520</v>
      </c>
      <c r="D12" s="685" t="s">
        <v>378</v>
      </c>
      <c r="E12" s="695" t="str">
        <f>HYPERLINK("https://www.reddit.com/r/RMTK/comments/a3evk8/m0010_motie_gezamenlijke_oplossingen_voor/","Motie gezamenlijke oplossingen voor woningtekort middels langdurige leegstand vastgoed m.u.v. woningen")</f>
        <v>Motie gezamenlijke oplossingen voor woningtekort middels langdurige leegstand vastgoed m.u.v. woningen</v>
      </c>
      <c r="F12" s="687"/>
      <c r="G12" s="692" t="s">
        <v>554</v>
      </c>
      <c r="H12" s="689"/>
      <c r="I12" s="684" t="s">
        <v>571</v>
      </c>
      <c r="J12" s="698" t="s">
        <v>564</v>
      </c>
      <c r="K12" s="689"/>
      <c r="L12" s="690" t="s">
        <v>56</v>
      </c>
    </row>
    <row r="13" ht="17.25" customHeight="1">
      <c r="B13" s="684" t="s">
        <v>572</v>
      </c>
      <c r="C13" s="685" t="s">
        <v>520</v>
      </c>
      <c r="D13" s="685" t="s">
        <v>378</v>
      </c>
      <c r="E13" s="699" t="str">
        <f>HYPERLINK("https://reddit.com/r/RMTK/comments/a4kfpa", "Motie tot het veranderen van cultuur rondom het beschermen van privégegevens binnen de organisatie van de Belastingdienst")</f>
        <v>Motie tot het veranderen van cultuur rondom het beschermen van privégegevens binnen de organisatie van de Belastingdienst</v>
      </c>
      <c r="F13" s="687"/>
      <c r="G13" s="692" t="s">
        <v>554</v>
      </c>
      <c r="H13" s="689"/>
      <c r="I13" s="684" t="s">
        <v>569</v>
      </c>
      <c r="J13" s="698" t="s">
        <v>564</v>
      </c>
      <c r="K13" s="689"/>
      <c r="L13" s="690" t="s">
        <v>56</v>
      </c>
    </row>
    <row r="14" ht="17.25" customHeight="1">
      <c r="B14" s="684" t="s">
        <v>573</v>
      </c>
      <c r="C14" s="700" t="s">
        <v>31</v>
      </c>
      <c r="D14" s="700" t="s">
        <v>148</v>
      </c>
      <c r="E14" s="695" t="str">
        <f>HYPERLINK("https://www.reddit.com/r/RMTK/comments/a4x47a/m0012_motie_tot_het_toestaan_van_het/","Motie tot het toestaan van het Standaardfries in het parlement bij het stemmen")</f>
        <v>Motie tot het toestaan van het Standaardfries in het parlement bij het stemmen</v>
      </c>
      <c r="F14" s="687"/>
      <c r="G14" s="696" t="s">
        <v>557</v>
      </c>
      <c r="H14" s="689"/>
      <c r="I14" s="684" t="s">
        <v>508</v>
      </c>
      <c r="J14" s="688" t="s">
        <v>119</v>
      </c>
      <c r="K14" s="689"/>
      <c r="L14" s="690" t="s">
        <v>56</v>
      </c>
    </row>
    <row r="15" ht="17.25" customHeight="1">
      <c r="B15" s="684" t="s">
        <v>574</v>
      </c>
      <c r="C15" s="685" t="s">
        <v>520</v>
      </c>
      <c r="D15" s="685" t="s">
        <v>157</v>
      </c>
      <c r="E15" s="691" t="str">
        <f>HYPERLINK("https://www.reddit.com/r/RMTK/comments/a6yip8/m0013_motie_van_wantrouwen_tegen/","Motie van Wantrouwen tegen Kabinet-graansmoothie")</f>
        <v>Motie van Wantrouwen tegen Kabinet-graansmoothie</v>
      </c>
      <c r="F15" s="687"/>
      <c r="G15" s="696" t="s">
        <v>557</v>
      </c>
      <c r="H15" s="689"/>
      <c r="I15" s="684" t="s">
        <v>559</v>
      </c>
      <c r="J15" s="688" t="s">
        <v>119</v>
      </c>
      <c r="K15" s="689"/>
      <c r="L15" s="690" t="s">
        <v>56</v>
      </c>
    </row>
    <row r="16" ht="17.25" customHeight="1">
      <c r="B16" s="684" t="s">
        <v>575</v>
      </c>
      <c r="C16" s="685" t="s">
        <v>520</v>
      </c>
      <c r="D16" s="685" t="s">
        <v>378</v>
      </c>
      <c r="E16" s="695" t="str">
        <f>HYPERLINK("https://www.reddit.com/r/RMTK/comments/a9e3yl/m0014_motie_betreffende_proactieve_maatregelen/","Motie betreffende pro-actieve maatregelen, tot betrekking op concentratiekampen in China")</f>
        <v>Motie betreffende pro-actieve maatregelen, tot betrekking op concentratiekampen in China</v>
      </c>
      <c r="F16" s="687"/>
      <c r="G16" s="692" t="s">
        <v>554</v>
      </c>
      <c r="H16" s="689"/>
      <c r="I16" s="684" t="s">
        <v>566</v>
      </c>
      <c r="J16" s="698" t="s">
        <v>564</v>
      </c>
      <c r="K16" s="689"/>
      <c r="L16" s="690" t="s">
        <v>56</v>
      </c>
    </row>
    <row r="17" ht="17.25" customHeight="1">
      <c r="B17" s="684" t="s">
        <v>576</v>
      </c>
      <c r="C17" s="694" t="s">
        <v>524</v>
      </c>
      <c r="D17" s="701" t="s">
        <v>525</v>
      </c>
      <c r="E17" s="695" t="str">
        <f>HYPERLINK("https://www.reddit.com/r/RMTK/comments/abmvb8/m0015_motie_tot_nederlandse_antarctische_claim/","Motie tot Nederlandse Antarctische claim ten behoefte van vreedzame economische exploitatie ")</f>
        <v>Motie tot Nederlandse Antarctische claim ten behoefte van vreedzame economische exploitatie </v>
      </c>
      <c r="F17" s="687"/>
      <c r="G17" s="696" t="s">
        <v>557</v>
      </c>
      <c r="H17" s="689"/>
      <c r="I17" s="684" t="s">
        <v>566</v>
      </c>
      <c r="J17" s="688" t="s">
        <v>119</v>
      </c>
      <c r="K17" s="689"/>
      <c r="L17" s="690" t="s">
        <v>56</v>
      </c>
    </row>
    <row r="18" ht="17.25" customHeight="1">
      <c r="B18" s="684" t="s">
        <v>577</v>
      </c>
      <c r="C18" s="685" t="s">
        <v>520</v>
      </c>
      <c r="D18" s="685" t="s">
        <v>578</v>
      </c>
      <c r="E18" s="695" t="str">
        <f>HYPERLINK("https://www.reddit.com/r/RMTK/comments/acgtkp/m0016_motie_tot_het_veranderen_van_het/","Motie tot het veranderen van het inburgeringsproces")</f>
        <v>Motie tot het veranderen van het inburgeringsproces</v>
      </c>
      <c r="F18" s="687"/>
      <c r="G18" s="692" t="s">
        <v>554</v>
      </c>
      <c r="H18" s="689"/>
      <c r="I18" s="684" t="s">
        <v>579</v>
      </c>
      <c r="J18" s="693" t="str">
        <f>hyperlink("https://old.reddit.com/r/RMTK/comments/asr47d/ks0008_kamerbrief_ter_reactie_op_m0016_over_het/?","Ja")</f>
        <v>Ja</v>
      </c>
      <c r="K18" s="689"/>
      <c r="L18" s="690" t="s">
        <v>56</v>
      </c>
    </row>
    <row r="19" ht="17.25" customHeight="1">
      <c r="B19" s="684" t="s">
        <v>580</v>
      </c>
      <c r="C19" s="702" t="s">
        <v>533</v>
      </c>
      <c r="D19" s="702" t="s">
        <v>154</v>
      </c>
      <c r="E19" s="695" t="str">
        <f>HYPERLINK("https://reddit.com/r/RMTK/comments/adl4nh/m0017_motie_tot_aanpassing_beleid_vreugdevuren/","Motie tot aanpassing beleid vreugdevuren")</f>
        <v>Motie tot aanpassing beleid vreugdevuren</v>
      </c>
      <c r="F19" s="687"/>
      <c r="G19" s="692" t="s">
        <v>554</v>
      </c>
      <c r="H19" s="689"/>
      <c r="I19" s="684" t="s">
        <v>579</v>
      </c>
      <c r="J19" s="698" t="s">
        <v>564</v>
      </c>
      <c r="K19" s="689"/>
      <c r="L19" s="690" t="s">
        <v>56</v>
      </c>
    </row>
    <row r="20" ht="17.25" customHeight="1">
      <c r="B20" s="684" t="s">
        <v>581</v>
      </c>
      <c r="C20" s="685" t="s">
        <v>520</v>
      </c>
      <c r="D20" s="685" t="s">
        <v>578</v>
      </c>
      <c r="E20" s="695" t="str">
        <f>HYPERLINK("https://reddit.com/r/RMTK/comments/ae7cyz/m0018_motie_tot_duidelijkheid_over_lelystad/","Motie tot duidelijkheid over Lelystad Airport")</f>
        <v>Motie tot duidelijkheid over Lelystad Airport</v>
      </c>
      <c r="F20" s="687"/>
      <c r="G20" s="696" t="s">
        <v>557</v>
      </c>
      <c r="H20" s="703"/>
      <c r="I20" s="704" t="s">
        <v>582</v>
      </c>
      <c r="J20" s="688" t="s">
        <v>119</v>
      </c>
      <c r="K20" s="689"/>
      <c r="L20" s="690" t="s">
        <v>56</v>
      </c>
    </row>
    <row r="21" ht="17.25" customHeight="1">
      <c r="B21" s="684" t="s">
        <v>583</v>
      </c>
      <c r="C21" s="694" t="s">
        <v>524</v>
      </c>
      <c r="D21" s="694" t="s">
        <v>155</v>
      </c>
      <c r="E21" s="695" t="str">
        <f>HYPERLINK("https://old.reddit.com/r/RMTK/comments/aeu8iv/m0019_motie_tot_het_invoeren_van_permanente/","Motie tot het invoeren van permanente wintertijd")</f>
        <v>Motie tot het invoeren van permanente wintertijd</v>
      </c>
      <c r="F21" s="687"/>
      <c r="G21" s="692" t="s">
        <v>554</v>
      </c>
      <c r="H21" s="703"/>
      <c r="I21" s="704" t="s">
        <v>582</v>
      </c>
      <c r="J21" s="693" t="str">
        <f>hyperlink("https://old.reddit.com/r/RMTK/comments/auo7wa/ks0010_kamerbrief_aangaande_adopteren_wintertijd/?","Ja")</f>
        <v>Ja</v>
      </c>
      <c r="K21" s="689"/>
      <c r="L21" s="690" t="s">
        <v>56</v>
      </c>
    </row>
    <row r="22" ht="17.25" customHeight="1">
      <c r="B22" s="684" t="s">
        <v>584</v>
      </c>
      <c r="C22" s="685" t="s">
        <v>520</v>
      </c>
      <c r="D22" s="685" t="s">
        <v>122</v>
      </c>
      <c r="E22" s="695" t="str">
        <f>HYPERLINK("https://www.reddit.com/r/RMTK/comments/aipqmi/m0020_motie_tot_het_aanleggen_van_een/","Motie tot het aanleggen van een spoorverbinding tussen Noord-Holland en Friesland")</f>
        <v>Motie tot het aanleggen van een spoorverbinding tussen Noord-Holland en Friesland</v>
      </c>
      <c r="F22" s="687"/>
      <c r="G22" s="692" t="s">
        <v>554</v>
      </c>
      <c r="H22" s="689"/>
      <c r="I22" s="705" t="s">
        <v>571</v>
      </c>
      <c r="J22" s="698" t="s">
        <v>564</v>
      </c>
      <c r="K22" s="689"/>
      <c r="L22" s="690" t="s">
        <v>56</v>
      </c>
    </row>
    <row r="23" ht="17.25" customHeight="1">
      <c r="B23" s="684" t="s">
        <v>585</v>
      </c>
      <c r="C23" s="700" t="s">
        <v>31</v>
      </c>
      <c r="D23" s="700" t="s">
        <v>16</v>
      </c>
      <c r="E23" s="695" t="str">
        <f>HYPERLINK("https://www.reddit.com/r/RMTK/comments/aiq3cp/m0021_motie_tot_het_sluiten_van_een/","Motie tot het sluiten van een handelsovereenkomst met het Verenigd Koninkrijk")</f>
        <v>Motie tot het sluiten van een handelsovereenkomst met het Verenigd Koninkrijk</v>
      </c>
      <c r="F23" s="687"/>
      <c r="G23" s="696" t="s">
        <v>557</v>
      </c>
      <c r="H23" s="689"/>
      <c r="I23" s="705" t="s">
        <v>566</v>
      </c>
      <c r="J23" s="688" t="s">
        <v>119</v>
      </c>
      <c r="K23" s="689"/>
      <c r="L23" s="690" t="s">
        <v>56</v>
      </c>
    </row>
    <row r="24" ht="7.5" customHeight="1">
      <c r="A24" s="706"/>
      <c r="B24" s="706"/>
      <c r="C24" s="707"/>
      <c r="D24" s="707"/>
      <c r="E24" s="708"/>
      <c r="F24" s="709"/>
      <c r="G24" s="710"/>
      <c r="H24" s="711"/>
      <c r="I24" s="710"/>
      <c r="J24" s="706"/>
      <c r="K24" s="711"/>
      <c r="L24" s="706"/>
    </row>
    <row r="25" ht="17.25" customHeight="1">
      <c r="A25" s="683" t="s">
        <v>586</v>
      </c>
      <c r="B25" s="684" t="s">
        <v>587</v>
      </c>
      <c r="C25" s="694" t="s">
        <v>524</v>
      </c>
      <c r="D25" s="694" t="s">
        <v>155</v>
      </c>
      <c r="E25" s="695" t="str">
        <f>HYPERLINK("https://www.reddit.com/r/RMTK/comments/aj2ow8/m0022_motie_om_juan_guair%C3%B3_te_rekennen_als/","Motie om Juan Guairó te rekennen als president van Venezuela")</f>
        <v>Motie om Juan Guairó te rekennen als president van Venezuela</v>
      </c>
      <c r="F25" s="687"/>
      <c r="G25" s="692" t="s">
        <v>554</v>
      </c>
      <c r="H25" s="689"/>
      <c r="I25" s="705" t="s">
        <v>566</v>
      </c>
      <c r="J25" s="712" t="str">
        <f>HYPERLINK("https://old.reddit.com/r/RMTK/comments/akq527/ks0005_kamerbrief_aangaande_de_situatie_in/?","Ja")</f>
        <v>Ja</v>
      </c>
      <c r="K25" s="689"/>
      <c r="L25" s="690" t="s">
        <v>56</v>
      </c>
    </row>
    <row r="26" ht="17.25" customHeight="1">
      <c r="B26" s="684" t="s">
        <v>588</v>
      </c>
      <c r="C26" s="700" t="s">
        <v>31</v>
      </c>
      <c r="D26" s="700" t="s">
        <v>148</v>
      </c>
      <c r="E26" s="695" t="str">
        <f>HYPERLINK("https://www.reddit.com/r/RMTK/comments/ajf9vj/m0023_motie_tot_bescherming_van_casual_friday/","Motie tot bescherming van 'Casual Friday' ")</f>
        <v>Motie tot bescherming van 'Casual Friday' </v>
      </c>
      <c r="F26" s="687"/>
      <c r="G26" s="696" t="s">
        <v>557</v>
      </c>
      <c r="H26" s="689"/>
      <c r="I26" s="684" t="s">
        <v>559</v>
      </c>
      <c r="J26" s="688" t="s">
        <v>119</v>
      </c>
      <c r="K26" s="689"/>
      <c r="L26" s="690" t="s">
        <v>56</v>
      </c>
    </row>
    <row r="27" ht="17.25" customHeight="1">
      <c r="B27" s="684" t="s">
        <v>589</v>
      </c>
      <c r="C27" s="694" t="s">
        <v>524</v>
      </c>
      <c r="D27" s="694" t="s">
        <v>155</v>
      </c>
      <c r="E27" s="695" t="str">
        <f>HYPERLINK("https://www.reddit.com/r/RMTK/comments/ajfndl/m0024_motie_over_contant_geld_bij_gemeentes/","Motie over contant geld bij gemeentes")</f>
        <v>Motie over contant geld bij gemeentes</v>
      </c>
      <c r="F27" s="687"/>
      <c r="G27" s="692" t="s">
        <v>554</v>
      </c>
      <c r="H27" s="689"/>
      <c r="I27" s="684" t="s">
        <v>590</v>
      </c>
      <c r="J27" s="698" t="s">
        <v>564</v>
      </c>
      <c r="K27" s="689"/>
      <c r="L27" s="690" t="s">
        <v>56</v>
      </c>
    </row>
    <row r="28" ht="17.25" customHeight="1">
      <c r="B28" s="684" t="s">
        <v>591</v>
      </c>
      <c r="C28" s="713" t="s">
        <v>440</v>
      </c>
      <c r="D28" s="713" t="s">
        <v>397</v>
      </c>
      <c r="E28" s="714" t="str">
        <f>HYPERLINK("https://old.reddit.com/r/RMTK/comments/akqcw6/m0025_motie_om_f%C3%A9lix_tshisekedi_niet_als/","Motie om Félix Tshisekedi niet als president van Congo te erkennen")</f>
        <v>Motie om Félix Tshisekedi niet als president van Congo te erkennen</v>
      </c>
      <c r="F28" s="687"/>
      <c r="G28" s="692" t="s">
        <v>554</v>
      </c>
      <c r="H28" s="689"/>
      <c r="I28" s="684" t="s">
        <v>566</v>
      </c>
      <c r="J28" s="712" t="str">
        <f>HYPERLINK("https://old.reddit.com/r/RMTK/comments/as0atq/ks0007_kamerbrief_aangaande_erkenning_van_een/","Ja")</f>
        <v>Ja</v>
      </c>
      <c r="K28" s="689"/>
      <c r="L28" s="690" t="s">
        <v>56</v>
      </c>
    </row>
    <row r="29" ht="17.25" customHeight="1">
      <c r="B29" s="684" t="s">
        <v>592</v>
      </c>
      <c r="C29" s="694" t="s">
        <v>524</v>
      </c>
      <c r="D29" s="694" t="s">
        <v>155</v>
      </c>
      <c r="E29" s="714" t="str">
        <f>HYPERLINK("https://old.reddit.com/r/RMTK/comments/al2x7m/m0026_motie_om_het_kinderopvangstelsel/?","Motie om het kinderopvangstelsel eenvoudiger te maken")</f>
        <v>Motie om het kinderopvangstelsel eenvoudiger te maken</v>
      </c>
      <c r="F29" s="687"/>
      <c r="G29" s="692" t="s">
        <v>554</v>
      </c>
      <c r="H29" s="689"/>
      <c r="I29" s="684" t="s">
        <v>593</v>
      </c>
      <c r="J29" s="698" t="s">
        <v>564</v>
      </c>
      <c r="K29" s="689"/>
      <c r="L29" s="690" t="s">
        <v>56</v>
      </c>
    </row>
    <row r="30" ht="17.25" customHeight="1">
      <c r="B30" s="684" t="s">
        <v>594</v>
      </c>
      <c r="C30" s="700" t="s">
        <v>31</v>
      </c>
      <c r="D30" s="700" t="s">
        <v>32</v>
      </c>
      <c r="E30" s="715" t="str">
        <f>HYPERLINK("https://old.reddit.com/r/RMTK/comments/aleh5w/m0027_motie_van_afkeuring_jegens_de_minister_fez/?","Motie van afkeuring jegens de minister FEZ")</f>
        <v>Motie van afkeuring jegens de minister FEZ</v>
      </c>
      <c r="F30" s="687"/>
      <c r="G30" s="696" t="s">
        <v>557</v>
      </c>
      <c r="H30" s="689"/>
      <c r="I30" s="684" t="s">
        <v>595</v>
      </c>
      <c r="J30" s="688" t="s">
        <v>119</v>
      </c>
      <c r="K30" s="689"/>
      <c r="L30" s="690" t="s">
        <v>56</v>
      </c>
    </row>
    <row r="31" ht="17.25" customHeight="1">
      <c r="B31" s="684" t="s">
        <v>596</v>
      </c>
      <c r="C31" s="716" t="s">
        <v>597</v>
      </c>
      <c r="D31" s="716" t="s">
        <v>378</v>
      </c>
      <c r="E31" s="699" t="str">
        <f>hyperlink("https://old.reddit.com/r/RMTK/comments/alfjq1/m0028_motie_tot_het_veranderen_van_cultuur_rondom/?","Motie tot het veranderen van cultuur rondom het beschermen van privégegevens binnen de organisatie van de Kamer van Koophandel")</f>
        <v>Motie tot het veranderen van cultuur rondom het beschermen van privégegevens binnen de organisatie van de Kamer van Koophandel</v>
      </c>
      <c r="F31" s="687"/>
      <c r="G31" s="692" t="s">
        <v>554</v>
      </c>
      <c r="H31" s="689"/>
      <c r="I31" s="684" t="s">
        <v>598</v>
      </c>
      <c r="J31" s="698" t="s">
        <v>564</v>
      </c>
      <c r="K31" s="689"/>
      <c r="L31" s="690" t="s">
        <v>56</v>
      </c>
    </row>
    <row r="32" ht="17.25" customHeight="1">
      <c r="B32" s="684" t="s">
        <v>599</v>
      </c>
      <c r="C32" s="694" t="s">
        <v>524</v>
      </c>
      <c r="D32" s="694" t="s">
        <v>155</v>
      </c>
      <c r="E32" s="699" t="str">
        <f>hyperlink("https://old.reddit.com/r/RMTK/comments/alrx3g/m0029_motie_over_maatregelen_tegen/","Motie over maatregelen tegen kilometertellerfraude")</f>
        <v>Motie over maatregelen tegen kilometertellerfraude</v>
      </c>
      <c r="F32" s="687"/>
      <c r="G32" s="692" t="s">
        <v>554</v>
      </c>
      <c r="H32" s="689"/>
      <c r="I32" s="684" t="s">
        <v>569</v>
      </c>
      <c r="J32" s="698" t="s">
        <v>564</v>
      </c>
      <c r="K32" s="689"/>
      <c r="L32" s="690" t="s">
        <v>56</v>
      </c>
    </row>
    <row r="33" ht="17.25" customHeight="1">
      <c r="B33" s="684" t="s">
        <v>600</v>
      </c>
      <c r="C33" s="700" t="s">
        <v>31</v>
      </c>
      <c r="D33" s="700" t="s">
        <v>32</v>
      </c>
      <c r="E33" s="699" t="str">
        <f>hyperlink("https://old.reddit.com/r/RMTK/comments/alskg2/m0030_motie_aangaande_vermogensaanwasdeling/","Motie aangaande vermogensaanwasdeling")</f>
        <v>Motie aangaande vermogensaanwasdeling</v>
      </c>
      <c r="F33" s="687"/>
      <c r="G33" s="696" t="s">
        <v>557</v>
      </c>
      <c r="H33" s="689"/>
      <c r="I33" s="684" t="s">
        <v>601</v>
      </c>
      <c r="J33" s="688" t="s">
        <v>119</v>
      </c>
      <c r="K33" s="689"/>
      <c r="L33" s="690" t="s">
        <v>56</v>
      </c>
    </row>
    <row r="34" ht="17.25" customHeight="1">
      <c r="B34" s="684" t="s">
        <v>602</v>
      </c>
      <c r="C34" s="716" t="s">
        <v>597</v>
      </c>
      <c r="D34" s="716" t="s">
        <v>118</v>
      </c>
      <c r="E34" s="699" t="str">
        <f>HYPERLINK("https://www.reddit.com/r/RMTK/comments/an3yg1/m0031_motie_tot_versnelling_van_goedkeuring/","Motie tot versnelling goedkeuring kweekvleesproducten")</f>
        <v>Motie tot versnelling goedkeuring kweekvleesproducten</v>
      </c>
      <c r="F34" s="687"/>
      <c r="G34" s="717" t="s">
        <v>557</v>
      </c>
      <c r="H34" s="689"/>
      <c r="I34" s="684" t="s">
        <v>601</v>
      </c>
      <c r="J34" s="688" t="s">
        <v>119</v>
      </c>
      <c r="K34" s="689"/>
      <c r="L34" s="690" t="s">
        <v>56</v>
      </c>
    </row>
    <row r="35" ht="17.25" customHeight="1">
      <c r="B35" s="684" t="s">
        <v>603</v>
      </c>
      <c r="C35" s="700" t="s">
        <v>31</v>
      </c>
      <c r="D35" s="700" t="s">
        <v>16</v>
      </c>
      <c r="E35" s="699" t="str">
        <f>HYPERLINK("https://www.reddit.com/r/RMTK/comments/an4pf6/m0032_motie_uitleg_over_suikertaks/?","Motie Uitleg over Suikertaks")</f>
        <v>Motie Uitleg over Suikertaks</v>
      </c>
      <c r="F35" s="687"/>
      <c r="G35" s="717" t="s">
        <v>557</v>
      </c>
      <c r="H35" s="689"/>
      <c r="I35" s="684" t="s">
        <v>595</v>
      </c>
      <c r="J35" s="688" t="s">
        <v>119</v>
      </c>
      <c r="K35" s="689"/>
      <c r="L35" s="690" t="s">
        <v>56</v>
      </c>
    </row>
    <row r="36" ht="17.25" customHeight="1">
      <c r="B36" s="684" t="s">
        <v>604</v>
      </c>
      <c r="C36" s="718" t="s">
        <v>526</v>
      </c>
      <c r="D36" s="718" t="s">
        <v>605</v>
      </c>
      <c r="E36" s="699" t="str">
        <f>hyperlink("https://old.reddit.com/r/RMTK/comments/ansc9j/m0033_motie_tot_de_verstrekking_van_gratis_bier/","Motie tot de verstrekking van gratis bier")</f>
        <v>Motie tot de verstrekking van gratis bier</v>
      </c>
      <c r="F36" s="687"/>
      <c r="G36" s="717" t="s">
        <v>557</v>
      </c>
      <c r="H36" s="689"/>
      <c r="I36" s="684" t="s">
        <v>559</v>
      </c>
      <c r="J36" s="688" t="s">
        <v>119</v>
      </c>
      <c r="K36" s="689"/>
      <c r="L36" s="690" t="s">
        <v>56</v>
      </c>
    </row>
    <row r="37" ht="17.25" customHeight="1">
      <c r="B37" s="684" t="s">
        <v>606</v>
      </c>
      <c r="C37" s="700" t="s">
        <v>31</v>
      </c>
      <c r="D37" s="700" t="s">
        <v>16</v>
      </c>
      <c r="E37" s="699" t="str">
        <f>hyperlink("https://old.reddit.com/r/RMTK/comments/ao8cgj/m0034_motie_steun_van_navo_en_vs_aan_abceilanden/","Motie Steun van NAVO en VS aan ABC-Eilanden")</f>
        <v>Motie Steun van NAVO en VS aan ABC-Eilanden</v>
      </c>
      <c r="F37" s="687"/>
      <c r="G37" s="717" t="s">
        <v>557</v>
      </c>
      <c r="H37" s="689"/>
      <c r="I37" s="684" t="s">
        <v>598</v>
      </c>
      <c r="J37" s="688" t="s">
        <v>119</v>
      </c>
      <c r="K37" s="689"/>
      <c r="L37" s="690" t="s">
        <v>56</v>
      </c>
    </row>
    <row r="38" ht="17.25" customHeight="1">
      <c r="B38" s="684" t="s">
        <v>607</v>
      </c>
      <c r="C38" s="700" t="s">
        <v>31</v>
      </c>
      <c r="D38" s="700" t="s">
        <v>16</v>
      </c>
      <c r="E38" s="719" t="str">
        <f>hyperlink("https://old.reddit.com/r/RMTK/comments/apk0kw/m0035_motie_van_afkuring_jegens_de_minister_van/?","Motie van afkeuring jegens de Minister van BZKD")</f>
        <v>Motie van afkeuring jegens de Minister van BZKD</v>
      </c>
      <c r="F38" s="687"/>
      <c r="G38" s="717" t="s">
        <v>557</v>
      </c>
      <c r="H38" s="689"/>
      <c r="I38" s="684" t="s">
        <v>598</v>
      </c>
      <c r="J38" s="688" t="s">
        <v>119</v>
      </c>
      <c r="K38" s="689"/>
      <c r="L38" s="690" t="s">
        <v>56</v>
      </c>
    </row>
    <row r="39" ht="17.25" customHeight="1">
      <c r="B39" s="684" t="s">
        <v>608</v>
      </c>
      <c r="C39" s="700" t="s">
        <v>31</v>
      </c>
      <c r="D39" s="700" t="s">
        <v>32</v>
      </c>
      <c r="E39" s="695" t="str">
        <f>HYPERLINK("https://www.reddit.com/r/RMTK/comments/aqngvk/m0036_motie_onderzoek_voedselkwaliteit/","Motie onderzoek voedselkwaliteit Oldeholtpade")</f>
        <v>Motie onderzoek voedselkwaliteit Oldeholtpade</v>
      </c>
      <c r="F39" s="687"/>
      <c r="G39" s="717" t="s">
        <v>557</v>
      </c>
      <c r="H39" s="689"/>
      <c r="I39" s="684" t="s">
        <v>601</v>
      </c>
      <c r="J39" s="688" t="s">
        <v>119</v>
      </c>
      <c r="K39" s="689"/>
      <c r="L39" s="690" t="s">
        <v>56</v>
      </c>
    </row>
    <row r="40" ht="17.25" customHeight="1">
      <c r="B40" s="684" t="s">
        <v>609</v>
      </c>
      <c r="C40" s="720" t="s">
        <v>528</v>
      </c>
      <c r="D40" s="720" t="s">
        <v>610</v>
      </c>
      <c r="E40" s="695" t="str">
        <f>HYPERLINK("https://www.reddit.com/r/RMTK/comments/aqnnru/m0037_motie_tot_droogleggen_van_het_markermeer/","Motie tot droogleggen van het Markermeer")</f>
        <v>Motie tot droogleggen van het Markermeer</v>
      </c>
      <c r="F40" s="687"/>
      <c r="G40" s="717" t="s">
        <v>557</v>
      </c>
      <c r="H40" s="689"/>
      <c r="I40" s="684" t="s">
        <v>611</v>
      </c>
      <c r="J40" s="688" t="s">
        <v>119</v>
      </c>
      <c r="K40" s="689"/>
      <c r="L40" s="690" t="s">
        <v>56</v>
      </c>
    </row>
    <row r="41" ht="17.25" customHeight="1">
      <c r="B41" s="684" t="s">
        <v>612</v>
      </c>
      <c r="C41" s="700" t="s">
        <v>31</v>
      </c>
      <c r="D41" s="700" t="s">
        <v>16</v>
      </c>
      <c r="E41" s="699" t="str">
        <f>hyperlink("https://old.reddit.com/r/RMTK/comments/asennu/m0038_motie_verduidelijking_scheiden_van/","Motie Verduidelijking Scheiden van Verpakkingsmateriaal")</f>
        <v>Motie Verduidelijking Scheiden van Verpakkingsmateriaal</v>
      </c>
      <c r="F41" s="687"/>
      <c r="G41" s="692" t="s">
        <v>554</v>
      </c>
      <c r="H41" s="689"/>
      <c r="I41" s="684" t="s">
        <v>611</v>
      </c>
      <c r="J41" s="712" t="str">
        <f>HYPERLINK("https://old.reddit.com/r/RMTK/comments/axyq3e/w0013_wet_aanduiding_vervaardiging/?","Ja")</f>
        <v>Ja</v>
      </c>
      <c r="K41" s="689"/>
      <c r="L41" s="690" t="s">
        <v>56</v>
      </c>
    </row>
    <row r="42" ht="17.25" customHeight="1">
      <c r="B42" s="684" t="s">
        <v>613</v>
      </c>
      <c r="C42" s="720" t="s">
        <v>528</v>
      </c>
      <c r="D42" s="720" t="s">
        <v>610</v>
      </c>
      <c r="E42" s="695" t="str">
        <f>HYPERLINK("https://www.reddit.com/r/RMTK/comments/av3xoy/m0039_motie_tot_weghalen_discretionaire/","Motie tot weghalen discretionaire bevoegdheid bij Minister/Staatssecretaris van Asielzaken")</f>
        <v>Motie tot weghalen discretionaire bevoegdheid bij Minister/Staatssecretaris van Asielzaken</v>
      </c>
      <c r="F42" s="687"/>
      <c r="G42" s="692" t="s">
        <v>554</v>
      </c>
      <c r="H42" s="689"/>
      <c r="I42" s="684" t="s">
        <v>598</v>
      </c>
      <c r="J42" s="698" t="s">
        <v>564</v>
      </c>
      <c r="K42" s="689"/>
      <c r="L42" s="690" t="s">
        <v>56</v>
      </c>
    </row>
    <row r="43" ht="17.25" customHeight="1">
      <c r="B43" s="684" t="s">
        <v>614</v>
      </c>
      <c r="C43" s="713" t="s">
        <v>440</v>
      </c>
      <c r="D43" s="713" t="s">
        <v>397</v>
      </c>
      <c r="E43" s="699" t="str">
        <f>hyperlink("https://old.reddit.com/r/RMTK/comments/axlw0k/m0040_motie_tot_gratis_toegang_rijksmuseum/?","Motie tot gratis toegang Rijksmuseum")</f>
        <v>Motie tot gratis toegang Rijksmuseum</v>
      </c>
      <c r="F43" s="687"/>
      <c r="G43" s="692" t="s">
        <v>554</v>
      </c>
      <c r="H43" s="689"/>
      <c r="I43" s="684" t="s">
        <v>593</v>
      </c>
      <c r="J43" s="721" t="str">
        <f>HYPERLINK("https://www.reddit.com/r/RMTK/comments/bmn749/ks0017_brief_inzake_gratis_toegang_rijksmusea/","Ja")</f>
        <v>Ja</v>
      </c>
      <c r="K43" s="689"/>
      <c r="L43" s="690" t="s">
        <v>56</v>
      </c>
    </row>
    <row r="44" ht="17.25" customHeight="1">
      <c r="B44" s="684" t="s">
        <v>615</v>
      </c>
      <c r="C44" s="700" t="s">
        <v>31</v>
      </c>
      <c r="D44" s="700" t="s">
        <v>32</v>
      </c>
      <c r="E44" s="699" t="str">
        <f>hyperlink("https://www.reddit.com/r/RMTK/comments/ay3ege/m0041_motie_inzake_het_verdrag_inzake_de_rechten/?","Motie inzake het verdrag inzake de rechten van het kind")</f>
        <v>Motie inzake het verdrag inzake de rechten van het kind</v>
      </c>
      <c r="F44" s="687"/>
      <c r="G44" s="717" t="s">
        <v>557</v>
      </c>
      <c r="H44" s="689"/>
      <c r="I44" s="684" t="s">
        <v>566</v>
      </c>
      <c r="J44" s="688" t="s">
        <v>119</v>
      </c>
      <c r="K44" s="689"/>
      <c r="L44" s="690" t="s">
        <v>56</v>
      </c>
    </row>
    <row r="45" ht="7.5" customHeight="1">
      <c r="A45" s="706"/>
      <c r="B45" s="706"/>
      <c r="C45" s="707"/>
      <c r="D45" s="707"/>
      <c r="E45" s="708"/>
      <c r="F45" s="709"/>
      <c r="G45" s="710"/>
      <c r="H45" s="711"/>
      <c r="I45" s="710"/>
      <c r="J45" s="706"/>
      <c r="K45" s="711"/>
      <c r="L45" s="706"/>
    </row>
    <row r="46" ht="17.25" customHeight="1">
      <c r="A46" s="683" t="s">
        <v>469</v>
      </c>
      <c r="B46" s="684" t="s">
        <v>616</v>
      </c>
      <c r="C46" s="722" t="s">
        <v>446</v>
      </c>
      <c r="D46" s="722" t="s">
        <v>617</v>
      </c>
      <c r="E46" s="699" t="str">
        <f>hyperlink("https://old.reddit.com/r/RMTK/comments/bbofie/m0042_motie_tot_verwerping_artikel_11_en_13_op/?","Motie tot verwerping Artikel 11 en 13 op Europees niveau")</f>
        <v>Motie tot verwerping Artikel 11 en 13 op Europees niveau</v>
      </c>
      <c r="F46" s="687"/>
      <c r="G46" s="688" t="s">
        <v>551</v>
      </c>
      <c r="H46" s="689"/>
      <c r="I46" s="684" t="s">
        <v>566</v>
      </c>
      <c r="J46" s="688" t="s">
        <v>119</v>
      </c>
      <c r="K46" s="689"/>
      <c r="L46" s="690" t="s">
        <v>56</v>
      </c>
    </row>
    <row r="47" ht="17.25" customHeight="1">
      <c r="B47" s="684" t="s">
        <v>618</v>
      </c>
      <c r="C47" s="723" t="s">
        <v>477</v>
      </c>
      <c r="D47" s="724" t="s">
        <v>378</v>
      </c>
      <c r="E47" s="695" t="str">
        <f>HYPERLINK("https://www.reddit.com/r/RMTK/comments/bdjnhg/m0043_motie_tot_verbreiding_van_vrijheid_en_geloof/","Motie tot verbreiding van vrijheid en geloof")</f>
        <v>Motie tot verbreiding van vrijheid en geloof</v>
      </c>
      <c r="F47" s="687"/>
      <c r="G47" s="717" t="s">
        <v>557</v>
      </c>
      <c r="H47" s="689"/>
      <c r="I47" s="684" t="s">
        <v>619</v>
      </c>
      <c r="J47" s="688" t="s">
        <v>119</v>
      </c>
      <c r="K47" s="689"/>
      <c r="L47" s="690" t="s">
        <v>56</v>
      </c>
    </row>
    <row r="48" ht="17.25" customHeight="1">
      <c r="B48" s="684" t="s">
        <v>620</v>
      </c>
      <c r="C48" s="722" t="s">
        <v>446</v>
      </c>
      <c r="D48" s="722" t="s">
        <v>621</v>
      </c>
      <c r="E48" s="699" t="str">
        <f>hyperlink("https://old.reddit.com/r/RMTK/comments/bdvyaj/m0044_motie_tot_beperking_ontbossing_in_nederland/","Motie tot beperking ontbossing in Nederland")</f>
        <v>Motie tot beperking ontbossing in Nederland</v>
      </c>
      <c r="F48" s="687"/>
      <c r="G48" s="692" t="s">
        <v>554</v>
      </c>
      <c r="H48" s="689"/>
      <c r="I48" s="684" t="s">
        <v>622</v>
      </c>
      <c r="J48" s="698" t="s">
        <v>564</v>
      </c>
      <c r="K48" s="689"/>
      <c r="L48" s="690" t="s">
        <v>56</v>
      </c>
    </row>
    <row r="49" ht="17.25" customHeight="1">
      <c r="B49" s="684" t="s">
        <v>623</v>
      </c>
      <c r="C49" s="722" t="s">
        <v>446</v>
      </c>
      <c r="D49" s="722" t="s">
        <v>153</v>
      </c>
      <c r="E49" s="699" t="str">
        <f>hyperlink("https://old.reddit.com/r/RMTK/comments/beaf0d/m0045_motie_tot_vermindering_alcoholisme_in/?","Motie tot vermindering alcoholisme in Nederland")</f>
        <v>Motie tot vermindering alcoholisme in Nederland</v>
      </c>
      <c r="F49" s="687"/>
      <c r="G49" s="692" t="s">
        <v>554</v>
      </c>
      <c r="H49" s="689"/>
      <c r="I49" s="684" t="s">
        <v>624</v>
      </c>
      <c r="J49" s="698" t="s">
        <v>564</v>
      </c>
      <c r="K49" s="689"/>
      <c r="L49" s="690" t="s">
        <v>56</v>
      </c>
    </row>
    <row r="50" ht="17.25" customHeight="1">
      <c r="B50" s="684" t="s">
        <v>625</v>
      </c>
      <c r="C50" s="725" t="s">
        <v>449</v>
      </c>
      <c r="D50" s="725" t="s">
        <v>610</v>
      </c>
      <c r="E50" s="695" t="str">
        <f>HYPERLINK("https://www.reddit.com/r/RMTK/comments/beo0o2/m0046_motie_tot_structurele_financieringsregeling/","Motie tot structurele financieringsregeling tegen drugsdumpingen")</f>
        <v>Motie tot structurele financieringsregeling tegen drugsdumpingen</v>
      </c>
      <c r="F50" s="687"/>
      <c r="G50" s="717" t="s">
        <v>557</v>
      </c>
      <c r="H50" s="689"/>
      <c r="I50" s="684" t="s">
        <v>619</v>
      </c>
      <c r="J50" s="688" t="s">
        <v>119</v>
      </c>
      <c r="K50" s="689"/>
      <c r="L50" s="690" t="s">
        <v>56</v>
      </c>
    </row>
    <row r="51" ht="17.25" customHeight="1">
      <c r="B51" s="684" t="s">
        <v>626</v>
      </c>
      <c r="C51" s="722" t="s">
        <v>446</v>
      </c>
      <c r="D51" s="722" t="s">
        <v>153</v>
      </c>
      <c r="E51" s="699" t="str">
        <f>hyperlink("https://old.reddit.com/r/RMTK/comments/bgkw11/m0047_motie_tot_vergroting_budget_natuurbehoud/?","Motie tot vergroting budget natuurbehoud")</f>
        <v>Motie tot vergroting budget natuurbehoud</v>
      </c>
      <c r="F51" s="687"/>
      <c r="G51" s="692" t="s">
        <v>554</v>
      </c>
      <c r="H51" s="689"/>
      <c r="I51" s="684" t="s">
        <v>622</v>
      </c>
      <c r="J51" s="698" t="s">
        <v>564</v>
      </c>
      <c r="K51" s="689"/>
      <c r="L51" s="690" t="s">
        <v>56</v>
      </c>
    </row>
    <row r="52" ht="17.25" customHeight="1">
      <c r="B52" s="684" t="s">
        <v>627</v>
      </c>
      <c r="C52" s="726" t="s">
        <v>456</v>
      </c>
      <c r="D52" s="726" t="s">
        <v>118</v>
      </c>
      <c r="E52" s="699" t="str">
        <f>hyperlink("https://old.reddit.com/r/RMTK/comments/bgyk5e/m0048_motie_tot_het_reduceren_van_dak_en/?","Motie tot het reduceren van dak en thuislozen")</f>
        <v>Motie tot het reduceren van dak en thuislozen</v>
      </c>
      <c r="F52" s="687"/>
      <c r="G52" s="692" t="s">
        <v>554</v>
      </c>
      <c r="H52" s="689"/>
      <c r="I52" s="684" t="s">
        <v>624</v>
      </c>
      <c r="J52" s="698" t="s">
        <v>564</v>
      </c>
      <c r="K52" s="689"/>
      <c r="L52" s="690" t="s">
        <v>56</v>
      </c>
    </row>
    <row r="53" ht="17.25" customHeight="1">
      <c r="B53" s="684" t="s">
        <v>628</v>
      </c>
      <c r="C53" s="722" t="s">
        <v>446</v>
      </c>
      <c r="D53" s="722" t="s">
        <v>629</v>
      </c>
      <c r="E53" s="691" t="str">
        <f>HYPERLINK("https://www.reddit.com/r/RMTK/comments/biskko/m0049_motie_van_afkeuring_tegen_de/","Motie van Afkeuring tegen de Minister-President en het Presidium ")</f>
        <v>Motie van Afkeuring tegen de Minister-President en het Presidium </v>
      </c>
      <c r="F53" s="687"/>
      <c r="G53" s="717" t="s">
        <v>557</v>
      </c>
      <c r="H53" s="689"/>
      <c r="I53" s="684" t="s">
        <v>559</v>
      </c>
      <c r="J53" s="688" t="s">
        <v>119</v>
      </c>
      <c r="K53" s="689"/>
      <c r="L53" s="690" t="s">
        <v>56</v>
      </c>
    </row>
    <row r="54" ht="17.25" customHeight="1">
      <c r="B54" s="684" t="s">
        <v>630</v>
      </c>
      <c r="C54" s="722" t="s">
        <v>446</v>
      </c>
      <c r="D54" s="722" t="s">
        <v>631</v>
      </c>
      <c r="E54" s="695" t="str">
        <f>HYPERLINK("https://www.reddit.com/r/RMTK/comments/bjxm9b/m0050_motie_tot_de_vermindering_van_het_gebruik/","Motie tot de vermindering van het gebruik van pesticiden in Nederland")</f>
        <v>Motie tot de vermindering van het gebruik van pesticiden in Nederland</v>
      </c>
      <c r="F54" s="687"/>
      <c r="G54" s="692" t="s">
        <v>554</v>
      </c>
      <c r="H54" s="689"/>
      <c r="I54" s="684" t="s">
        <v>622</v>
      </c>
      <c r="J54" s="698" t="s">
        <v>564</v>
      </c>
      <c r="K54" s="689"/>
      <c r="L54" s="690" t="s">
        <v>56</v>
      </c>
    </row>
    <row r="55" ht="7.5" customHeight="1">
      <c r="A55" s="706"/>
      <c r="B55" s="706"/>
      <c r="C55" s="707"/>
      <c r="D55" s="707"/>
      <c r="E55" s="708"/>
      <c r="F55" s="709"/>
      <c r="G55" s="710"/>
      <c r="H55" s="711"/>
      <c r="I55" s="710"/>
      <c r="J55" s="706"/>
      <c r="K55" s="711"/>
      <c r="L55" s="706"/>
    </row>
    <row r="56" ht="17.25" customHeight="1">
      <c r="A56" s="683" t="s">
        <v>632</v>
      </c>
      <c r="B56" s="684" t="s">
        <v>633</v>
      </c>
      <c r="C56" s="725" t="s">
        <v>449</v>
      </c>
      <c r="D56" s="725" t="s">
        <v>610</v>
      </c>
      <c r="E56" s="695" t="str">
        <f>HYPERLINK("https://www.reddit.com/r/RMTK/comments/bldkk7/m0051_motie_tot_verbeteren_vaccinatiegraad/","Motie Tot Verbeteren Vaccinatiegraad")</f>
        <v>Motie Tot Verbeteren Vaccinatiegraad</v>
      </c>
      <c r="F56" s="687"/>
      <c r="G56" s="692" t="s">
        <v>554</v>
      </c>
      <c r="H56" s="689"/>
      <c r="I56" s="684" t="s">
        <v>624</v>
      </c>
      <c r="J56" s="698" t="s">
        <v>564</v>
      </c>
      <c r="K56" s="689"/>
      <c r="L56" s="690" t="s">
        <v>56</v>
      </c>
    </row>
    <row r="57" ht="17.25" customHeight="1">
      <c r="B57" s="684" t="s">
        <v>634</v>
      </c>
      <c r="C57" s="725" t="s">
        <v>449</v>
      </c>
      <c r="D57" s="725" t="s">
        <v>44</v>
      </c>
      <c r="E57" s="699" t="str">
        <f>hyperlink("https://old.reddit.com/r/RMTK/comments/bo84o0/m0052_motie_tot_uitbreiding_navo/","Motie tot uitbreiding NAVO")</f>
        <v>Motie tot uitbreiding NAVO</v>
      </c>
      <c r="F57" s="687"/>
      <c r="G57" s="717" t="s">
        <v>557</v>
      </c>
      <c r="H57" s="689"/>
      <c r="I57" s="684" t="s">
        <v>566</v>
      </c>
      <c r="J57" s="688" t="s">
        <v>119</v>
      </c>
      <c r="K57" s="689"/>
      <c r="L57" s="690" t="s">
        <v>56</v>
      </c>
    </row>
    <row r="58" ht="17.25" customHeight="1">
      <c r="B58" s="684" t="s">
        <v>635</v>
      </c>
      <c r="C58" s="700" t="s">
        <v>31</v>
      </c>
      <c r="D58" s="700" t="s">
        <v>32</v>
      </c>
      <c r="E58" s="695" t="str">
        <f>HYPERLINK("https://www.reddit.com/r/RMTK/comments/bolxzd/m0053_motie_tot_sluiting_vreewijk_lyceum/","Motie tot sluiting Vreewijk Lyceum")</f>
        <v>Motie tot sluiting Vreewijk Lyceum</v>
      </c>
      <c r="F58" s="687"/>
      <c r="G58" s="692" t="s">
        <v>554</v>
      </c>
      <c r="H58" s="689"/>
      <c r="I58" s="684" t="s">
        <v>593</v>
      </c>
      <c r="J58" s="698" t="s">
        <v>636</v>
      </c>
      <c r="K58" s="689"/>
      <c r="L58" s="690" t="s">
        <v>56</v>
      </c>
    </row>
    <row r="59" ht="17.25" customHeight="1">
      <c r="B59" s="684" t="s">
        <v>637</v>
      </c>
      <c r="C59" s="700" t="s">
        <v>31</v>
      </c>
      <c r="D59" s="700" t="s">
        <v>16</v>
      </c>
      <c r="E59" s="695" t="str">
        <f>HYPERLINK("https://www.reddit.com/r/RMTK/comments/bp1yrt/m0054_motie_tot_herziening_budgettaire_bijlage/","Motie tot herziening budgettaire bijlage regeerakkoord")</f>
        <v>Motie tot herziening budgettaire bijlage regeerakkoord</v>
      </c>
      <c r="F59" s="687"/>
      <c r="G59" s="717" t="s">
        <v>557</v>
      </c>
      <c r="H59" s="689"/>
      <c r="I59" s="684" t="s">
        <v>595</v>
      </c>
      <c r="J59" s="688" t="s">
        <v>119</v>
      </c>
      <c r="K59" s="689"/>
      <c r="L59" s="690" t="s">
        <v>56</v>
      </c>
    </row>
    <row r="60" ht="17.25" customHeight="1">
      <c r="B60" s="684" t="s">
        <v>638</v>
      </c>
      <c r="C60" s="700" t="s">
        <v>31</v>
      </c>
      <c r="D60" s="700" t="s">
        <v>148</v>
      </c>
      <c r="E60" s="695" t="str">
        <f>HYPERLINK("https://old.reddit.com/r/RMTK/comments/bpg279/m0055_motie_tot_bewaren_van_vrede_omtrent_het/?","Motie tot bewaren van vrede omtrent het Venezuelavraagstuk")</f>
        <v>Motie tot bewaren van vrede omtrent het Venezuelavraagstuk</v>
      </c>
      <c r="F60" s="687"/>
      <c r="G60" s="692" t="s">
        <v>554</v>
      </c>
      <c r="H60" s="689"/>
      <c r="I60" s="684" t="s">
        <v>566</v>
      </c>
      <c r="J60" s="698" t="s">
        <v>564</v>
      </c>
      <c r="K60" s="689"/>
      <c r="L60" s="690" t="s">
        <v>56</v>
      </c>
    </row>
    <row r="61" ht="17.25" customHeight="1">
      <c r="B61" s="684" t="s">
        <v>639</v>
      </c>
      <c r="C61" s="700" t="s">
        <v>31</v>
      </c>
      <c r="D61" s="700" t="s">
        <v>32</v>
      </c>
      <c r="E61" s="695" t="str">
        <f>HYPERLINK("https://www.reddit.com/r/RMTK/comments/bqyh4h/m0056_motie_tot_invoering_nationaal_zorgfonds/","Motie tot invoering nationaal zorgfonds")</f>
        <v>Motie tot invoering nationaal zorgfonds</v>
      </c>
      <c r="F61" s="687"/>
      <c r="G61" s="717" t="s">
        <v>557</v>
      </c>
      <c r="H61" s="689"/>
      <c r="I61" s="684" t="s">
        <v>624</v>
      </c>
      <c r="J61" s="688" t="s">
        <v>119</v>
      </c>
      <c r="K61" s="689"/>
      <c r="L61" s="690" t="s">
        <v>56</v>
      </c>
    </row>
    <row r="62" ht="17.25" customHeight="1">
      <c r="B62" s="684" t="s">
        <v>640</v>
      </c>
      <c r="C62" s="713" t="s">
        <v>440</v>
      </c>
      <c r="D62" s="713" t="s">
        <v>157</v>
      </c>
      <c r="E62" s="699" t="str">
        <f>hyperlink("https://old.reddit.com/r/RMTK/comments/bre7w0/m0057_motie_tot_erkennen_palestina_als/?","Motie tot erkennen Palestina als onafhankelijke staat")</f>
        <v>Motie tot erkennen Palestina als onafhankelijke staat</v>
      </c>
      <c r="F62" s="687"/>
      <c r="G62" s="692" t="s">
        <v>554</v>
      </c>
      <c r="H62" s="689"/>
      <c r="I62" s="684" t="s">
        <v>566</v>
      </c>
      <c r="J62" s="727" t="str">
        <f>HYPERLINK("https://www.reddit.com/r/RMTK/comments/c5tzli/kb0009_koninklijk_besluit_tot_formele_erkenning/","Ja")</f>
        <v>Ja</v>
      </c>
      <c r="K62" s="689"/>
      <c r="L62" s="690" t="s">
        <v>56</v>
      </c>
    </row>
    <row r="63" ht="17.25" customHeight="1">
      <c r="B63" s="684" t="s">
        <v>641</v>
      </c>
      <c r="C63" s="700" t="s">
        <v>31</v>
      </c>
      <c r="D63" s="700" t="s">
        <v>32</v>
      </c>
      <c r="E63" s="695" t="str">
        <f>HYPERLINK("https://www.reddit.com/r/RMTK/comments/bsdur4/m0058_motie_tot_verlaging_leeftijd_minimumloon/","Motie tot verlaging leeftijd minimumloon")</f>
        <v>Motie tot verlaging leeftijd minimumloon</v>
      </c>
      <c r="F63" s="687"/>
      <c r="G63" s="717" t="s">
        <v>557</v>
      </c>
      <c r="H63" s="689"/>
      <c r="I63" s="684" t="s">
        <v>595</v>
      </c>
      <c r="J63" s="688" t="s">
        <v>119</v>
      </c>
      <c r="K63" s="689"/>
      <c r="L63" s="690" t="s">
        <v>56</v>
      </c>
    </row>
    <row r="64" ht="17.25" customHeight="1">
      <c r="B64" s="684" t="s">
        <v>642</v>
      </c>
      <c r="C64" s="728" t="s">
        <v>458</v>
      </c>
      <c r="D64" s="728" t="s">
        <v>155</v>
      </c>
      <c r="E64" s="699" t="str">
        <f>hyperlink("https://old.reddit.com/r/RMTK/comments/btpiig/m0059_motie_tot_snelle_toezending_van/","Motie tot snelle toezending van jaarverslagen Rijksoverheid")</f>
        <v>Motie tot snelle toezending van jaarverslagen Rijksoverheid</v>
      </c>
      <c r="F64" s="687"/>
      <c r="G64" s="717" t="s">
        <v>557</v>
      </c>
      <c r="H64" s="689"/>
      <c r="I64" s="684" t="s">
        <v>559</v>
      </c>
      <c r="J64" s="688" t="s">
        <v>119</v>
      </c>
      <c r="K64" s="689"/>
      <c r="L64" s="690" t="s">
        <v>56</v>
      </c>
    </row>
    <row r="65" ht="17.25" customHeight="1">
      <c r="B65" s="684" t="s">
        <v>643</v>
      </c>
      <c r="C65" s="700" t="s">
        <v>31</v>
      </c>
      <c r="D65" s="700" t="s">
        <v>32</v>
      </c>
      <c r="E65" s="699" t="str">
        <f>hyperlink("https://old.reddit.com/r/RMTK/comments/bu3gzh/m0060_motie_tot_opheldering_van_het_standpunt_van/?","Motie tot opheldering van het standpunt van de regering over de eisen van politievakbond ACP")</f>
        <v>Motie tot opheldering van het standpunt van de regering over de eisen van politievakbond ACP</v>
      </c>
      <c r="F65" s="687"/>
      <c r="G65" s="717" t="s">
        <v>557</v>
      </c>
      <c r="H65" s="689"/>
      <c r="I65" s="684" t="s">
        <v>644</v>
      </c>
      <c r="J65" s="688" t="s">
        <v>119</v>
      </c>
      <c r="K65" s="689"/>
      <c r="L65" s="690" t="s">
        <v>56</v>
      </c>
    </row>
    <row r="66" ht="17.25" customHeight="1">
      <c r="B66" s="684" t="s">
        <v>645</v>
      </c>
      <c r="C66" s="728" t="s">
        <v>458</v>
      </c>
      <c r="D66" s="728" t="s">
        <v>155</v>
      </c>
      <c r="E66" s="695" t="str">
        <f>HYPERLINK("https://www.reddit.com/r/RMTK/comments/buj9zq/m0061_motie_tot_toezenden_gegevens_rondom/","Motie tot toezenden gegevens rondom incidenten asielzoekers")</f>
        <v>Motie tot toezenden gegevens rondom incidenten asielzoekers</v>
      </c>
      <c r="F66" s="687"/>
      <c r="G66" s="692" t="s">
        <v>554</v>
      </c>
      <c r="H66" s="689"/>
      <c r="I66" s="684" t="s">
        <v>644</v>
      </c>
      <c r="J66" s="721" t="str">
        <f>HYPERLINK("https://www.reddit.com/r/RMTK/comments/cr3zii/ks0028_kamerbrief_aangaande_gegevens_rondom/","Ja")</f>
        <v>Ja</v>
      </c>
      <c r="K66" s="689"/>
      <c r="L66" s="690" t="s">
        <v>56</v>
      </c>
    </row>
    <row r="67" ht="17.25" customHeight="1">
      <c r="B67" s="684" t="s">
        <v>646</v>
      </c>
      <c r="C67" s="726" t="s">
        <v>456</v>
      </c>
      <c r="D67" s="726" t="s">
        <v>118</v>
      </c>
      <c r="E67" s="695" t="str">
        <f>HYPERLINK("https://www.reddit.com/r/RMTK/comments/buv49l/m0062_motie_tot_reductie_uitstoot_lachgas_in_de/","Motie tot reductie uitstoot lachgas in de industrie")</f>
        <v>Motie tot reductie uitstoot lachgas in de industrie</v>
      </c>
      <c r="F67" s="687"/>
      <c r="G67" s="692" t="s">
        <v>554</v>
      </c>
      <c r="H67" s="689"/>
      <c r="I67" s="684" t="s">
        <v>647</v>
      </c>
      <c r="J67" s="698" t="s">
        <v>564</v>
      </c>
      <c r="K67" s="689"/>
      <c r="L67" s="690" t="s">
        <v>56</v>
      </c>
    </row>
    <row r="68" ht="17.25" customHeight="1">
      <c r="B68" s="684" t="s">
        <v>648</v>
      </c>
      <c r="C68" s="728" t="s">
        <v>458</v>
      </c>
      <c r="D68" s="728" t="s">
        <v>155</v>
      </c>
      <c r="E68" s="695" t="str">
        <f>HYPERLINK("https://www.reddit.com/r/RMTK/comments/buw274/m0063_motie_van_blijdschap_jegens_de_minister_van/","Motie van Blijdschap jegens de minister van OCW")</f>
        <v>Motie van Blijdschap jegens de minister van OCW</v>
      </c>
      <c r="F68" s="687"/>
      <c r="G68" s="692" t="s">
        <v>554</v>
      </c>
      <c r="H68" s="689"/>
      <c r="I68" s="684" t="s">
        <v>593</v>
      </c>
      <c r="J68" s="688" t="s">
        <v>119</v>
      </c>
      <c r="K68" s="689"/>
      <c r="L68" s="690" t="s">
        <v>56</v>
      </c>
    </row>
    <row r="69" ht="17.25" customHeight="1">
      <c r="B69" s="684" t="s">
        <v>649</v>
      </c>
      <c r="C69" s="700" t="s">
        <v>31</v>
      </c>
      <c r="D69" s="700" t="s">
        <v>650</v>
      </c>
      <c r="E69" s="695" t="str">
        <f>HYPERLINK("https://www.reddit.com/r/RMTK/comments/bwsh5f/m0064_motie_tot_versimpeling_belastingstelsel/","Motie tot versimpeling belastingstelsel")</f>
        <v>Motie tot versimpeling belastingstelsel</v>
      </c>
      <c r="F69" s="687"/>
      <c r="G69" s="717" t="s">
        <v>557</v>
      </c>
      <c r="H69" s="689"/>
      <c r="I69" s="684" t="s">
        <v>595</v>
      </c>
      <c r="J69" s="688" t="s">
        <v>119</v>
      </c>
      <c r="K69" s="689"/>
      <c r="L69" s="690" t="s">
        <v>56</v>
      </c>
    </row>
    <row r="70" ht="17.25" customHeight="1">
      <c r="B70" s="684" t="s">
        <v>651</v>
      </c>
      <c r="C70" s="700" t="s">
        <v>31</v>
      </c>
      <c r="D70" s="700" t="s">
        <v>175</v>
      </c>
      <c r="E70" s="695" t="str">
        <f>HYPERLINK("https://www.reddit.com/r/RMTK/comments/bx5ji9/m0065_motie_tot_het_heffen_van_winstbelasting/","Motie tot het heffen van winstbelasting over de winst van de Shell")</f>
        <v>Motie tot het heffen van winstbelasting over de winst van de Shell</v>
      </c>
      <c r="F70" s="687"/>
      <c r="G70" s="717" t="s">
        <v>557</v>
      </c>
      <c r="H70" s="689"/>
      <c r="I70" s="684" t="s">
        <v>595</v>
      </c>
      <c r="J70" s="688" t="s">
        <v>119</v>
      </c>
      <c r="K70" s="689"/>
      <c r="L70" s="690" t="s">
        <v>56</v>
      </c>
    </row>
    <row r="71" ht="17.25" customHeight="1">
      <c r="B71" s="684" t="s">
        <v>652</v>
      </c>
      <c r="C71" s="700" t="s">
        <v>31</v>
      </c>
      <c r="D71" s="700" t="s">
        <v>16</v>
      </c>
      <c r="E71" s="695" t="str">
        <f>HYPERLINK("https://www.reddit.com/r/RMTK/comments/bxlc67/m0066_motie_tot_onderzoek_behandelingen_kleine/","Motie tot onderzoek behandelingen kleine kwalen")</f>
        <v>Motie tot onderzoek behandelingen kleine kwalen</v>
      </c>
      <c r="F71" s="687"/>
      <c r="G71" s="692" t="s">
        <v>554</v>
      </c>
      <c r="H71" s="689"/>
      <c r="I71" s="684" t="s">
        <v>624</v>
      </c>
      <c r="J71" s="698" t="s">
        <v>564</v>
      </c>
      <c r="K71" s="689"/>
      <c r="L71" s="690" t="s">
        <v>56</v>
      </c>
    </row>
    <row r="72" ht="17.25" customHeight="1">
      <c r="B72" s="684" t="s">
        <v>653</v>
      </c>
      <c r="C72" s="700" t="s">
        <v>31</v>
      </c>
      <c r="D72" s="700" t="s">
        <v>16</v>
      </c>
      <c r="E72" s="729" t="str">
        <f>HYPERLINK("https://www.reddit.com/r/RMTK/comments/bxwrc8/m0067_motie_van_wantrouwen_jegens_de_minister_van/","Motie van Wantrouwen jegens de Minister van Rechtsstaat en Defensie")</f>
        <v>Motie van Wantrouwen jegens de Minister van Rechtsstaat en Defensie</v>
      </c>
      <c r="F72" s="687"/>
      <c r="G72" s="688" t="s">
        <v>654</v>
      </c>
      <c r="H72" s="689"/>
      <c r="I72" s="684" t="s">
        <v>644</v>
      </c>
      <c r="J72" s="688" t="s">
        <v>119</v>
      </c>
      <c r="K72" s="689"/>
      <c r="L72" s="690" t="s">
        <v>655</v>
      </c>
    </row>
    <row r="73" ht="17.25" customHeight="1">
      <c r="B73" s="684" t="s">
        <v>656</v>
      </c>
      <c r="C73" s="700" t="s">
        <v>31</v>
      </c>
      <c r="D73" s="700" t="s">
        <v>16</v>
      </c>
      <c r="E73" s="699" t="str">
        <f>hyperlink("https://old.reddit.com/r/RMTK/comments/bz0k2u/m0068_motie_tot_plan_voor_veiligheid_militairen/","Motie tot plan voor veiligheid militairen")</f>
        <v>Motie tot plan voor veiligheid militairen</v>
      </c>
      <c r="F73" s="687"/>
      <c r="G73" s="730" t="s">
        <v>554</v>
      </c>
      <c r="H73" s="689"/>
      <c r="I73" s="684" t="s">
        <v>644</v>
      </c>
      <c r="J73" s="698" t="s">
        <v>564</v>
      </c>
      <c r="K73" s="689"/>
      <c r="L73" s="690" t="s">
        <v>56</v>
      </c>
    </row>
    <row r="74" ht="17.25" customHeight="1">
      <c r="B74" s="684" t="s">
        <v>657</v>
      </c>
      <c r="C74" s="726" t="s">
        <v>456</v>
      </c>
      <c r="D74" s="726" t="s">
        <v>118</v>
      </c>
      <c r="E74" s="699" t="str">
        <f>hyperlink("https://old.reddit.com/r/RMTK/comments/bztdwa/m0069_motie_tot_verbetering_werkwijze_aanpak_en/","Motie tot verbetering werkwijze, aanpak en uitvoering UWV")</f>
        <v>Motie tot verbetering werkwijze, aanpak en uitvoering UWV</v>
      </c>
      <c r="F74" s="687"/>
      <c r="G74" s="730" t="s">
        <v>554</v>
      </c>
      <c r="H74" s="689"/>
      <c r="I74" s="684" t="s">
        <v>624</v>
      </c>
      <c r="J74" s="698" t="s">
        <v>564</v>
      </c>
      <c r="K74" s="689"/>
      <c r="L74" s="690" t="s">
        <v>56</v>
      </c>
    </row>
    <row r="75" ht="17.25" customHeight="1">
      <c r="B75" s="684" t="s">
        <v>658</v>
      </c>
      <c r="C75" s="725" t="s">
        <v>449</v>
      </c>
      <c r="D75" s="725" t="s">
        <v>44</v>
      </c>
      <c r="E75" s="699" t="str">
        <f>hyperlink("https://old.reddit.com/r/RMTK/comments/bzupg1/m0070_motie_tot_erkennen_van_taiwan_als/?","Motie tot erkennen van Taiwan als onafhankelijke staat")</f>
        <v>Motie tot erkennen van Taiwan als onafhankelijke staat</v>
      </c>
      <c r="F75" s="687"/>
      <c r="G75" s="717" t="s">
        <v>557</v>
      </c>
      <c r="H75" s="689"/>
      <c r="I75" s="684" t="s">
        <v>566</v>
      </c>
      <c r="J75" s="688" t="s">
        <v>119</v>
      </c>
      <c r="K75" s="689"/>
      <c r="L75" s="690" t="s">
        <v>56</v>
      </c>
    </row>
    <row r="76" ht="17.25" customHeight="1">
      <c r="B76" s="684" t="s">
        <v>659</v>
      </c>
      <c r="C76" s="700" t="s">
        <v>31</v>
      </c>
      <c r="D76" s="700" t="s">
        <v>32</v>
      </c>
      <c r="E76" s="731" t="str">
        <f>hyperlink("https://old.reddit.com/r/RMTK/comments/c0lk46/m0071_motie_tot_reactie_op_de_amerikaanse/?","Motie tot reactie op de Amerikaanse geloofsbrieven")</f>
        <v>Motie tot reactie op de Amerikaanse geloofsbrieven</v>
      </c>
      <c r="F76" s="687"/>
      <c r="G76" s="688" t="s">
        <v>551</v>
      </c>
      <c r="H76" s="689"/>
      <c r="I76" s="684" t="s">
        <v>660</v>
      </c>
      <c r="J76" s="688" t="s">
        <v>119</v>
      </c>
      <c r="K76" s="689"/>
      <c r="L76" s="690" t="s">
        <v>56</v>
      </c>
    </row>
    <row r="77" ht="17.25" customHeight="1">
      <c r="B77" s="684" t="s">
        <v>661</v>
      </c>
      <c r="C77" s="700" t="s">
        <v>31</v>
      </c>
      <c r="D77" s="700" t="s">
        <v>662</v>
      </c>
      <c r="E77" s="699" t="str">
        <f>hyperlink("https://reddit.com/r/RMTK/comments/c5cgq4/m0072_motie_tot_betere_bereikbaarheid_zeeland/","Motie tot betere bereikbaarheid Zeeland")</f>
        <v>Motie tot betere bereikbaarheid Zeeland</v>
      </c>
      <c r="F77" s="687"/>
      <c r="G77" s="732" t="s">
        <v>554</v>
      </c>
      <c r="H77" s="689"/>
      <c r="I77" s="684" t="s">
        <v>611</v>
      </c>
      <c r="J77" s="721" t="str">
        <f t="shared" ref="J77:J79" si="1">HYPERLINK("https://www.reddit.com/r/RMTK/comments/cn3ere/ks0025_kamerbrief_betreft_reactie_op_aangenomen/","Ja")</f>
        <v>Ja</v>
      </c>
      <c r="K77" s="689"/>
      <c r="L77" s="690" t="s">
        <v>56</v>
      </c>
    </row>
    <row r="78" ht="17.25" customHeight="1">
      <c r="B78" s="684" t="s">
        <v>663</v>
      </c>
      <c r="C78" s="700" t="s">
        <v>31</v>
      </c>
      <c r="D78" s="700" t="s">
        <v>662</v>
      </c>
      <c r="E78" s="699" t="str">
        <f>hyperlink("https://old.reddit.com/r/RMTK/comments/c5sd9y/m0073_motie_tot_verbetering_internationaal/?","Motie tot verbetering internationaal openbaar vervoer")</f>
        <v>Motie tot verbetering internationaal openbaar vervoer</v>
      </c>
      <c r="F78" s="687"/>
      <c r="G78" s="732" t="s">
        <v>554</v>
      </c>
      <c r="H78" s="689"/>
      <c r="I78" s="684" t="s">
        <v>611</v>
      </c>
      <c r="J78" s="721" t="str">
        <f t="shared" si="1"/>
        <v>Ja</v>
      </c>
      <c r="K78" s="689"/>
      <c r="L78" s="690" t="s">
        <v>56</v>
      </c>
    </row>
    <row r="79" ht="17.25" customHeight="1">
      <c r="B79" s="684" t="s">
        <v>664</v>
      </c>
      <c r="C79" s="700" t="s">
        <v>31</v>
      </c>
      <c r="D79" s="700" t="s">
        <v>662</v>
      </c>
      <c r="E79" s="699" t="str">
        <f>hyperlink("https://old.reddit.com/r/RMTK/comments/c67sej/m0074_motie_tot_onderzoek_doen_naar_milieuplafonds/?","Motie tot onderzoek doen naar milieuplafonds")</f>
        <v>Motie tot onderzoek doen naar milieuplafonds</v>
      </c>
      <c r="F79" s="687"/>
      <c r="G79" s="732" t="s">
        <v>554</v>
      </c>
      <c r="H79" s="689"/>
      <c r="I79" s="684" t="s">
        <v>611</v>
      </c>
      <c r="J79" s="721" t="str">
        <f t="shared" si="1"/>
        <v>Ja</v>
      </c>
      <c r="K79" s="689"/>
      <c r="L79" s="690" t="s">
        <v>56</v>
      </c>
    </row>
    <row r="80" ht="17.25" customHeight="1">
      <c r="B80" s="684" t="s">
        <v>665</v>
      </c>
      <c r="C80" s="700" t="s">
        <v>31</v>
      </c>
      <c r="D80" s="700" t="s">
        <v>629</v>
      </c>
      <c r="E80" s="731" t="str">
        <f>hyperlink("https://www.reddit.com/r/RMTK/comments/c7qoux/m0075_motie_tot_het_aanpakken_van_problemen/","Motie tot het aanpakken van problemen rondom 112 en NL-Alert")</f>
        <v>Motie tot het aanpakken van problemen rondom 112 en NL-Alert</v>
      </c>
      <c r="F80" s="687"/>
      <c r="G80" s="688" t="s">
        <v>551</v>
      </c>
      <c r="H80" s="689"/>
      <c r="I80" s="684" t="s">
        <v>644</v>
      </c>
      <c r="J80" s="688" t="s">
        <v>119</v>
      </c>
      <c r="K80" s="689"/>
      <c r="L80" s="690" t="s">
        <v>56</v>
      </c>
    </row>
    <row r="81" ht="17.25" customHeight="1">
      <c r="B81" s="684" t="s">
        <v>666</v>
      </c>
      <c r="C81" s="700" t="s">
        <v>31</v>
      </c>
      <c r="D81" s="700" t="s">
        <v>32</v>
      </c>
      <c r="E81" s="699" t="str">
        <f>HYPERLINK("https://www.reddit.com/r/RMTK/comments/c8d1ja/m0076_motie_tot_uitdelen_oordoppen_bij_festivals/","Motie tot uitdelen oordoppen bij festivals")</f>
        <v>Motie tot uitdelen oordoppen bij festivals</v>
      </c>
      <c r="F81" s="687"/>
      <c r="G81" s="717" t="s">
        <v>557</v>
      </c>
      <c r="H81" s="689"/>
      <c r="I81" s="684" t="s">
        <v>611</v>
      </c>
      <c r="J81" s="688" t="s">
        <v>119</v>
      </c>
      <c r="K81" s="689"/>
      <c r="L81" s="690" t="s">
        <v>56</v>
      </c>
    </row>
    <row r="82" ht="7.5" customHeight="1">
      <c r="A82" s="706"/>
      <c r="B82" s="706"/>
      <c r="C82" s="707"/>
      <c r="D82" s="707"/>
      <c r="E82" s="708"/>
      <c r="F82" s="709"/>
      <c r="G82" s="710"/>
      <c r="H82" s="711"/>
      <c r="I82" s="710"/>
      <c r="J82" s="706"/>
      <c r="K82" s="711"/>
      <c r="L82" s="706"/>
    </row>
    <row r="83" ht="17.25" customHeight="1">
      <c r="A83" s="683" t="s">
        <v>441</v>
      </c>
      <c r="B83" s="684" t="s">
        <v>667</v>
      </c>
      <c r="C83" s="722" t="s">
        <v>446</v>
      </c>
      <c r="D83" s="722" t="s">
        <v>668</v>
      </c>
      <c r="E83" s="699" t="str">
        <f>HYPERLINK("https://www.reddit.com/r/RMTK/comments/caneu6/m0077_motie_tot_opstellen_van_klimaatnota/","Motie tot opstellen van klimaatnota")</f>
        <v>Motie tot opstellen van klimaatnota</v>
      </c>
      <c r="F83" s="687"/>
      <c r="G83" s="717" t="s">
        <v>557</v>
      </c>
      <c r="H83" s="689"/>
      <c r="I83" s="684" t="s">
        <v>611</v>
      </c>
      <c r="J83" s="688" t="s">
        <v>119</v>
      </c>
      <c r="K83" s="689"/>
      <c r="L83" s="690" t="s">
        <v>56</v>
      </c>
    </row>
    <row r="84" ht="17.25" customHeight="1">
      <c r="B84" s="684" t="s">
        <v>669</v>
      </c>
      <c r="C84" s="700" t="s">
        <v>31</v>
      </c>
      <c r="D84" s="700" t="s">
        <v>629</v>
      </c>
      <c r="E84" s="699" t="str">
        <f>hyperlink("https://www.reddit.com/r/RMTK/comments/cb3edh/motie_tot_het_aanpakken_van_problemen_rondom_112/","Motie tot het aanpakken van problemen rondom 112 en NL-Alert")</f>
        <v>Motie tot het aanpakken van problemen rondom 112 en NL-Alert</v>
      </c>
      <c r="F84" s="687"/>
      <c r="G84" s="732" t="s">
        <v>554</v>
      </c>
      <c r="H84" s="689"/>
      <c r="I84" s="684" t="s">
        <v>579</v>
      </c>
      <c r="J84" s="727" t="str">
        <f>HYPERLINK("https://www.reddit.com/r/RMTK/comments/d00zna/ks0033_kamerbrief_aangaande_storingen_bij_het/","Ja")</f>
        <v>Ja</v>
      </c>
      <c r="K84" s="689"/>
      <c r="L84" s="690" t="s">
        <v>56</v>
      </c>
    </row>
    <row r="85" ht="17.25" customHeight="1">
      <c r="B85" s="684" t="s">
        <v>670</v>
      </c>
      <c r="C85" s="722" t="s">
        <v>446</v>
      </c>
      <c r="D85" s="722" t="s">
        <v>153</v>
      </c>
      <c r="E85" s="699" t="str">
        <f>HYPERLINK("https://www.reddit.com/r/RMTK/comments/cbwf92/m0079_motie_tot_uitvoering_m0050/","Motie tot uitvoering M0050")</f>
        <v>Motie tot uitvoering M0050</v>
      </c>
      <c r="F85" s="687"/>
      <c r="G85" s="732" t="s">
        <v>557</v>
      </c>
      <c r="H85" s="689"/>
      <c r="I85" s="684" t="s">
        <v>611</v>
      </c>
      <c r="J85" s="688" t="s">
        <v>119</v>
      </c>
      <c r="K85" s="689"/>
      <c r="L85" s="690" t="s">
        <v>56</v>
      </c>
    </row>
    <row r="86" ht="17.25" customHeight="1">
      <c r="B86" s="684" t="s">
        <v>671</v>
      </c>
      <c r="C86" s="733" t="s">
        <v>672</v>
      </c>
      <c r="D86" s="733" t="s">
        <v>673</v>
      </c>
      <c r="E86" s="699" t="str">
        <f>HYPERLINK("https://www.reddit.com/r/RMTK/comments/cdkiso/m0080_motie_tot_onderzoek_naar_circulair_maken/","Motie tot onderzoek naar circulair maken bouw")</f>
        <v>Motie tot onderzoek naar circulair maken bouw</v>
      </c>
      <c r="F86" s="687"/>
      <c r="G86" s="732" t="s">
        <v>554</v>
      </c>
      <c r="H86" s="689"/>
      <c r="I86" s="684" t="s">
        <v>611</v>
      </c>
      <c r="J86" s="688" t="s">
        <v>564</v>
      </c>
      <c r="K86" s="689"/>
      <c r="L86" s="690" t="s">
        <v>56</v>
      </c>
    </row>
    <row r="87" ht="17.25" customHeight="1">
      <c r="B87" s="684" t="s">
        <v>674</v>
      </c>
      <c r="C87" s="725" t="s">
        <v>449</v>
      </c>
      <c r="D87" s="725" t="s">
        <v>299</v>
      </c>
      <c r="E87" s="699" t="str">
        <f>HYPERLINK("https://www.reddit.com/r/RMTK/comments/cdxunf/m0081_motie_tot_versimpeling_belastingsysteem/","Motie tot versimpeling belastingsysteem")</f>
        <v>Motie tot versimpeling belastingsysteem</v>
      </c>
      <c r="F87" s="687"/>
      <c r="G87" s="732" t="s">
        <v>554</v>
      </c>
      <c r="H87" s="689"/>
      <c r="I87" s="684" t="s">
        <v>675</v>
      </c>
      <c r="J87" s="688" t="s">
        <v>564</v>
      </c>
      <c r="K87" s="689"/>
      <c r="L87" s="690" t="s">
        <v>56</v>
      </c>
    </row>
    <row r="88" ht="17.25" customHeight="1">
      <c r="B88" s="684" t="s">
        <v>676</v>
      </c>
      <c r="C88" s="734" t="s">
        <v>677</v>
      </c>
      <c r="D88" s="734" t="s">
        <v>157</v>
      </c>
      <c r="E88" s="699" t="str">
        <f>HYPERLINK("https://www.reddit.com/r/RMTK/comments/cgeui7/m0082_motie_tot_openbaar_maken_partijlidmaatschap/","Motie tot openbaar maken partijlidmaatschap bestuursleden NPO")</f>
        <v>Motie tot openbaar maken partijlidmaatschap bestuursleden NPO</v>
      </c>
      <c r="F88" s="687"/>
      <c r="G88" s="732" t="s">
        <v>557</v>
      </c>
      <c r="H88" s="689"/>
      <c r="I88" s="684" t="s">
        <v>593</v>
      </c>
      <c r="J88" s="688" t="s">
        <v>119</v>
      </c>
      <c r="K88" s="689"/>
      <c r="L88" s="690" t="s">
        <v>56</v>
      </c>
    </row>
    <row r="89" ht="17.25" customHeight="1">
      <c r="B89" s="684" t="s">
        <v>678</v>
      </c>
      <c r="C89" s="700" t="s">
        <v>31</v>
      </c>
      <c r="D89" s="700" t="s">
        <v>662</v>
      </c>
      <c r="E89" s="699" t="str">
        <f>HYPERLINK("https://www.reddit.com/r/RMTK/comments/cgx23i/m0083m0086_moties_ingediend_bij_debat_over_de/","Motie tot verdere samenwerking NPO en VRT")</f>
        <v>Motie tot verdere samenwerking NPO en VRT</v>
      </c>
      <c r="F89" s="687"/>
      <c r="G89" s="735" t="s">
        <v>554</v>
      </c>
      <c r="H89" s="687"/>
      <c r="I89" s="684" t="s">
        <v>593</v>
      </c>
      <c r="J89" s="688" t="s">
        <v>636</v>
      </c>
      <c r="K89" s="689"/>
      <c r="L89" s="690" t="s">
        <v>56</v>
      </c>
    </row>
    <row r="90" ht="17.25" customHeight="1">
      <c r="B90" s="684" t="s">
        <v>679</v>
      </c>
      <c r="C90" s="700" t="s">
        <v>31</v>
      </c>
      <c r="D90" s="700" t="s">
        <v>662</v>
      </c>
      <c r="E90" s="699" t="str">
        <f>HYPERLINK("https://www.reddit.com/r/RMTK/comments/cgx23i/m0083m0086_moties_ingediend_bij_debat_over_de/","Motie tot vergroting van de reclamemogelijkheden van de NPO in tijden van lage kijkcijfers")</f>
        <v>Motie tot vergroting van de reclamemogelijkheden van de NPO in tijden van lage kijkcijfers</v>
      </c>
      <c r="F90" s="687"/>
      <c r="G90" s="735" t="s">
        <v>554</v>
      </c>
      <c r="H90" s="687"/>
      <c r="I90" s="684" t="s">
        <v>593</v>
      </c>
      <c r="J90" s="688" t="s">
        <v>636</v>
      </c>
      <c r="K90" s="689"/>
      <c r="L90" s="690" t="s">
        <v>56</v>
      </c>
    </row>
    <row r="91" ht="17.25" customHeight="1">
      <c r="B91" s="684" t="s">
        <v>680</v>
      </c>
      <c r="C91" s="700" t="s">
        <v>31</v>
      </c>
      <c r="D91" s="700" t="s">
        <v>662</v>
      </c>
      <c r="E91" s="699" t="str">
        <f>HYPERLINK("https://www.reddit.com/r/RMTK/comments/cgx23i/m0083m0086_moties_ingediend_bij_debat_over_de/","Motie tot vergroten van de mogelijkheden tot samenwerking met streamingbedrijven voor de NPO")</f>
        <v>Motie tot vergroten van de mogelijkheden tot samenwerking met streamingbedrijven voor de NPO</v>
      </c>
      <c r="F91" s="687"/>
      <c r="G91" s="735" t="s">
        <v>554</v>
      </c>
      <c r="H91" s="687"/>
      <c r="I91" s="684" t="s">
        <v>593</v>
      </c>
      <c r="J91" s="688" t="s">
        <v>636</v>
      </c>
      <c r="K91" s="689"/>
      <c r="L91" s="690" t="s">
        <v>56</v>
      </c>
    </row>
    <row r="92" ht="17.25" customHeight="1">
      <c r="B92" s="684" t="s">
        <v>681</v>
      </c>
      <c r="C92" s="700" t="s">
        <v>31</v>
      </c>
      <c r="D92" s="700" t="s">
        <v>662</v>
      </c>
      <c r="E92" s="699" t="str">
        <f>HYPERLINK("https://www.reddit.com/r/RMTK/comments/cgx23i/m0083m0086_moties_ingediend_bij_debat_over_de/","Motie tot zendtijd voor lokale omroepen op de NPO")</f>
        <v>Motie tot zendtijd voor lokale omroepen op de NPO</v>
      </c>
      <c r="F92" s="687"/>
      <c r="G92" s="735" t="s">
        <v>554</v>
      </c>
      <c r="H92" s="687"/>
      <c r="I92" s="684" t="s">
        <v>593</v>
      </c>
      <c r="J92" s="688" t="s">
        <v>636</v>
      </c>
      <c r="K92" s="689"/>
      <c r="L92" s="690" t="s">
        <v>56</v>
      </c>
    </row>
    <row r="93" ht="17.25" customHeight="1">
      <c r="B93" s="684" t="s">
        <v>682</v>
      </c>
      <c r="C93" s="700" t="s">
        <v>31</v>
      </c>
      <c r="D93" s="700" t="s">
        <v>662</v>
      </c>
      <c r="E93" s="699" t="str">
        <f>HYPERLINK("https://www.reddit.com/r/RMTK/comments/cgx44w/m0087_motie_verduidelijking_en_samenvoeging/","Motie verduidelijking en samenvoeging regelgeving omtrent extreem warm weer")</f>
        <v>Motie verduidelijking en samenvoeging regelgeving omtrent extreem warm weer</v>
      </c>
      <c r="F93" s="687"/>
      <c r="G93" s="735" t="s">
        <v>554</v>
      </c>
      <c r="H93" s="687"/>
      <c r="I93" s="684" t="s">
        <v>624</v>
      </c>
      <c r="J93" s="688" t="s">
        <v>564</v>
      </c>
      <c r="K93" s="689"/>
      <c r="L93" s="690" t="s">
        <v>56</v>
      </c>
    </row>
    <row r="94" ht="17.25" customHeight="1">
      <c r="B94" s="684" t="s">
        <v>683</v>
      </c>
      <c r="C94" s="722" t="s">
        <v>446</v>
      </c>
      <c r="D94" s="722" t="s">
        <v>153</v>
      </c>
      <c r="E94" s="699" t="str">
        <f>HYPERLINK("https://www.reddit.com/r/RMTK/comments/chp5na/m0088_motie_tot_verandering_regelgeving_regeling/","Motie tot verandering regelgeving regeling overheidszaken")</f>
        <v>Motie tot verandering regelgeving regeling overheidszaken</v>
      </c>
      <c r="F94" s="687"/>
      <c r="G94" s="735" t="s">
        <v>554</v>
      </c>
      <c r="H94" s="687"/>
      <c r="I94" s="684" t="s">
        <v>619</v>
      </c>
      <c r="J94" s="688" t="s">
        <v>564</v>
      </c>
      <c r="K94" s="689"/>
      <c r="L94" s="690" t="s">
        <v>56</v>
      </c>
    </row>
    <row r="95" ht="17.25" customHeight="1">
      <c r="B95" s="684" t="s">
        <v>684</v>
      </c>
      <c r="C95" s="722" t="s">
        <v>446</v>
      </c>
      <c r="D95" s="722" t="s">
        <v>153</v>
      </c>
      <c r="E95" s="699" t="str">
        <f>HYPERLINK("https://www.reddit.com/r/RMTK/comments/cj9vrz/m0089_motie_met_het_verzoek_om_informatie_over/","Motie met het verzoek om informatie over Huawei")</f>
        <v>Motie met het verzoek om informatie over Huawei</v>
      </c>
      <c r="F95" s="687"/>
      <c r="G95" s="735" t="s">
        <v>557</v>
      </c>
      <c r="H95" s="687"/>
      <c r="I95" s="684" t="s">
        <v>566</v>
      </c>
      <c r="J95" s="688" t="s">
        <v>119</v>
      </c>
      <c r="K95" s="689"/>
      <c r="L95" s="690" t="s">
        <v>56</v>
      </c>
    </row>
    <row r="96" ht="17.25" customHeight="1">
      <c r="B96" s="684" t="s">
        <v>685</v>
      </c>
      <c r="C96" s="736" t="s">
        <v>461</v>
      </c>
      <c r="D96" s="736" t="s">
        <v>629</v>
      </c>
      <c r="E96" s="699" t="str">
        <f>HYPERLINK("https://www.reddit.com/r/RMTK/comments/ckamkr/m0090_motie_tot_organisatie_van_een_diplomatieke/","Motie tot organisatie van een diplomatieke missie tussen Nederland en de Verenigde Staten van Amerika")</f>
        <v>Motie tot organisatie van een diplomatieke missie tussen Nederland en de Verenigde Staten van Amerika</v>
      </c>
      <c r="F96" s="687"/>
      <c r="G96" s="735" t="s">
        <v>554</v>
      </c>
      <c r="H96" s="687"/>
      <c r="I96" s="684" t="s">
        <v>566</v>
      </c>
      <c r="J96" s="737" t="str">
        <f>HYPERLINK("https://www.reddit.com/r/RMTK/comments/cyt7s6/ks0032_kamerbrief_aangaande_tweedaags_amerikaans/","Ja")</f>
        <v>Ja</v>
      </c>
      <c r="K96" s="689"/>
      <c r="L96" s="690" t="s">
        <v>56</v>
      </c>
    </row>
    <row r="97" ht="17.25" customHeight="1">
      <c r="B97" s="684" t="s">
        <v>686</v>
      </c>
      <c r="C97" s="713" t="s">
        <v>440</v>
      </c>
      <c r="D97" s="713" t="s">
        <v>116</v>
      </c>
      <c r="E97" s="699" t="str">
        <f>HYPERLINK("https://www.reddit.com/r/RMTK/comments/ckpx42/m0091_motie_tot_erkenning_van_een_derde_geslacht/","Motie tot erkenning van een derde geslacht")</f>
        <v>Motie tot erkenning van een derde geslacht</v>
      </c>
      <c r="F97" s="687"/>
      <c r="G97" s="735" t="s">
        <v>554</v>
      </c>
      <c r="H97" s="687"/>
      <c r="I97" s="684" t="s">
        <v>687</v>
      </c>
      <c r="J97" s="727" t="str">
        <f>hyperlink("https://www.reddit.com/r/RMTK/comments/f58gig/w0070_voorstel_wet_derde_geslacht/","Ja")</f>
        <v>Ja</v>
      </c>
      <c r="K97" s="689"/>
      <c r="L97" s="690" t="s">
        <v>56</v>
      </c>
    </row>
    <row r="98" ht="17.25" customHeight="1">
      <c r="B98" s="684" t="s">
        <v>688</v>
      </c>
      <c r="C98" s="736" t="s">
        <v>461</v>
      </c>
      <c r="D98" s="736" t="s">
        <v>629</v>
      </c>
      <c r="E98" s="695" t="str">
        <f>HYPERLINK("https://www.reddit.com/r/RMTK/comments/cn3gr4/m0092_motie_tot_het_cre%C3%ABren_van_beschutte/","Motie tot het creëren van beschutte werkplekken")</f>
        <v>Motie tot het creëren van beschutte werkplekken</v>
      </c>
      <c r="F98" s="687"/>
      <c r="G98" s="735" t="s">
        <v>554</v>
      </c>
      <c r="H98" s="687"/>
      <c r="I98" s="684" t="s">
        <v>624</v>
      </c>
      <c r="J98" s="727" t="str">
        <f>HYPERLINK("https://www.reddit.com/r/RMTK/comments/d8u4wo/ks0038_kamerbrief_aangaande_meerdere_kamerstukken/","Ja")</f>
        <v>Ja</v>
      </c>
      <c r="K98" s="689"/>
      <c r="L98" s="690" t="s">
        <v>56</v>
      </c>
    </row>
    <row r="99" ht="17.25" customHeight="1">
      <c r="B99" s="684" t="s">
        <v>689</v>
      </c>
      <c r="C99" s="734" t="s">
        <v>677</v>
      </c>
      <c r="D99" s="734" t="s">
        <v>157</v>
      </c>
      <c r="E99" s="695" t="str">
        <f>HYPERLINK("https://www.reddit.com/r/RMTK/comments/cn3hgk/m0093_motie_tot_verdere_privatisering_abn_amro/","Motie tot verdere privatisering ABN AMRO")</f>
        <v>Motie tot verdere privatisering ABN AMRO</v>
      </c>
      <c r="F99" s="687"/>
      <c r="G99" s="735" t="s">
        <v>557</v>
      </c>
      <c r="H99" s="687"/>
      <c r="I99" s="684" t="s">
        <v>675</v>
      </c>
      <c r="J99" s="688" t="s">
        <v>119</v>
      </c>
      <c r="K99" s="689"/>
      <c r="L99" s="690" t="s">
        <v>56</v>
      </c>
    </row>
    <row r="100" ht="17.25" customHeight="1">
      <c r="B100" s="684" t="s">
        <v>690</v>
      </c>
      <c r="C100" s="734" t="s">
        <v>677</v>
      </c>
      <c r="D100" s="734" t="s">
        <v>691</v>
      </c>
      <c r="E100" s="699" t="str">
        <f>HYPERLINK("https://www.reddit.com/r/RMTK/comments/cpw0f0/m0094_motie_vrijgezellenbelasting/","Motie vrijgezellenbelasting")</f>
        <v>Motie vrijgezellenbelasting</v>
      </c>
      <c r="F100" s="687"/>
      <c r="G100" s="735" t="s">
        <v>557</v>
      </c>
      <c r="H100" s="687"/>
      <c r="I100" s="684" t="s">
        <v>675</v>
      </c>
      <c r="J100" s="688" t="s">
        <v>119</v>
      </c>
      <c r="K100" s="689"/>
      <c r="L100" s="690" t="s">
        <v>56</v>
      </c>
    </row>
    <row r="101" ht="17.25" customHeight="1">
      <c r="B101" s="684" t="s">
        <v>692</v>
      </c>
      <c r="C101" s="700" t="s">
        <v>31</v>
      </c>
      <c r="D101" s="700" t="s">
        <v>16</v>
      </c>
      <c r="E101" s="699" t="str">
        <f>HYPERLINK("https://www.reddit.com/r/RMTK/comments/cqh410/m0095m0096_moties_over_datalek_rdw/","Motie tot onderzoek naar privacy schendingen bij overheidsinstanties")</f>
        <v>Motie tot onderzoek naar privacy schendingen bij overheidsinstanties</v>
      </c>
      <c r="F101" s="687"/>
      <c r="G101" s="735" t="s">
        <v>554</v>
      </c>
      <c r="H101" s="687"/>
      <c r="I101" s="684" t="s">
        <v>622</v>
      </c>
      <c r="J101" s="688" t="s">
        <v>564</v>
      </c>
      <c r="K101" s="689"/>
      <c r="L101" s="690" t="s">
        <v>56</v>
      </c>
    </row>
    <row r="102" ht="17.25" customHeight="1">
      <c r="B102" s="684" t="s">
        <v>693</v>
      </c>
      <c r="C102" s="700" t="s">
        <v>31</v>
      </c>
      <c r="D102" s="700" t="s">
        <v>16</v>
      </c>
      <c r="E102" s="699" t="str">
        <f>HYPERLINK("https://www.reddit.com/r/RMTK/comments/cqh410/m0095m0096_moties_over_datalek_rdw/","Motie tot beter beveiligen database RDW")</f>
        <v>Motie tot beter beveiligen database RDW</v>
      </c>
      <c r="F102" s="687"/>
      <c r="G102" s="735" t="s">
        <v>554</v>
      </c>
      <c r="H102" s="687"/>
      <c r="I102" s="684" t="s">
        <v>622</v>
      </c>
      <c r="J102" s="688" t="s">
        <v>564</v>
      </c>
      <c r="K102" s="689"/>
      <c r="L102" s="690" t="s">
        <v>56</v>
      </c>
    </row>
    <row r="103" ht="17.25" customHeight="1">
      <c r="B103" s="684" t="s">
        <v>694</v>
      </c>
      <c r="C103" s="736" t="s">
        <v>461</v>
      </c>
      <c r="D103" s="736" t="s">
        <v>629</v>
      </c>
      <c r="E103" s="699" t="str">
        <f>HYPERLINK("https://www.reddit.com/r/RMTK/comments/cr3z5o/m0097_motie_tot_evaluatie_van/","Motie tot evaluatie van energieopslagmethoden")</f>
        <v>Motie tot evaluatie van energieopslagmethoden</v>
      </c>
      <c r="F103" s="687"/>
      <c r="G103" s="738" t="s">
        <v>554</v>
      </c>
      <c r="H103" s="687"/>
      <c r="I103" s="684" t="s">
        <v>622</v>
      </c>
      <c r="J103" s="688" t="s">
        <v>564</v>
      </c>
      <c r="K103" s="689"/>
      <c r="L103" s="690" t="s">
        <v>56</v>
      </c>
    </row>
    <row r="104" ht="17.25" customHeight="1">
      <c r="B104" s="684" t="s">
        <v>695</v>
      </c>
      <c r="C104" s="736" t="s">
        <v>461</v>
      </c>
      <c r="D104" s="736" t="s">
        <v>629</v>
      </c>
      <c r="E104" s="699" t="str">
        <f>HYPERLINK("https://www.reddit.com/r/RMTK/comments/csznc1/m0098_motie_tot_onderzoek_doen_naar_een/","Motie tot onderzoek doen naar een gezamenlijk Nederlands-Vlaams OV-netwerk")</f>
        <v>Motie tot onderzoek doen naar een gezamenlijk Nederlands-Vlaams OV-netwerk</v>
      </c>
      <c r="F104" s="687"/>
      <c r="G104" s="738" t="s">
        <v>554</v>
      </c>
      <c r="H104" s="687"/>
      <c r="I104" s="684" t="s">
        <v>622</v>
      </c>
      <c r="J104" s="688" t="s">
        <v>564</v>
      </c>
      <c r="K104" s="689"/>
      <c r="L104" s="690" t="s">
        <v>56</v>
      </c>
    </row>
    <row r="105" ht="17.25" customHeight="1">
      <c r="B105" s="684" t="s">
        <v>696</v>
      </c>
      <c r="C105" s="726" t="s">
        <v>456</v>
      </c>
      <c r="D105" s="726" t="s">
        <v>118</v>
      </c>
      <c r="E105" s="699" t="str">
        <f>HYPERLINK("https://www.reddit.com/r/RMTK/comments/ctxz1e/m0099_motie_tot_reductie_verdrinkingsdoden/","Motie tot reductie verdrinkingsdoden")</f>
        <v>Motie tot reductie verdrinkingsdoden</v>
      </c>
      <c r="F105" s="687"/>
      <c r="G105" s="738" t="s">
        <v>554</v>
      </c>
      <c r="H105" s="687"/>
      <c r="I105" s="684" t="s">
        <v>579</v>
      </c>
      <c r="J105" s="688" t="s">
        <v>564</v>
      </c>
      <c r="K105" s="689"/>
      <c r="L105" s="690" t="s">
        <v>56</v>
      </c>
    </row>
    <row r="106" ht="17.25" customHeight="1">
      <c r="B106" s="684" t="s">
        <v>697</v>
      </c>
      <c r="C106" s="739" t="s">
        <v>698</v>
      </c>
      <c r="D106" s="739" t="s">
        <v>25</v>
      </c>
      <c r="E106" s="699" t="str">
        <f>HYPERLINK("https://www.reddit.com/r/RMTK/comments/cvous8/m0100_motie_tot_cre%C3%ABren_vergunning_voor_bezit/","Motie tot creëren vergunning voor bezit meerdere woonhuizen")</f>
        <v>Motie tot creëren vergunning voor bezit meerdere woonhuizen</v>
      </c>
      <c r="F106" s="687"/>
      <c r="G106" s="738" t="s">
        <v>557</v>
      </c>
      <c r="H106" s="687"/>
      <c r="I106" s="684" t="s">
        <v>619</v>
      </c>
      <c r="J106" s="688" t="s">
        <v>119</v>
      </c>
      <c r="K106" s="689"/>
      <c r="L106" s="690" t="s">
        <v>56</v>
      </c>
    </row>
    <row r="107" ht="17.25" customHeight="1">
      <c r="B107" s="684" t="s">
        <v>699</v>
      </c>
      <c r="C107" s="700" t="s">
        <v>31</v>
      </c>
      <c r="D107" s="700" t="s">
        <v>148</v>
      </c>
      <c r="E107" s="699" t="str">
        <f>HYPERLINK("https://www.reddit.com/r/RMTK/comments/cw5pmx/m0101_motie_tot_boycot_van_fout_vlees_en_foute/","Motie tot boycot van fout vlees en foute soja uit het Amazonegebied")</f>
        <v>Motie tot boycot van fout vlees en foute soja uit het Amazonegebied</v>
      </c>
      <c r="F107" s="687"/>
      <c r="G107" s="738" t="s">
        <v>554</v>
      </c>
      <c r="H107" s="687"/>
      <c r="I107" s="684" t="s">
        <v>700</v>
      </c>
      <c r="J107" s="688" t="s">
        <v>564</v>
      </c>
      <c r="K107" s="689"/>
      <c r="L107" s="690" t="s">
        <v>56</v>
      </c>
    </row>
    <row r="108" ht="17.25" customHeight="1">
      <c r="B108" s="684" t="s">
        <v>701</v>
      </c>
      <c r="C108" s="739" t="s">
        <v>698</v>
      </c>
      <c r="D108" s="739" t="s">
        <v>25</v>
      </c>
      <c r="E108" s="699" t="str">
        <f>HYPERLINK("https://www.reddit.com/r/RMTK/comments/cz88o9/m0102_motie_tot_gratis_maken_ov/","Motie tot gratis maken OV")</f>
        <v>Motie tot gratis maken OV</v>
      </c>
      <c r="F108" s="687"/>
      <c r="G108" s="738" t="s">
        <v>557</v>
      </c>
      <c r="H108" s="687"/>
      <c r="I108" s="684" t="s">
        <v>622</v>
      </c>
      <c r="J108" s="688" t="s">
        <v>119</v>
      </c>
      <c r="K108" s="689"/>
      <c r="L108" s="690" t="s">
        <v>56</v>
      </c>
    </row>
    <row r="109" ht="17.25" customHeight="1">
      <c r="B109" s="684" t="s">
        <v>702</v>
      </c>
      <c r="C109" s="728" t="s">
        <v>458</v>
      </c>
      <c r="D109" s="728" t="s">
        <v>155</v>
      </c>
      <c r="E109" s="695" t="str">
        <f>HYPERLINK("https://www.reddit.com/r/RMTK/comments/czpknp/m0103_motie_tot_herbenoeming_burgemeester_van/","Motie tot herbenoeming burgemeester van Amsterdam")</f>
        <v>Motie tot herbenoeming burgemeester van Amsterdam</v>
      </c>
      <c r="F109" s="687"/>
      <c r="G109" s="738" t="s">
        <v>557</v>
      </c>
      <c r="H109" s="687"/>
      <c r="I109" s="684" t="s">
        <v>619</v>
      </c>
      <c r="J109" s="688" t="s">
        <v>119</v>
      </c>
      <c r="K109" s="689"/>
      <c r="L109" s="690" t="s">
        <v>56</v>
      </c>
    </row>
    <row r="110" ht="17.25" customHeight="1">
      <c r="B110" s="684" t="s">
        <v>703</v>
      </c>
      <c r="C110" s="700" t="s">
        <v>31</v>
      </c>
      <c r="D110" s="700" t="s">
        <v>148</v>
      </c>
      <c r="E110" s="699" t="str">
        <f>HYPERLINK("https://www.reddit.com/r/RMTK/comments/d0it9u/m0104_motie_ter_bevordering_van_het_frysk_en/","Motie ter bevordering van het Frysk- en streektalenonderwijs")</f>
        <v>Motie ter bevordering van het Frysk- en streektalenonderwijs</v>
      </c>
      <c r="F110" s="687"/>
      <c r="G110" s="738" t="s">
        <v>554</v>
      </c>
      <c r="H110" s="687"/>
      <c r="I110" s="684" t="s">
        <v>593</v>
      </c>
      <c r="J110" s="688" t="s">
        <v>564</v>
      </c>
      <c r="K110" s="689"/>
      <c r="L110" s="690" t="s">
        <v>56</v>
      </c>
    </row>
    <row r="111" ht="17.25" customHeight="1">
      <c r="B111" s="684" t="s">
        <v>704</v>
      </c>
      <c r="C111" s="700" t="s">
        <v>31</v>
      </c>
      <c r="D111" s="700" t="s">
        <v>16</v>
      </c>
      <c r="E111" s="699" t="str">
        <f>HYPERLINK("https://www.reddit.com/r/RMTK/comments/d2x07x/m0105_motie_tot_europese_samenwerking_op_het/","Motie tot Europese samenwerking op het gebied van voedselkwaliteit")</f>
        <v>Motie tot Europese samenwerking op het gebied van voedselkwaliteit</v>
      </c>
      <c r="F111" s="687"/>
      <c r="G111" s="738" t="s">
        <v>554</v>
      </c>
      <c r="H111" s="687"/>
      <c r="I111" s="684" t="s">
        <v>624</v>
      </c>
      <c r="J111" s="727" t="str">
        <f t="shared" ref="J111:J112" si="2">HYPERLINK("https://www.reddit.com/r/RMTK/comments/d8u4wo/ks0038_kamerbrief_aangaande_meerdere_kamerstukken/","Ja")</f>
        <v>Ja</v>
      </c>
      <c r="K111" s="689"/>
      <c r="L111" s="690" t="s">
        <v>56</v>
      </c>
    </row>
    <row r="112" ht="17.25" customHeight="1">
      <c r="B112" s="684" t="s">
        <v>705</v>
      </c>
      <c r="C112" s="700" t="s">
        <v>31</v>
      </c>
      <c r="D112" s="700" t="s">
        <v>16</v>
      </c>
      <c r="E112" s="699" t="str">
        <f>HYPERLINK("https://www.reddit.com/r/RMTK/comments/d2x1rb/m0106_motie_tot_verbeteren_voedselveiligheid/","Motie tot verbeteren voedselveiligheid")</f>
        <v>Motie tot verbeteren voedselveiligheid</v>
      </c>
      <c r="F112" s="687"/>
      <c r="G112" s="738" t="s">
        <v>554</v>
      </c>
      <c r="H112" s="687"/>
      <c r="I112" s="684" t="s">
        <v>624</v>
      </c>
      <c r="J112" s="727" t="str">
        <f t="shared" si="2"/>
        <v>Ja</v>
      </c>
      <c r="K112" s="689"/>
      <c r="L112" s="690" t="s">
        <v>56</v>
      </c>
    </row>
    <row r="113" ht="17.25" customHeight="1">
      <c r="B113" s="684" t="s">
        <v>706</v>
      </c>
      <c r="C113" s="700" t="s">
        <v>31</v>
      </c>
      <c r="D113" s="700" t="s">
        <v>149</v>
      </c>
      <c r="E113" s="699" t="str">
        <f>HYPERLINK("https://www.reddit.com/r/RMTK/comments/d37gxt/m0107_motie_tot_gelijk_visumbeleid_door_de/","Motie tot gelijk visumbeleid door de Verenigde Staten voor alle lidstaten van de Europese Unie")</f>
        <v>Motie tot gelijk visumbeleid door de Verenigde Staten voor alle lidstaten van de Europese Unie</v>
      </c>
      <c r="F113" s="687"/>
      <c r="G113" s="738" t="s">
        <v>554</v>
      </c>
      <c r="H113" s="687"/>
      <c r="I113" s="684" t="s">
        <v>566</v>
      </c>
      <c r="J113" s="688" t="s">
        <v>564</v>
      </c>
      <c r="K113" s="689"/>
      <c r="L113" s="690" t="s">
        <v>56</v>
      </c>
    </row>
    <row r="114" ht="17.25" customHeight="1">
      <c r="B114" s="684" t="s">
        <v>707</v>
      </c>
      <c r="C114" s="722" t="s">
        <v>446</v>
      </c>
      <c r="D114" s="722" t="s">
        <v>122</v>
      </c>
      <c r="E114" s="719" t="str">
        <f>HYPERLINK("https://www.reddit.com/r/RMTK/comments/d55568/m0108_voorwaardelijke_motie_van_wantrouwen_jegens/","Voorwaardelijke motie van wantrouwen jegens Kabinet 7Hielke-I")</f>
        <v>Voorwaardelijke motie van wantrouwen jegens Kabinet 7Hielke-I</v>
      </c>
      <c r="F114" s="687"/>
      <c r="G114" s="738" t="s">
        <v>557</v>
      </c>
      <c r="H114" s="687"/>
      <c r="I114" s="684" t="s">
        <v>559</v>
      </c>
      <c r="J114" s="688" t="s">
        <v>119</v>
      </c>
      <c r="K114" s="689"/>
      <c r="L114" s="690" t="s">
        <v>56</v>
      </c>
    </row>
    <row r="115" ht="17.25" customHeight="1">
      <c r="B115" s="684" t="s">
        <v>708</v>
      </c>
      <c r="C115" s="700" t="s">
        <v>31</v>
      </c>
      <c r="D115" s="700" t="s">
        <v>662</v>
      </c>
      <c r="E115" s="699" t="str">
        <f>HYPERLINK("https://www.reddit.com/r/RMTK/comments/d5jbj5/m0109_motie_tot_gelijkstelling_vrijstelling_op/","Motie tot gelijkstelling vrijstelling op uitzending militairen")</f>
        <v>Motie tot gelijkstelling vrijstelling op uitzending militairen</v>
      </c>
      <c r="F115" s="687"/>
      <c r="G115" s="738" t="s">
        <v>554</v>
      </c>
      <c r="H115" s="687"/>
      <c r="I115" s="684" t="s">
        <v>709</v>
      </c>
      <c r="J115" s="688" t="s">
        <v>564</v>
      </c>
      <c r="K115" s="689"/>
      <c r="L115" s="690" t="s">
        <v>56</v>
      </c>
    </row>
    <row r="116" ht="17.25" customHeight="1">
      <c r="B116" s="684" t="s">
        <v>710</v>
      </c>
      <c r="C116" s="722" t="s">
        <v>446</v>
      </c>
      <c r="D116" s="722" t="s">
        <v>122</v>
      </c>
      <c r="E116" s="699" t="str">
        <f>HYPERLINK("https://www.reddit.com/r/RMTK/comments/d6jhpf/m0110_motie_tot_aanpassing_van_het_vuurwerkbesluit/","Motie tot aanpassing van het vuurwerkbesluit")</f>
        <v>Motie tot aanpassing van het vuurwerkbesluit</v>
      </c>
      <c r="F116" s="687"/>
      <c r="G116" s="738" t="s">
        <v>554</v>
      </c>
      <c r="H116" s="687"/>
      <c r="I116" s="684" t="s">
        <v>579</v>
      </c>
      <c r="J116" s="688" t="s">
        <v>564</v>
      </c>
      <c r="K116" s="689"/>
      <c r="L116" s="690" t="s">
        <v>56</v>
      </c>
    </row>
    <row r="117" ht="17.25" customHeight="1">
      <c r="B117" s="684" t="s">
        <v>711</v>
      </c>
      <c r="C117" s="728" t="s">
        <v>458</v>
      </c>
      <c r="D117" s="728" t="s">
        <v>155</v>
      </c>
      <c r="E117" s="699" t="str">
        <f>HYPERLINK("https://www.reddit.com/r/RMTK/comments/d88vec/m0111_motie_tot_horecadienstplicht/","Motie tot horeca-dienstplicht")</f>
        <v>Motie tot horeca-dienstplicht</v>
      </c>
      <c r="F117" s="687"/>
      <c r="G117" s="738" t="s">
        <v>557</v>
      </c>
      <c r="H117" s="687"/>
      <c r="I117" s="684" t="s">
        <v>624</v>
      </c>
      <c r="J117" s="688" t="s">
        <v>119</v>
      </c>
      <c r="K117" s="689"/>
      <c r="L117" s="690" t="s">
        <v>56</v>
      </c>
    </row>
    <row r="118" ht="17.25" customHeight="1">
      <c r="B118" s="684" t="s">
        <v>712</v>
      </c>
      <c r="C118" s="684" t="s">
        <v>713</v>
      </c>
      <c r="D118" s="684" t="s">
        <v>662</v>
      </c>
      <c r="E118" s="699" t="str">
        <f>HYPERLINK("https://www.reddit.com/r/RMTK/comments/d8u34t/m0112_motie_tot_het_stimuleren_van_de_bouw_van/","Motie tot het stimuleren van de bouw van openbare toiletten")</f>
        <v>Motie tot het stimuleren van de bouw van openbare toiletten</v>
      </c>
      <c r="F118" s="687"/>
      <c r="G118" s="738" t="s">
        <v>554</v>
      </c>
      <c r="H118" s="687"/>
      <c r="I118" s="684" t="s">
        <v>714</v>
      </c>
      <c r="J118" s="688" t="s">
        <v>564</v>
      </c>
      <c r="K118" s="689"/>
      <c r="L118" s="690" t="s">
        <v>56</v>
      </c>
    </row>
    <row r="119" ht="17.25" customHeight="1">
      <c r="B119" s="684" t="s">
        <v>715</v>
      </c>
      <c r="C119" s="736" t="s">
        <v>461</v>
      </c>
      <c r="D119" s="736" t="s">
        <v>629</v>
      </c>
      <c r="E119" s="719" t="str">
        <f>HYPERLINK("https://www.reddit.com/r/RMTK/comments/d93fdc/m0113_voorwaardelijke_motie_van_wantrouwen_tegen/","Voorwaardelijke Motie van Wantrouwen tegen de Minister van Volksgezondheid en Sociale Zaken")</f>
        <v>Voorwaardelijke Motie van Wantrouwen tegen de Minister van Volksgezondheid en Sociale Zaken</v>
      </c>
      <c r="F119" s="687"/>
      <c r="G119" s="688" t="s">
        <v>654</v>
      </c>
      <c r="H119" s="687"/>
      <c r="I119" s="684" t="s">
        <v>624</v>
      </c>
      <c r="J119" s="688" t="s">
        <v>119</v>
      </c>
      <c r="K119" s="689"/>
      <c r="L119" s="690" t="s">
        <v>56</v>
      </c>
    </row>
    <row r="120" ht="7.5" customHeight="1">
      <c r="A120" s="706"/>
      <c r="B120" s="706"/>
      <c r="C120" s="707"/>
      <c r="D120" s="707"/>
      <c r="E120" s="708"/>
      <c r="F120" s="709"/>
      <c r="G120" s="710"/>
      <c r="H120" s="711"/>
      <c r="I120" s="710"/>
      <c r="J120" s="706"/>
      <c r="K120" s="711"/>
      <c r="L120" s="706"/>
    </row>
    <row r="121" ht="17.25" customHeight="1">
      <c r="A121" s="683" t="s">
        <v>716</v>
      </c>
      <c r="B121" s="684" t="s">
        <v>717</v>
      </c>
      <c r="C121" s="700" t="s">
        <v>31</v>
      </c>
      <c r="D121" s="700" t="s">
        <v>32</v>
      </c>
      <c r="E121" s="699" t="str">
        <f>HYPERLINK("https://www.reddit.com/r/RMTK/comments/djsqad/m0114_motie_omtrent_het_mogelijke_finse/","Motie omtrent het mogelijke Finse lidmaatschap van de NAVO")</f>
        <v>Motie omtrent het mogelijke Finse lidmaatschap van de NAVO</v>
      </c>
      <c r="F121" s="687"/>
      <c r="G121" s="738" t="s">
        <v>554</v>
      </c>
      <c r="H121" s="687"/>
      <c r="I121" s="684" t="s">
        <v>718</v>
      </c>
      <c r="J121" s="688" t="s">
        <v>636</v>
      </c>
      <c r="K121" s="689"/>
      <c r="L121" s="690" t="s">
        <v>56</v>
      </c>
    </row>
    <row r="122" ht="17.25" customHeight="1">
      <c r="B122" s="684" t="s">
        <v>719</v>
      </c>
      <c r="C122" s="700" t="s">
        <v>31</v>
      </c>
      <c r="D122" s="700" t="s">
        <v>32</v>
      </c>
      <c r="E122" s="740" t="str">
        <f>HYPERLINK("https://www.reddit.com/r/RMTK/comments/dkz8sk/m0115_motie_van_treurnis_omtrent_de_voornemens/","Motie van treurnis omtrent de voornemens van het kabinet over KB0011 en W0009")</f>
        <v>Motie van treurnis omtrent de voornemens van het kabinet over KB0011 en W0009</v>
      </c>
      <c r="F122" s="687"/>
      <c r="G122" s="738" t="s">
        <v>554</v>
      </c>
      <c r="H122" s="687"/>
      <c r="I122" s="684" t="s">
        <v>559</v>
      </c>
      <c r="J122" s="688" t="s">
        <v>636</v>
      </c>
      <c r="K122" s="689"/>
      <c r="L122" s="690" t="s">
        <v>56</v>
      </c>
    </row>
    <row r="123" ht="17.25" customHeight="1">
      <c r="B123" s="684" t="s">
        <v>720</v>
      </c>
      <c r="C123" s="700" t="s">
        <v>31</v>
      </c>
      <c r="D123" s="700" t="s">
        <v>148</v>
      </c>
      <c r="E123" s="699" t="str">
        <f>hyperlink("https://www.reddit.com/r/RMTK/comments/dml67f/m0116_motie_tot_verlaging_van_de_aowleeftijd_naar/?","Motie tot verlaging van de AOW-leeftijd naar 65 jaar")</f>
        <v>Motie tot verlaging van de AOW-leeftijd naar 65 jaar</v>
      </c>
      <c r="F123" s="687"/>
      <c r="G123" s="738" t="s">
        <v>554</v>
      </c>
      <c r="H123" s="687"/>
      <c r="I123" s="684" t="s">
        <v>721</v>
      </c>
      <c r="J123" s="688" t="s">
        <v>636</v>
      </c>
      <c r="K123" s="689"/>
      <c r="L123" s="690" t="s">
        <v>56</v>
      </c>
    </row>
    <row r="124" ht="17.25" customHeight="1">
      <c r="B124" s="684" t="s">
        <v>722</v>
      </c>
      <c r="C124" s="700" t="s">
        <v>31</v>
      </c>
      <c r="D124" s="700" t="s">
        <v>148</v>
      </c>
      <c r="E124" s="699" t="str">
        <f>HYPERLINK("https://www.reddit.com/r/RMTK/comments/dotujc/m0117_motie_omtrent_een_bindend_correctief/","Motie omtrent een bindend correctief referendum")</f>
        <v>Motie omtrent een bindend correctief referendum</v>
      </c>
      <c r="F124" s="687"/>
      <c r="G124" s="738" t="s">
        <v>554</v>
      </c>
      <c r="H124" s="687"/>
      <c r="I124" s="684" t="s">
        <v>723</v>
      </c>
      <c r="J124" s="690" t="s">
        <v>564</v>
      </c>
      <c r="K124" s="689"/>
      <c r="L124" s="690" t="s">
        <v>56</v>
      </c>
    </row>
    <row r="125" ht="17.25" customHeight="1">
      <c r="B125" s="684" t="s">
        <v>724</v>
      </c>
      <c r="C125" s="725" t="s">
        <v>449</v>
      </c>
      <c r="D125" s="725" t="s">
        <v>44</v>
      </c>
      <c r="E125" s="699" t="str">
        <f>HYPERLINK("https://www.reddit.com/r/RMTK/comments/dp857b/m0118_motie_tot_het_maken_van_een_vrije_dag_van/","Motie tot het maken van een vrije dag van Bevrijdingsdag")</f>
        <v>Motie tot het maken van een vrije dag van Bevrijdingsdag</v>
      </c>
      <c r="F125" s="687"/>
      <c r="G125" s="738" t="s">
        <v>554</v>
      </c>
      <c r="H125" s="687"/>
      <c r="I125" s="684" t="s">
        <v>559</v>
      </c>
      <c r="J125" s="727" t="str">
        <f>HYPERLINK("https://www.reddit.com/r/RMTK/comments/eo3tv9/w0062_wet_tot_het_samenvoegen_van_de_rustwetten/","Ja")</f>
        <v>Ja</v>
      </c>
      <c r="K125" s="689"/>
      <c r="L125" s="690" t="s">
        <v>56</v>
      </c>
    </row>
    <row r="126" ht="17.25" customHeight="1">
      <c r="B126" s="684" t="s">
        <v>725</v>
      </c>
      <c r="C126" s="741" t="s">
        <v>36</v>
      </c>
      <c r="D126" s="741" t="s">
        <v>118</v>
      </c>
      <c r="E126" s="699" t="str">
        <f>HYPERLINK("https://www.reddit.com/r/RMTK/comments/dpnpjp/m0119_motie_tot_toevoeging/","Motie tot toevoeging telecommunicatiebedrijven van de Volksrepubliek China op de lijst van W0007-I")</f>
        <v>Motie tot toevoeging telecommunicatiebedrijven van de Volksrepubliek China op de lijst van W0007-I</v>
      </c>
      <c r="F126" s="687"/>
      <c r="G126" s="738" t="s">
        <v>554</v>
      </c>
      <c r="H126" s="687"/>
      <c r="I126" s="684" t="s">
        <v>726</v>
      </c>
      <c r="J126" s="688" t="s">
        <v>636</v>
      </c>
      <c r="K126" s="689"/>
      <c r="L126" s="690" t="s">
        <v>56</v>
      </c>
    </row>
    <row r="127" ht="17.25" customHeight="1">
      <c r="B127" s="684" t="s">
        <v>727</v>
      </c>
      <c r="C127" s="739" t="s">
        <v>698</v>
      </c>
      <c r="D127" s="739" t="s">
        <v>123</v>
      </c>
      <c r="E127" s="699" t="str">
        <f>HYPERLINK("https://www.reddit.com/r/RMTK/comments/drl0sa/m0120_motie_tot_de_aanpak_van_intensieve/","Motie tot de aanpak van intensieve veehouderij")</f>
        <v>Motie tot de aanpak van intensieve veehouderij</v>
      </c>
      <c r="F127" s="687"/>
      <c r="G127" s="738" t="s">
        <v>554</v>
      </c>
      <c r="H127" s="687"/>
      <c r="I127" s="684" t="s">
        <v>728</v>
      </c>
      <c r="J127" s="690" t="s">
        <v>564</v>
      </c>
      <c r="K127" s="689"/>
      <c r="L127" s="690" t="s">
        <v>56</v>
      </c>
    </row>
    <row r="128" ht="17.25" customHeight="1">
      <c r="B128" s="684" t="s">
        <v>729</v>
      </c>
      <c r="C128" s="741" t="s">
        <v>36</v>
      </c>
      <c r="D128" s="741" t="s">
        <v>37</v>
      </c>
      <c r="E128" s="699" t="str">
        <f>HYPERLINK("https://www.reddit.com/r/RMTK/comments/dt2s9z/m0121_motie_aangaande_het_opschorten_van_het/","Motie aangaande het opschorten van het kandidaat-lidmaatschap voor de Europese Unie van de Republiek Turkije")</f>
        <v>Motie aangaande het opschorten van het kandidaat-lidmaatschap voor de Europese Unie van de Republiek Turkije</v>
      </c>
      <c r="F128" s="687"/>
      <c r="G128" s="738" t="s">
        <v>554</v>
      </c>
      <c r="H128" s="687"/>
      <c r="I128" s="684" t="s">
        <v>726</v>
      </c>
      <c r="J128" s="690" t="s">
        <v>564</v>
      </c>
      <c r="K128" s="689"/>
      <c r="L128" s="690" t="s">
        <v>56</v>
      </c>
    </row>
    <row r="129" ht="17.25" customHeight="1">
      <c r="B129" s="684" t="s">
        <v>730</v>
      </c>
      <c r="C129" s="739" t="s">
        <v>698</v>
      </c>
      <c r="D129" s="739" t="s">
        <v>123</v>
      </c>
      <c r="E129" s="699" t="str">
        <f>HYPERLINK("https://www.reddit.com/r/RMTK/comments/duvmyy/m0122_motie_tot_een_totaalverbod_op/","Motie tot een totaalverbod op gezichtsherkenningssoftware voor bepaalde doeleinden")</f>
        <v>Motie tot een totaalverbod op gezichtsherkenningssoftware voor bepaalde doeleinden</v>
      </c>
      <c r="F129" s="687"/>
      <c r="G129" s="738" t="s">
        <v>554</v>
      </c>
      <c r="H129" s="687"/>
      <c r="I129" s="684" t="s">
        <v>718</v>
      </c>
      <c r="J129" s="690" t="s">
        <v>564</v>
      </c>
      <c r="K129" s="689"/>
      <c r="L129" s="690" t="s">
        <v>56</v>
      </c>
    </row>
    <row r="130" ht="17.25" customHeight="1">
      <c r="B130" s="684" t="s">
        <v>731</v>
      </c>
      <c r="C130" s="736" t="s">
        <v>461</v>
      </c>
      <c r="D130" s="736" t="s">
        <v>662</v>
      </c>
      <c r="E130" s="742" t="str">
        <f>HYPERLINK("https://www.reddit.com/r/RMTK/comments/dxmw5w/m0123_motie_van_afkeuring_jegens_het_presidium/","Motie van Afkeuring jegens het Presidium")</f>
        <v>Motie van Afkeuring jegens het Presidium</v>
      </c>
      <c r="F130" s="687"/>
      <c r="G130" s="688" t="s">
        <v>551</v>
      </c>
      <c r="H130" s="687"/>
      <c r="I130" s="684" t="s">
        <v>56</v>
      </c>
      <c r="J130" s="690" t="s">
        <v>119</v>
      </c>
      <c r="K130" s="689"/>
      <c r="L130" s="690" t="s">
        <v>56</v>
      </c>
    </row>
    <row r="131" ht="17.25" customHeight="1">
      <c r="B131" s="684" t="s">
        <v>732</v>
      </c>
      <c r="C131" s="736" t="s">
        <v>461</v>
      </c>
      <c r="D131" s="736" t="s">
        <v>662</v>
      </c>
      <c r="E131" s="699" t="str">
        <f>HYPERLINK("https://www.reddit.com/r/RMTK/comments/dynhk0/m0124_motie_tot_onderzoek_naar_gedecentraliseerde/","Motie tot onderzoek naar gedecentraliseerde data voor gemeenteraadsverkiezingen")</f>
        <v>Motie tot onderzoek naar gedecentraliseerde data voor gemeenteraadsverkiezingen</v>
      </c>
      <c r="F131" s="687"/>
      <c r="G131" s="738" t="s">
        <v>554</v>
      </c>
      <c r="H131" s="687"/>
      <c r="I131" s="684" t="s">
        <v>723</v>
      </c>
      <c r="J131" s="690" t="s">
        <v>564</v>
      </c>
      <c r="K131" s="689"/>
      <c r="L131" s="690" t="s">
        <v>56</v>
      </c>
    </row>
    <row r="132" ht="17.25" customHeight="1">
      <c r="B132" s="684" t="s">
        <v>733</v>
      </c>
      <c r="C132" s="700" t="s">
        <v>31</v>
      </c>
      <c r="D132" s="700" t="s">
        <v>32</v>
      </c>
      <c r="E132" s="699" t="str">
        <f>hyperlink("https://www.reddit.com/r/RMTK/comments/dz8jqi/m0125_motie_tot_terughalen_irak_en_syri%C3%ABgangers/","Motie tot terughalen Irak- en Syriëgangers")</f>
        <v>Motie tot terughalen Irak- en Syriëgangers</v>
      </c>
      <c r="F132" s="687"/>
      <c r="G132" s="738" t="s">
        <v>554</v>
      </c>
      <c r="H132" s="687"/>
      <c r="I132" s="684" t="s">
        <v>726</v>
      </c>
      <c r="J132" s="690" t="s">
        <v>564</v>
      </c>
      <c r="K132" s="689"/>
      <c r="L132" s="690" t="s">
        <v>56</v>
      </c>
    </row>
    <row r="133" ht="17.25" customHeight="1">
      <c r="B133" s="684" t="s">
        <v>734</v>
      </c>
      <c r="C133" s="739" t="s">
        <v>698</v>
      </c>
      <c r="D133" s="739" t="s">
        <v>123</v>
      </c>
      <c r="E133" s="743" t="str">
        <f>hyperlink("https://www.reddit.com/r/RMTK/comments/e1jtyu/m0126_motie_tot_opzetten_stimuleringsfonds/","Motie tot opzetten stimuleringsfonds encryptie en betere verankering van encryptie")</f>
        <v>Motie tot opzetten stimuleringsfonds encryptie en betere verankering van encryptie</v>
      </c>
      <c r="F133" s="687"/>
      <c r="G133" s="738" t="s">
        <v>554</v>
      </c>
      <c r="H133" s="687"/>
      <c r="I133" s="684" t="s">
        <v>721</v>
      </c>
      <c r="J133" s="690" t="s">
        <v>564</v>
      </c>
      <c r="K133" s="689"/>
      <c r="L133" s="690" t="s">
        <v>56</v>
      </c>
    </row>
    <row r="134" ht="17.25" customHeight="1">
      <c r="B134" s="684" t="s">
        <v>735</v>
      </c>
      <c r="C134" s="741" t="s">
        <v>36</v>
      </c>
      <c r="D134" s="741" t="s">
        <v>153</v>
      </c>
      <c r="E134" s="743" t="str">
        <f>hyperlink("https://www.reddit.com/r/RMTK/comments/e208vb/m0127_motie_tot_verzoek_oorlogsverklaring/","Motie tot verzoek oorlogsverklaring")</f>
        <v>Motie tot verzoek oorlogsverklaring</v>
      </c>
      <c r="F134" s="687"/>
      <c r="G134" s="738" t="s">
        <v>557</v>
      </c>
      <c r="H134" s="687"/>
      <c r="I134" s="684" t="s">
        <v>736</v>
      </c>
      <c r="J134" s="690" t="s">
        <v>119</v>
      </c>
      <c r="K134" s="689"/>
      <c r="L134" s="690" t="s">
        <v>56</v>
      </c>
    </row>
    <row r="135" ht="17.25" customHeight="1">
      <c r="B135" s="684" t="s">
        <v>737</v>
      </c>
      <c r="C135" s="739" t="s">
        <v>698</v>
      </c>
      <c r="D135" s="739" t="s">
        <v>123</v>
      </c>
      <c r="E135" s="743" t="str">
        <f>hyperlink("https://www.reddit.com/r/RMTK/comments/e2ztqm/m0128_motie_tot_een_ruimhartiger_asielbeleid/","Motie tot een ruimhartiger asielbeleid aangaande LHBTI'ers")</f>
        <v>Motie tot een ruimhartiger asielbeleid aangaande LHBTI'ers</v>
      </c>
      <c r="F135" s="687"/>
      <c r="G135" s="738" t="s">
        <v>554</v>
      </c>
      <c r="H135" s="687"/>
      <c r="I135" s="684" t="s">
        <v>738</v>
      </c>
      <c r="J135" s="690" t="s">
        <v>564</v>
      </c>
      <c r="K135" s="689"/>
      <c r="L135" s="690" t="s">
        <v>56</v>
      </c>
    </row>
    <row r="136" ht="17.25" customHeight="1">
      <c r="B136" s="684" t="s">
        <v>739</v>
      </c>
      <c r="C136" s="744" t="s">
        <v>740</v>
      </c>
      <c r="D136" s="744" t="s">
        <v>122</v>
      </c>
      <c r="E136" s="745" t="str">
        <f>hyperlink("https://www.reddit.com/r/RMTK/comments/e4zuxw/m0129_motie_omtrent_het_opruimen_van_korrels_van/","Motie omtrent het opruimen van korrels van koolstofgranulaat op Schiermonnikoog")</f>
        <v>Motie omtrent het opruimen van korrels van koolstofgranulaat op Schiermonnikoog</v>
      </c>
      <c r="F136" s="687"/>
      <c r="G136" s="738" t="s">
        <v>554</v>
      </c>
      <c r="H136" s="687"/>
      <c r="I136" s="684" t="s">
        <v>741</v>
      </c>
      <c r="J136" s="690" t="s">
        <v>564</v>
      </c>
      <c r="K136" s="689"/>
      <c r="L136" s="690" t="s">
        <v>742</v>
      </c>
    </row>
    <row r="137" ht="17.25" customHeight="1">
      <c r="B137" s="684" t="s">
        <v>743</v>
      </c>
      <c r="C137" s="700" t="s">
        <v>31</v>
      </c>
      <c r="D137" s="700" t="s">
        <v>32</v>
      </c>
      <c r="E137" s="746" t="str">
        <f>hyperlink("https://www.reddit.com/r/RMTK/comments/dzpvs1/m0130_motie_van_wantrouwen_jegens_kabinet_house/","Motie van wantrouwen jegens Kabinet House_of_Farts-I")</f>
        <v>Motie van wantrouwen jegens Kabinet House_of_Farts-I</v>
      </c>
      <c r="F137" s="687"/>
      <c r="G137" s="747" t="s">
        <v>654</v>
      </c>
      <c r="H137" s="687"/>
      <c r="I137" s="684" t="s">
        <v>559</v>
      </c>
      <c r="J137" s="690" t="s">
        <v>119</v>
      </c>
      <c r="K137" s="689"/>
      <c r="L137" s="690" t="s">
        <v>744</v>
      </c>
    </row>
    <row r="138" ht="7.5" customHeight="1">
      <c r="A138" s="706"/>
      <c r="B138" s="706"/>
      <c r="C138" s="707"/>
      <c r="D138" s="707"/>
      <c r="E138" s="708"/>
      <c r="F138" s="709"/>
      <c r="G138" s="710"/>
      <c r="H138" s="711"/>
      <c r="I138" s="710"/>
      <c r="J138" s="706"/>
      <c r="K138" s="711"/>
      <c r="L138" s="706"/>
    </row>
    <row r="139" ht="17.25" customHeight="1">
      <c r="A139" s="683" t="s">
        <v>745</v>
      </c>
      <c r="B139" s="684" t="s">
        <v>746</v>
      </c>
      <c r="C139" s="739" t="s">
        <v>698</v>
      </c>
      <c r="D139" s="739" t="s">
        <v>123</v>
      </c>
      <c r="E139" s="743" t="str">
        <f>hyperlink("https://www.reddit.com/r/RMTK/comments/e5hzkw/m0131_motie_tot_het_instellen_van_een_meldplicht/","Motie tot het instellen van een meldplicht voor discriminerende verzoeken aan uitzendbureau's")</f>
        <v>Motie tot het instellen van een meldplicht voor discriminerende verzoeken aan uitzendbureau's</v>
      </c>
      <c r="F139" s="687"/>
      <c r="G139" s="738" t="s">
        <v>554</v>
      </c>
      <c r="H139" s="687"/>
      <c r="I139" s="684" t="s">
        <v>723</v>
      </c>
      <c r="J139" s="690" t="s">
        <v>564</v>
      </c>
      <c r="K139" s="689"/>
      <c r="L139" s="690" t="s">
        <v>747</v>
      </c>
    </row>
    <row r="140" ht="17.25" customHeight="1">
      <c r="B140" s="684" t="s">
        <v>748</v>
      </c>
      <c r="C140" s="700" t="s">
        <v>31</v>
      </c>
      <c r="D140" s="700" t="s">
        <v>32</v>
      </c>
      <c r="E140" s="719" t="str">
        <f>HYPERLINK("https://www.reddit.com/r/RMTK/comments/ecd9jh/m0132_motie_van_afkeuring_tegen_de_voorzitter/","Motie van afkeuring tegen de voorzitter")</f>
        <v>Motie van afkeuring tegen de voorzitter</v>
      </c>
      <c r="F140" s="687"/>
      <c r="G140" s="738" t="s">
        <v>557</v>
      </c>
      <c r="H140" s="687"/>
      <c r="I140" s="684" t="s">
        <v>508</v>
      </c>
      <c r="J140" s="690" t="s">
        <v>119</v>
      </c>
      <c r="K140" s="689"/>
      <c r="L140" s="690" t="s">
        <v>56</v>
      </c>
    </row>
    <row r="141" ht="17.25" customHeight="1">
      <c r="B141" s="684" t="s">
        <v>749</v>
      </c>
      <c r="C141" s="700" t="s">
        <v>31</v>
      </c>
      <c r="D141" s="700" t="s">
        <v>32</v>
      </c>
      <c r="E141" s="699" t="str">
        <f>HYPERLINK("https://www.reddit.com/r/RMTK/comments/ecsj9d/m0133_motie_tot_erkenning_armeense_genocide/","Motie tot erkenning Armeense genocide")</f>
        <v>Motie tot erkenning Armeense genocide</v>
      </c>
      <c r="F141" s="687"/>
      <c r="G141" s="738" t="s">
        <v>554</v>
      </c>
      <c r="H141" s="687"/>
      <c r="I141" s="684" t="s">
        <v>750</v>
      </c>
      <c r="J141" s="690" t="s">
        <v>564</v>
      </c>
      <c r="K141" s="689"/>
      <c r="L141" s="690" t="s">
        <v>56</v>
      </c>
    </row>
    <row r="142" ht="17.25" customHeight="1">
      <c r="B142" s="684" t="s">
        <v>751</v>
      </c>
      <c r="C142" s="700" t="s">
        <v>31</v>
      </c>
      <c r="D142" s="700" t="s">
        <v>32</v>
      </c>
      <c r="E142" s="699" t="str">
        <f>HYPERLINK("https://www.reddit.com/r/RMTK/comments/edxhs2/m0134_motie_tot_erkenning_van_de_genocide_op_de/","Motie tot erkenning van de genocide op de inheemsen van de Verenigde Staten")</f>
        <v>Motie tot erkenning van de genocide op de inheemsen van de Verenigde Staten</v>
      </c>
      <c r="F142" s="687"/>
      <c r="G142" s="738" t="s">
        <v>554</v>
      </c>
      <c r="H142" s="687"/>
      <c r="I142" s="684" t="s">
        <v>750</v>
      </c>
      <c r="J142" s="690" t="s">
        <v>564</v>
      </c>
      <c r="K142" s="689"/>
      <c r="L142" s="690" t="s">
        <v>56</v>
      </c>
    </row>
    <row r="143" ht="17.25" customHeight="1">
      <c r="B143" s="684" t="s">
        <v>752</v>
      </c>
      <c r="C143" s="700" t="s">
        <v>31</v>
      </c>
      <c r="D143" s="700" t="s">
        <v>149</v>
      </c>
      <c r="E143" s="699" t="str">
        <f>HYPERLINK("https://www.reddit.com/r/RMTK/comments/eixzgh/m0135_motie_tot_het_gratis_maken_van/","Motie tot het gratis maken van bibliotheeklidmaatschappen")</f>
        <v>Motie tot het gratis maken van bibliotheeklidmaatschappen</v>
      </c>
      <c r="F143" s="687"/>
      <c r="G143" s="738" t="s">
        <v>554</v>
      </c>
      <c r="H143" s="687"/>
      <c r="I143" s="684" t="s">
        <v>593</v>
      </c>
      <c r="J143" s="748" t="str">
        <f>hyperlink("https://www.reddit.com/r/RMTK/comments/f71ubr/w0072_wet_tot_inkomensafhankelijke_regeling/","Ja")</f>
        <v>Ja</v>
      </c>
      <c r="K143" s="689"/>
      <c r="L143" s="690" t="s">
        <v>56</v>
      </c>
    </row>
    <row r="144" ht="17.25" customHeight="1">
      <c r="B144" s="684" t="s">
        <v>753</v>
      </c>
      <c r="C144" s="700" t="s">
        <v>31</v>
      </c>
      <c r="D144" s="700" t="s">
        <v>32</v>
      </c>
      <c r="E144" s="699" t="str">
        <f>HYPERLINK("https://www.reddit.com/r/RMTK/comments/emrfn7/m0136_motie_tot_terugtrekking_van_amerikaanse/","Motie tot terugtrekking van Amerikaanse soldaten uit Nederland")</f>
        <v>Motie tot terugtrekking van Amerikaanse soldaten uit Nederland</v>
      </c>
      <c r="F144" s="687"/>
      <c r="G144" s="738" t="s">
        <v>554</v>
      </c>
      <c r="H144" s="687"/>
      <c r="I144" s="684" t="s">
        <v>750</v>
      </c>
      <c r="J144" s="748" t="str">
        <f>HYPERLINK("https://www.reddit.com/r/RMTK/comments/f7adfd/ks0049_kamerbrief_stand_van_zaken_aanpassing/","Ja")</f>
        <v>Ja</v>
      </c>
      <c r="K144" s="689"/>
      <c r="L144" s="690" t="s">
        <v>56</v>
      </c>
    </row>
    <row r="145" ht="17.25" customHeight="1">
      <c r="B145" s="684" t="s">
        <v>754</v>
      </c>
      <c r="C145" s="700" t="s">
        <v>31</v>
      </c>
      <c r="D145" s="700" t="s">
        <v>148</v>
      </c>
      <c r="E145" s="699" t="str">
        <f>HYPERLINK("https://www.reddit.com/r/RMTK/comments/ep21sj/m0137_motie_tot_het_goedkoper_maken_van_de/","Motie tot het goedkoper maken van de kinderopvang voor ouders")</f>
        <v>Motie tot het goedkoper maken van de kinderopvang voor ouders</v>
      </c>
      <c r="F145" s="687"/>
      <c r="G145" s="738" t="s">
        <v>554</v>
      </c>
      <c r="H145" s="687"/>
      <c r="I145" s="684" t="s">
        <v>624</v>
      </c>
      <c r="J145" s="690" t="s">
        <v>564</v>
      </c>
      <c r="K145" s="689"/>
      <c r="L145" s="690" t="s">
        <v>56</v>
      </c>
    </row>
    <row r="146" ht="17.25" customHeight="1">
      <c r="B146" s="684" t="s">
        <v>755</v>
      </c>
      <c r="C146" s="725" t="s">
        <v>449</v>
      </c>
      <c r="D146" s="725" t="s">
        <v>44</v>
      </c>
      <c r="E146" s="699" t="str">
        <f>HYPERLINK("https://www.reddit.com/r/RMTK/comments/epj1fz/m0138_motie_tot_het_steunen_van_iraanse/","Motie tot het steunen van Iraanse demonstranten")</f>
        <v>Motie tot het steunen van Iraanse demonstranten</v>
      </c>
      <c r="F146" s="687"/>
      <c r="G146" s="738" t="s">
        <v>557</v>
      </c>
      <c r="H146" s="687"/>
      <c r="I146" s="684" t="s">
        <v>750</v>
      </c>
      <c r="J146" s="690" t="s">
        <v>119</v>
      </c>
      <c r="K146" s="689"/>
      <c r="L146" s="690" t="s">
        <v>56</v>
      </c>
    </row>
    <row r="147" ht="17.25" customHeight="1">
      <c r="B147" s="684" t="s">
        <v>756</v>
      </c>
      <c r="C147" s="749" t="s">
        <v>36</v>
      </c>
      <c r="D147" s="749" t="s">
        <v>118</v>
      </c>
      <c r="E147" s="699" t="str">
        <f>HYPERLINK("https://www.reddit.com/r/RMTK/comments/epj1g9/m0139_motie_tot_verhoging_maximumsnelheid/","Motie tot verhoging maximumsnelheid")</f>
        <v>Motie tot verhoging maximumsnelheid</v>
      </c>
      <c r="F147" s="687"/>
      <c r="G147" s="738" t="s">
        <v>557</v>
      </c>
      <c r="H147" s="687"/>
      <c r="I147" s="684" t="s">
        <v>741</v>
      </c>
      <c r="J147" s="690" t="s">
        <v>119</v>
      </c>
      <c r="K147" s="689"/>
      <c r="L147" s="690" t="s">
        <v>56</v>
      </c>
    </row>
    <row r="148" ht="17.25" customHeight="1">
      <c r="B148" s="684" t="s">
        <v>757</v>
      </c>
      <c r="C148" s="750" t="s">
        <v>49</v>
      </c>
      <c r="D148" s="750" t="s">
        <v>200</v>
      </c>
      <c r="E148" s="699" t="str">
        <f>HYPERLINK("https://www.reddit.com/r/RMTK/comments/ercxen/m0140_motie_tot_het_behouden_van_het_friese/","Motie tot het behouden van het Friese elfstedentochtformat")</f>
        <v>Motie tot het behouden van het Friese elfstedentochtformat</v>
      </c>
      <c r="F148" s="687"/>
      <c r="G148" s="738" t="s">
        <v>554</v>
      </c>
      <c r="H148" s="687"/>
      <c r="I148" s="684" t="s">
        <v>593</v>
      </c>
      <c r="J148" s="690" t="s">
        <v>564</v>
      </c>
      <c r="K148" s="689"/>
      <c r="L148" s="690" t="s">
        <v>56</v>
      </c>
    </row>
    <row r="149" ht="17.25" customHeight="1">
      <c r="B149" s="684" t="s">
        <v>758</v>
      </c>
      <c r="C149" s="749" t="s">
        <v>36</v>
      </c>
      <c r="D149" s="749" t="s">
        <v>118</v>
      </c>
      <c r="E149" s="699" t="str">
        <f>HYPERLINK("https://www.reddit.com/r/RMTK/comments/esblyw/m0141_motie_tot_verbreding_staatsieportret_van/","Motie tot verbreding staatsieportret van diverse staatspersonen")</f>
        <v>Motie tot verbreding staatsieportret van diverse staatspersonen</v>
      </c>
      <c r="F149" s="687"/>
      <c r="G149" s="738" t="s">
        <v>557</v>
      </c>
      <c r="H149" s="687"/>
      <c r="I149" s="684" t="s">
        <v>559</v>
      </c>
      <c r="J149" s="690" t="s">
        <v>119</v>
      </c>
      <c r="K149" s="689"/>
      <c r="L149" s="690" t="s">
        <v>56</v>
      </c>
    </row>
    <row r="150" ht="17.25" customHeight="1">
      <c r="B150" s="684" t="s">
        <v>759</v>
      </c>
      <c r="C150" s="700" t="s">
        <v>31</v>
      </c>
      <c r="D150" s="700" t="s">
        <v>32</v>
      </c>
      <c r="E150" s="731" t="str">
        <f>HYPERLINK("https://www.reddit.com/r/RMTK/comments/eun0nv/m0142_motie_tot_erkenning_van_de_palestijnse_staat/","Motie tot erkenning van de Palestijnse staat")</f>
        <v>Motie tot erkenning van de Palestijnse staat</v>
      </c>
      <c r="F150" s="687"/>
      <c r="G150" s="751" t="s">
        <v>551</v>
      </c>
      <c r="H150" s="687"/>
      <c r="I150" s="684" t="s">
        <v>750</v>
      </c>
      <c r="J150" s="690" t="s">
        <v>119</v>
      </c>
      <c r="K150" s="689"/>
      <c r="L150" s="690" t="s">
        <v>56</v>
      </c>
    </row>
    <row r="151" ht="17.25" customHeight="1">
      <c r="B151" s="684" t="s">
        <v>760</v>
      </c>
      <c r="C151" s="700" t="s">
        <v>31</v>
      </c>
      <c r="D151" s="700" t="s">
        <v>32</v>
      </c>
      <c r="E151" s="699" t="str">
        <f>hyperlink("https://www.reddit.com/r/RMTK/comments/ez8jds/m0143_motie_tot_vestiging_nederlandse_ambassade/","Motie tot vestiging Nederlandse ambassade in de Palestijnse staat")</f>
        <v>Motie tot vestiging Nederlandse ambassade in de Palestijnse staat</v>
      </c>
      <c r="F151" s="687"/>
      <c r="G151" s="738" t="s">
        <v>554</v>
      </c>
      <c r="H151" s="687"/>
      <c r="I151" s="684" t="s">
        <v>750</v>
      </c>
      <c r="J151" s="690" t="s">
        <v>564</v>
      </c>
      <c r="K151" s="689"/>
      <c r="L151" s="690" t="s">
        <v>56</v>
      </c>
    </row>
    <row r="152" ht="17.25" customHeight="1">
      <c r="B152" s="684" t="s">
        <v>761</v>
      </c>
      <c r="C152" s="750" t="s">
        <v>49</v>
      </c>
      <c r="D152" s="750" t="s">
        <v>200</v>
      </c>
      <c r="E152" s="699" t="str">
        <f>hyperlink("https://www.reddit.com/r/RMTK/comments/ewsp2r/m0144_motie_tot_onderzoek_naar_de_mogelijkheid/","Motie tot onderzoek naar de mogelijkheid van energiewinning van de Zuidwalvulkaan")</f>
        <v>Motie tot onderzoek naar de mogelijkheid van energiewinning van de Zuidwalvulkaan</v>
      </c>
      <c r="F152" s="687"/>
      <c r="G152" s="738" t="s">
        <v>554</v>
      </c>
      <c r="H152" s="687"/>
      <c r="I152" s="684" t="s">
        <v>593</v>
      </c>
      <c r="J152" s="690" t="s">
        <v>564</v>
      </c>
      <c r="K152" s="689"/>
      <c r="L152" s="690" t="s">
        <v>56</v>
      </c>
    </row>
    <row r="153" ht="17.25" customHeight="1">
      <c r="B153" s="684" t="s">
        <v>762</v>
      </c>
      <c r="C153" s="700" t="s">
        <v>31</v>
      </c>
      <c r="D153" s="700" t="s">
        <v>32</v>
      </c>
      <c r="E153" s="699" t="str">
        <f>hyperlink("https://www.reddit.com/r/RMTK/comments/f1zkdu/m0145_motie_tot_het_oprichten_van_een_permanent/","Motie tot het oprichten van een permanent punt voor het inleveren van wapens")</f>
        <v>Motie tot het oprichten van een permanent punt voor het inleveren van wapens</v>
      </c>
      <c r="F153" s="687"/>
      <c r="G153" s="738" t="s">
        <v>554</v>
      </c>
      <c r="H153" s="687"/>
      <c r="I153" s="684" t="s">
        <v>723</v>
      </c>
      <c r="J153" s="690" t="s">
        <v>564</v>
      </c>
      <c r="K153" s="689"/>
      <c r="L153" s="690" t="s">
        <v>56</v>
      </c>
    </row>
    <row r="154" ht="17.25" customHeight="1">
      <c r="B154" s="684" t="s">
        <v>763</v>
      </c>
      <c r="C154" s="700" t="s">
        <v>31</v>
      </c>
      <c r="D154" s="700" t="s">
        <v>32</v>
      </c>
      <c r="E154" s="699" t="str">
        <f>hyperlink("https://www.reddit.com/r/RMTK/comments/f99ym2/m0146_motie_tot_negatief_reisadvies_naar/","Motie tot negatief reisadvies naar Noord-Italië")</f>
        <v>Motie tot negatief reisadvies naar Noord-Italië</v>
      </c>
      <c r="F154" s="687"/>
      <c r="G154" s="738" t="s">
        <v>554</v>
      </c>
      <c r="H154" s="687"/>
      <c r="I154" s="684" t="s">
        <v>624</v>
      </c>
      <c r="J154" s="690" t="s">
        <v>119</v>
      </c>
      <c r="K154" s="689"/>
      <c r="L154" s="690" t="s">
        <v>56</v>
      </c>
    </row>
    <row r="155" ht="17.25" customHeight="1">
      <c r="B155" s="684" t="s">
        <v>764</v>
      </c>
      <c r="C155" s="700" t="s">
        <v>31</v>
      </c>
      <c r="D155" s="700" t="s">
        <v>32</v>
      </c>
      <c r="E155" s="699" t="str">
        <f>HYPERLINK("https://www.reddit.com/r/RMTK/comments/falkwf/m0146_motie_tot_het_afschaffen_van_de_permanente/","Motie tot het afschaffen van de permanente identificatie plicht")</f>
        <v>Motie tot het afschaffen van de permanente identificatie plicht</v>
      </c>
      <c r="F155" s="687"/>
      <c r="G155" s="738" t="s">
        <v>554</v>
      </c>
      <c r="H155" s="687"/>
      <c r="I155" s="684" t="s">
        <v>723</v>
      </c>
      <c r="J155" s="748" t="str">
        <f>hyperlink("https://www.reddit.com/r/RMTK/comments/fur4rn/w0078_intrekkingswet_wet_op_de_identificatieplicht/","Ja")</f>
        <v>Ja</v>
      </c>
      <c r="K155" s="689"/>
      <c r="L155" s="690" t="s">
        <v>56</v>
      </c>
    </row>
    <row r="156" ht="17.25" customHeight="1">
      <c r="B156" s="684" t="s">
        <v>765</v>
      </c>
      <c r="C156" s="713" t="s">
        <v>440</v>
      </c>
      <c r="D156" s="713" t="s">
        <v>766</v>
      </c>
      <c r="E156" s="699" t="str">
        <f>HYPERLINK("https://www.reddit.com/r/RMTK/comments/fc37je/m0148_motie_tot_het_in_werking_doen_treden_van/","Motie tot het in werking doen treden van buitengewone bevoegdheden van het burgerlijk gezag")</f>
        <v>Motie tot het in werking doen treden van buitengewone bevoegdheden van het burgerlijk gezag</v>
      </c>
      <c r="F156" s="687"/>
      <c r="G156" s="738" t="s">
        <v>557</v>
      </c>
      <c r="H156" s="687"/>
      <c r="I156" s="684" t="s">
        <v>624</v>
      </c>
      <c r="J156" s="690" t="s">
        <v>119</v>
      </c>
      <c r="K156" s="689"/>
      <c r="L156" s="690" t="s">
        <v>56</v>
      </c>
    </row>
    <row r="157" ht="7.5" customHeight="1">
      <c r="A157" s="706"/>
      <c r="B157" s="706"/>
      <c r="C157" s="707"/>
      <c r="D157" s="752"/>
      <c r="E157" s="753"/>
      <c r="F157" s="709"/>
      <c r="G157" s="710"/>
      <c r="H157" s="711"/>
      <c r="I157" s="710"/>
      <c r="J157" s="706"/>
      <c r="K157" s="711"/>
      <c r="L157" s="706"/>
    </row>
    <row r="158" ht="17.25" customHeight="1">
      <c r="A158" s="754" t="s">
        <v>767</v>
      </c>
      <c r="B158" s="705" t="s">
        <v>198</v>
      </c>
      <c r="C158" s="750" t="s">
        <v>49</v>
      </c>
      <c r="D158" s="750" t="s">
        <v>200</v>
      </c>
      <c r="E158" s="755" t="str">
        <f>HYPERLINK("https://www.reddit.com/r/RMTK/comments/ftq0uh/m0149_motie_tot_het_uitvoeren_van_motie_0140_en/","Motie tot het uitvoeren van motie 0140 en motie 0144")</f>
        <v>Motie tot het uitvoeren van motie 0140 en motie 0144</v>
      </c>
      <c r="F158" s="687"/>
      <c r="G158" s="738" t="s">
        <v>554</v>
      </c>
      <c r="H158" s="687"/>
      <c r="I158" s="684" t="s">
        <v>559</v>
      </c>
      <c r="J158" s="690" t="s">
        <v>564</v>
      </c>
      <c r="K158" s="689"/>
      <c r="L158" s="690" t="s">
        <v>56</v>
      </c>
    </row>
    <row r="159" ht="17.25" customHeight="1">
      <c r="B159" s="705" t="s">
        <v>202</v>
      </c>
      <c r="C159" s="756" t="s">
        <v>31</v>
      </c>
      <c r="D159" s="756" t="s">
        <v>32</v>
      </c>
      <c r="E159" s="757" t="s">
        <v>204</v>
      </c>
      <c r="F159" s="687"/>
      <c r="G159" s="738" t="s">
        <v>554</v>
      </c>
      <c r="H159" s="687"/>
      <c r="I159" s="684" t="s">
        <v>723</v>
      </c>
      <c r="J159" s="748" t="str">
        <f>hyperlink("https://www.reddit.com/r/RMTK/g2wxl7/","Ja")</f>
        <v>Ja</v>
      </c>
      <c r="K159" s="689"/>
      <c r="L159" s="690" t="s">
        <v>56</v>
      </c>
    </row>
    <row r="160" ht="17.25" customHeight="1">
      <c r="B160" s="705" t="s">
        <v>207</v>
      </c>
      <c r="C160" s="758" t="s">
        <v>36</v>
      </c>
      <c r="D160" s="749" t="s">
        <v>44</v>
      </c>
      <c r="E160" s="759" t="s">
        <v>208</v>
      </c>
      <c r="F160" s="687"/>
      <c r="G160" s="747" t="s">
        <v>551</v>
      </c>
      <c r="H160" s="687"/>
      <c r="I160" s="684" t="s">
        <v>595</v>
      </c>
      <c r="J160" s="690" t="s">
        <v>119</v>
      </c>
      <c r="K160" s="689"/>
      <c r="L160" s="760" t="s">
        <v>768</v>
      </c>
    </row>
    <row r="161" ht="17.25" customHeight="1">
      <c r="B161" s="705" t="s">
        <v>209</v>
      </c>
      <c r="C161" s="741" t="s">
        <v>36</v>
      </c>
      <c r="D161" s="741" t="s">
        <v>153</v>
      </c>
      <c r="E161" s="757" t="s">
        <v>769</v>
      </c>
      <c r="F161" s="687"/>
      <c r="G161" s="738" t="s">
        <v>557</v>
      </c>
      <c r="H161" s="687"/>
      <c r="I161" s="684" t="s">
        <v>559</v>
      </c>
      <c r="J161" s="690" t="s">
        <v>119</v>
      </c>
      <c r="K161" s="689"/>
      <c r="L161" s="690" t="s">
        <v>56</v>
      </c>
    </row>
    <row r="162" ht="17.25" customHeight="1">
      <c r="B162" s="705" t="s">
        <v>222</v>
      </c>
      <c r="C162" s="741" t="s">
        <v>36</v>
      </c>
      <c r="D162" s="741" t="s">
        <v>153</v>
      </c>
      <c r="E162" s="757" t="s">
        <v>223</v>
      </c>
      <c r="F162" s="687"/>
      <c r="G162" s="738" t="s">
        <v>557</v>
      </c>
      <c r="H162" s="687"/>
      <c r="I162" s="684" t="s">
        <v>559</v>
      </c>
      <c r="J162" s="690" t="s">
        <v>119</v>
      </c>
      <c r="K162" s="689"/>
      <c r="L162" s="690" t="s">
        <v>56</v>
      </c>
    </row>
    <row r="163" ht="17.25" customHeight="1">
      <c r="B163" s="705" t="s">
        <v>214</v>
      </c>
      <c r="C163" s="741" t="s">
        <v>36</v>
      </c>
      <c r="D163" s="741" t="s">
        <v>153</v>
      </c>
      <c r="E163" s="757" t="s">
        <v>215</v>
      </c>
      <c r="F163" s="687"/>
      <c r="G163" s="738" t="s">
        <v>557</v>
      </c>
      <c r="H163" s="687"/>
      <c r="I163" s="684" t="s">
        <v>559</v>
      </c>
      <c r="J163" s="690" t="s">
        <v>119</v>
      </c>
      <c r="K163" s="689"/>
      <c r="L163" s="690" t="s">
        <v>56</v>
      </c>
    </row>
    <row r="164" ht="17.25" customHeight="1">
      <c r="B164" s="705" t="s">
        <v>229</v>
      </c>
      <c r="C164" s="761" t="s">
        <v>24</v>
      </c>
      <c r="D164" s="761" t="s">
        <v>25</v>
      </c>
      <c r="E164" s="757" t="s">
        <v>230</v>
      </c>
      <c r="F164" s="687"/>
      <c r="G164" s="738" t="s">
        <v>557</v>
      </c>
      <c r="H164" s="687"/>
      <c r="I164" s="684" t="s">
        <v>559</v>
      </c>
      <c r="J164" s="690" t="s">
        <v>119</v>
      </c>
      <c r="K164" s="689"/>
      <c r="L164" s="690" t="s">
        <v>56</v>
      </c>
    </row>
    <row r="165" ht="17.25" customHeight="1">
      <c r="B165" s="705" t="s">
        <v>231</v>
      </c>
      <c r="C165" s="741" t="s">
        <v>36</v>
      </c>
      <c r="D165" s="741" t="s">
        <v>153</v>
      </c>
      <c r="E165" s="757" t="s">
        <v>232</v>
      </c>
      <c r="F165" s="687"/>
      <c r="G165" s="738" t="s">
        <v>557</v>
      </c>
      <c r="H165" s="687"/>
      <c r="I165" s="684" t="s">
        <v>593</v>
      </c>
      <c r="J165" s="690" t="s">
        <v>119</v>
      </c>
      <c r="K165" s="689"/>
      <c r="L165" s="690" t="s">
        <v>56</v>
      </c>
    </row>
    <row r="166" ht="17.25" customHeight="1">
      <c r="B166" s="705" t="s">
        <v>237</v>
      </c>
      <c r="C166" s="741" t="s">
        <v>36</v>
      </c>
      <c r="D166" s="741" t="s">
        <v>153</v>
      </c>
      <c r="E166" s="757" t="s">
        <v>238</v>
      </c>
      <c r="F166" s="687"/>
      <c r="G166" s="738" t="s">
        <v>557</v>
      </c>
      <c r="H166" s="687"/>
      <c r="I166" s="684" t="s">
        <v>559</v>
      </c>
      <c r="J166" s="690" t="s">
        <v>119</v>
      </c>
      <c r="K166" s="689"/>
      <c r="L166" s="690" t="s">
        <v>56</v>
      </c>
    </row>
    <row r="167" ht="17.25" customHeight="1">
      <c r="B167" s="705" t="s">
        <v>247</v>
      </c>
      <c r="C167" s="741" t="s">
        <v>36</v>
      </c>
      <c r="D167" s="741" t="s">
        <v>153</v>
      </c>
      <c r="E167" s="757" t="s">
        <v>248</v>
      </c>
      <c r="F167" s="687"/>
      <c r="G167" s="738" t="s">
        <v>557</v>
      </c>
      <c r="H167" s="687"/>
      <c r="I167" s="684" t="s">
        <v>559</v>
      </c>
      <c r="J167" s="690" t="s">
        <v>119</v>
      </c>
      <c r="K167" s="689"/>
      <c r="L167" s="690" t="s">
        <v>56</v>
      </c>
    </row>
    <row r="168" ht="17.25" customHeight="1">
      <c r="B168" s="705" t="s">
        <v>251</v>
      </c>
      <c r="C168" s="761" t="s">
        <v>24</v>
      </c>
      <c r="D168" s="761" t="s">
        <v>25</v>
      </c>
      <c r="E168" s="757" t="s">
        <v>252</v>
      </c>
      <c r="F168" s="687"/>
      <c r="G168" s="738" t="s">
        <v>557</v>
      </c>
      <c r="H168" s="687"/>
      <c r="I168" s="684" t="s">
        <v>593</v>
      </c>
      <c r="J168" s="690" t="s">
        <v>119</v>
      </c>
      <c r="K168" s="689"/>
      <c r="L168" s="690" t="s">
        <v>56</v>
      </c>
    </row>
    <row r="169" ht="17.25" customHeight="1">
      <c r="B169" s="705" t="s">
        <v>255</v>
      </c>
      <c r="C169" s="741" t="s">
        <v>36</v>
      </c>
      <c r="D169" s="741" t="s">
        <v>44</v>
      </c>
      <c r="E169" s="757" t="s">
        <v>256</v>
      </c>
      <c r="F169" s="687"/>
      <c r="G169" s="738" t="s">
        <v>557</v>
      </c>
      <c r="H169" s="687"/>
      <c r="I169" s="684" t="s">
        <v>750</v>
      </c>
      <c r="J169" s="690" t="s">
        <v>119</v>
      </c>
      <c r="K169" s="689"/>
      <c r="L169" s="690" t="s">
        <v>56</v>
      </c>
    </row>
    <row r="170" ht="17.25" customHeight="1">
      <c r="B170" s="705" t="s">
        <v>260</v>
      </c>
      <c r="C170" s="741" t="s">
        <v>36</v>
      </c>
      <c r="D170" s="741" t="s">
        <v>153</v>
      </c>
      <c r="E170" s="757" t="s">
        <v>261</v>
      </c>
      <c r="F170" s="687"/>
      <c r="G170" s="738" t="s">
        <v>554</v>
      </c>
      <c r="H170" s="687"/>
      <c r="I170" s="684" t="s">
        <v>750</v>
      </c>
      <c r="J170" s="690" t="s">
        <v>564</v>
      </c>
      <c r="K170" s="689"/>
      <c r="L170" s="690" t="s">
        <v>56</v>
      </c>
    </row>
    <row r="171" ht="17.25" customHeight="1">
      <c r="B171" s="705" t="s">
        <v>268</v>
      </c>
      <c r="C171" s="741" t="s">
        <v>36</v>
      </c>
      <c r="D171" s="741" t="s">
        <v>153</v>
      </c>
      <c r="E171" s="757" t="s">
        <v>269</v>
      </c>
      <c r="F171" s="687"/>
      <c r="G171" s="738" t="s">
        <v>557</v>
      </c>
      <c r="H171" s="687"/>
      <c r="I171" s="684" t="s">
        <v>723</v>
      </c>
      <c r="J171" s="690" t="s">
        <v>119</v>
      </c>
      <c r="K171" s="689"/>
      <c r="L171" s="690" t="s">
        <v>56</v>
      </c>
    </row>
    <row r="172" ht="17.25" customHeight="1">
      <c r="B172" s="705" t="s">
        <v>219</v>
      </c>
      <c r="C172" s="761" t="s">
        <v>24</v>
      </c>
      <c r="D172" s="761" t="s">
        <v>25</v>
      </c>
      <c r="E172" s="757" t="s">
        <v>220</v>
      </c>
      <c r="F172" s="687"/>
      <c r="G172" s="738" t="s">
        <v>554</v>
      </c>
      <c r="H172" s="687"/>
      <c r="I172" s="684" t="s">
        <v>508</v>
      </c>
      <c r="J172" s="690" t="s">
        <v>119</v>
      </c>
      <c r="K172" s="689"/>
      <c r="L172" s="690" t="s">
        <v>56</v>
      </c>
    </row>
    <row r="173" ht="17.25" customHeight="1">
      <c r="B173" s="705" t="s">
        <v>279</v>
      </c>
      <c r="C173" s="741" t="s">
        <v>36</v>
      </c>
      <c r="D173" s="741" t="s">
        <v>153</v>
      </c>
      <c r="E173" s="757" t="s">
        <v>280</v>
      </c>
      <c r="F173" s="687"/>
      <c r="G173" s="738" t="s">
        <v>557</v>
      </c>
      <c r="H173" s="687"/>
      <c r="I173" s="684" t="s">
        <v>593</v>
      </c>
      <c r="J173" s="690" t="s">
        <v>119</v>
      </c>
      <c r="K173" s="689"/>
      <c r="L173" s="690" t="s">
        <v>56</v>
      </c>
    </row>
    <row r="174" ht="17.25" customHeight="1">
      <c r="B174" s="705" t="s">
        <v>281</v>
      </c>
      <c r="C174" s="741" t="s">
        <v>36</v>
      </c>
      <c r="D174" s="741" t="s">
        <v>155</v>
      </c>
      <c r="E174" s="757" t="s">
        <v>282</v>
      </c>
      <c r="F174" s="687"/>
      <c r="G174" s="738" t="s">
        <v>554</v>
      </c>
      <c r="H174" s="687"/>
      <c r="I174" s="684" t="s">
        <v>624</v>
      </c>
      <c r="J174" s="690" t="s">
        <v>564</v>
      </c>
      <c r="K174" s="689"/>
      <c r="L174" s="690" t="s">
        <v>56</v>
      </c>
    </row>
    <row r="175" ht="17.25" customHeight="1">
      <c r="B175" s="705" t="s">
        <v>288</v>
      </c>
      <c r="C175" s="741" t="s">
        <v>36</v>
      </c>
      <c r="D175" s="741" t="s">
        <v>153</v>
      </c>
      <c r="E175" s="757" t="s">
        <v>289</v>
      </c>
      <c r="F175" s="687"/>
      <c r="G175" s="738" t="s">
        <v>557</v>
      </c>
      <c r="H175" s="687"/>
      <c r="I175" s="684" t="s">
        <v>750</v>
      </c>
      <c r="J175" s="690" t="s">
        <v>119</v>
      </c>
      <c r="K175" s="689"/>
      <c r="L175" s="690" t="s">
        <v>56</v>
      </c>
    </row>
    <row r="176" ht="17.25" customHeight="1">
      <c r="B176" s="705" t="s">
        <v>293</v>
      </c>
      <c r="C176" s="762" t="s">
        <v>15</v>
      </c>
      <c r="D176" s="762" t="s">
        <v>121</v>
      </c>
      <c r="E176" s="763" t="s">
        <v>295</v>
      </c>
      <c r="F176" s="687"/>
      <c r="G176" s="738" t="s">
        <v>554</v>
      </c>
      <c r="H176" s="687"/>
      <c r="I176" s="684" t="s">
        <v>624</v>
      </c>
      <c r="J176" s="690" t="s">
        <v>564</v>
      </c>
      <c r="K176" s="689"/>
      <c r="L176" s="690" t="s">
        <v>56</v>
      </c>
    </row>
    <row r="177" ht="17.25" customHeight="1">
      <c r="B177" s="705" t="s">
        <v>301</v>
      </c>
      <c r="C177" s="741" t="s">
        <v>36</v>
      </c>
      <c r="D177" s="741" t="s">
        <v>44</v>
      </c>
      <c r="E177" s="757" t="s">
        <v>302</v>
      </c>
      <c r="F177" s="687"/>
      <c r="G177" s="738" t="s">
        <v>554</v>
      </c>
      <c r="H177" s="687"/>
      <c r="I177" s="684" t="s">
        <v>750</v>
      </c>
      <c r="J177" s="690" t="s">
        <v>564</v>
      </c>
      <c r="K177" s="689"/>
      <c r="L177" s="764"/>
    </row>
    <row r="178" ht="17.25" customHeight="1">
      <c r="B178" s="705" t="s">
        <v>303</v>
      </c>
      <c r="C178" s="741" t="s">
        <v>36</v>
      </c>
      <c r="D178" s="741" t="s">
        <v>153</v>
      </c>
      <c r="E178" s="763" t="s">
        <v>304</v>
      </c>
      <c r="F178" s="687"/>
      <c r="G178" s="738" t="s">
        <v>557</v>
      </c>
      <c r="H178" s="687"/>
      <c r="I178" s="684" t="s">
        <v>750</v>
      </c>
      <c r="J178" s="690" t="s">
        <v>119</v>
      </c>
      <c r="K178" s="689"/>
      <c r="L178" s="764"/>
    </row>
    <row r="179" ht="17.25" customHeight="1">
      <c r="B179" s="705" t="s">
        <v>310</v>
      </c>
      <c r="C179" s="756" t="s">
        <v>31</v>
      </c>
      <c r="D179" s="756" t="s">
        <v>149</v>
      </c>
      <c r="E179" s="757" t="str">
        <f>HYPERLINK("https://www.reddit.com/r/RMTK/comments/gdvpgj/m0170_motie_tot_het_verhogen_van_salarissen_voor/","Motie tot het verhogen van salarissen voor leraren in het basisonderwijs")</f>
        <v>Motie tot het verhogen van salarissen voor leraren in het basisonderwijs</v>
      </c>
      <c r="F179" s="687"/>
      <c r="G179" s="738" t="s">
        <v>554</v>
      </c>
      <c r="H179" s="687"/>
      <c r="I179" s="684" t="s">
        <v>593</v>
      </c>
      <c r="J179" s="690" t="s">
        <v>564</v>
      </c>
      <c r="K179" s="689"/>
      <c r="L179" s="764"/>
    </row>
    <row r="180" ht="17.25" customHeight="1">
      <c r="B180" s="705" t="s">
        <v>315</v>
      </c>
      <c r="C180" s="741" t="s">
        <v>36</v>
      </c>
      <c r="D180" s="741" t="s">
        <v>153</v>
      </c>
      <c r="E180" s="765" t="str">
        <f>HYPERLINK("https://www.reddit.com/r/RMTK/comments/gf4gid/m0171_motie_tot_vak_belastingaangifte/","Motie tot vak belastingaangifte")</f>
        <v>Motie tot vak belastingaangifte</v>
      </c>
      <c r="F180" s="687"/>
      <c r="G180" s="738" t="s">
        <v>557</v>
      </c>
      <c r="H180" s="687"/>
      <c r="I180" s="684" t="s">
        <v>593</v>
      </c>
      <c r="J180" s="690" t="s">
        <v>119</v>
      </c>
      <c r="K180" s="689"/>
      <c r="L180" s="764"/>
    </row>
    <row r="181" ht="17.25" customHeight="1">
      <c r="B181" s="705" t="s">
        <v>86</v>
      </c>
      <c r="C181" s="741" t="s">
        <v>36</v>
      </c>
      <c r="D181" s="741" t="s">
        <v>153</v>
      </c>
      <c r="E181" s="765" t="str">
        <f>HYPERLINK("https://www.reddit.com/r/RMTK/comments/gi92kk/m0172_motie_tot_belastingvrije_voet_voor_alle/","Motie tot belastingvrije voet voor alle Nederlanders")</f>
        <v>Motie tot belastingvrije voet voor alle Nederlanders</v>
      </c>
      <c r="F181" s="687"/>
      <c r="G181" s="738" t="s">
        <v>554</v>
      </c>
      <c r="H181" s="687"/>
      <c r="I181" s="684" t="s">
        <v>595</v>
      </c>
      <c r="J181" s="690" t="s">
        <v>564</v>
      </c>
      <c r="K181" s="689"/>
      <c r="L181" s="764"/>
    </row>
    <row r="182" ht="17.25" customHeight="1">
      <c r="B182" s="705" t="s">
        <v>92</v>
      </c>
      <c r="C182" s="741" t="s">
        <v>36</v>
      </c>
      <c r="D182" s="741" t="s">
        <v>153</v>
      </c>
      <c r="E182" s="757" t="str">
        <f>hyperlink("https://www.reddit.com/r/RMTK/comments/gmmcvr/m0173_motie_tot_halveren_wachtgeld/","Motie tot halveren wachtgeld")</f>
        <v>Motie tot halveren wachtgeld</v>
      </c>
      <c r="F182" s="687"/>
      <c r="G182" s="738" t="s">
        <v>557</v>
      </c>
      <c r="H182" s="687"/>
      <c r="I182" s="684" t="s">
        <v>723</v>
      </c>
      <c r="J182" s="690" t="s">
        <v>119</v>
      </c>
      <c r="K182" s="689"/>
      <c r="L182" s="764"/>
    </row>
    <row r="183" ht="17.25" customHeight="1">
      <c r="B183" s="705" t="s">
        <v>93</v>
      </c>
      <c r="C183" s="741" t="s">
        <v>36</v>
      </c>
      <c r="D183" s="741" t="s">
        <v>153</v>
      </c>
      <c r="E183" s="765" t="str">
        <f>HYPERLINK("https://www.reddit.com/r/RMTK/comments/gqx5uq/m0174_motie_tot_instellen_tuchtcommissie_wachtgeld/","Motie tot instellen tuchtcommissie wachtgeld")</f>
        <v>Motie tot instellen tuchtcommissie wachtgeld</v>
      </c>
      <c r="F183" s="687"/>
      <c r="G183" s="738" t="s">
        <v>557</v>
      </c>
      <c r="H183" s="687"/>
      <c r="I183" s="684" t="s">
        <v>723</v>
      </c>
      <c r="J183" s="690" t="s">
        <v>119</v>
      </c>
      <c r="K183" s="689"/>
      <c r="L183" s="764"/>
    </row>
    <row r="184" ht="17.25" customHeight="1">
      <c r="B184" s="705" t="s">
        <v>94</v>
      </c>
      <c r="C184" s="741" t="s">
        <v>36</v>
      </c>
      <c r="D184" s="741" t="s">
        <v>37</v>
      </c>
      <c r="E184" s="765" t="str">
        <f>hyperlink("https://www.reddit.com/r/RMTK/comments/giyl4h/m0175_motie_tot_het_vergroten_van_het_aandeel/","Motie tot het vergroten van het aandeel door middel van kernenergie opgewekte elektriciteit")</f>
        <v>Motie tot het vergroten van het aandeel door middel van kernenergie opgewekte elektriciteit</v>
      </c>
      <c r="F184" s="687"/>
      <c r="G184" s="738" t="s">
        <v>554</v>
      </c>
      <c r="H184" s="687"/>
      <c r="I184" s="684" t="s">
        <v>728</v>
      </c>
      <c r="J184" s="690" t="s">
        <v>564</v>
      </c>
      <c r="K184" s="689"/>
      <c r="L184" s="764"/>
    </row>
    <row r="185" ht="17.25" customHeight="1">
      <c r="B185" s="705" t="s">
        <v>95</v>
      </c>
      <c r="C185" s="762" t="s">
        <v>15</v>
      </c>
      <c r="D185" s="762" t="s">
        <v>121</v>
      </c>
      <c r="E185" s="765" t="str">
        <f>hyperlink("https://www.reddit.com/r/RMTK/comments/gjm78i/m0176a_motie_tot_het_aanpassen_van_het_stemrecht/","Motie tot het aanpassen van het stemrecht op basis van belastingbetaling")</f>
        <v>Motie tot het aanpassen van het stemrecht op basis van belastingbetaling</v>
      </c>
      <c r="F185" s="687"/>
      <c r="G185" s="738" t="s">
        <v>557</v>
      </c>
      <c r="H185" s="687"/>
      <c r="I185" s="684" t="s">
        <v>723</v>
      </c>
      <c r="J185" s="690" t="s">
        <v>119</v>
      </c>
      <c r="K185" s="689"/>
      <c r="L185" s="764"/>
    </row>
    <row r="186" ht="17.25" customHeight="1">
      <c r="B186" s="705" t="s">
        <v>96</v>
      </c>
      <c r="C186" s="756" t="s">
        <v>31</v>
      </c>
      <c r="D186" s="756" t="s">
        <v>32</v>
      </c>
      <c r="E186" s="757" t="s">
        <v>334</v>
      </c>
      <c r="F186" s="687"/>
      <c r="G186" s="738" t="s">
        <v>557</v>
      </c>
      <c r="H186" s="687"/>
      <c r="I186" s="684" t="s">
        <v>595</v>
      </c>
      <c r="J186" s="690" t="s">
        <v>119</v>
      </c>
      <c r="K186" s="689"/>
      <c r="L186" s="764"/>
    </row>
    <row r="187" ht="17.25" customHeight="1">
      <c r="B187" s="705" t="s">
        <v>308</v>
      </c>
      <c r="C187" s="756" t="s">
        <v>31</v>
      </c>
      <c r="D187" s="756" t="s">
        <v>32</v>
      </c>
      <c r="E187" s="757" t="s">
        <v>770</v>
      </c>
      <c r="F187" s="687"/>
      <c r="G187" s="738" t="s">
        <v>554</v>
      </c>
      <c r="H187" s="687"/>
      <c r="I187" s="684" t="s">
        <v>559</v>
      </c>
      <c r="J187" s="690" t="s">
        <v>564</v>
      </c>
      <c r="K187" s="689"/>
      <c r="L187" s="764"/>
    </row>
    <row r="188" ht="17.25" customHeight="1">
      <c r="B188" s="705" t="s">
        <v>311</v>
      </c>
      <c r="C188" s="741" t="s">
        <v>36</v>
      </c>
      <c r="D188" s="741" t="s">
        <v>155</v>
      </c>
      <c r="E188" s="757" t="s">
        <v>312</v>
      </c>
      <c r="F188" s="687"/>
      <c r="G188" s="738" t="s">
        <v>554</v>
      </c>
      <c r="H188" s="687"/>
      <c r="I188" s="684" t="s">
        <v>593</v>
      </c>
      <c r="J188" s="690" t="s">
        <v>564</v>
      </c>
      <c r="K188" s="689"/>
      <c r="L188" s="764"/>
    </row>
    <row r="189" ht="17.25" customHeight="1">
      <c r="B189" s="705" t="s">
        <v>87</v>
      </c>
      <c r="C189" s="756" t="s">
        <v>31</v>
      </c>
      <c r="D189" s="756" t="s">
        <v>149</v>
      </c>
      <c r="E189" s="757" t="s">
        <v>335</v>
      </c>
      <c r="F189" s="687"/>
      <c r="G189" s="738" t="s">
        <v>554</v>
      </c>
      <c r="H189" s="687"/>
      <c r="I189" s="684" t="s">
        <v>624</v>
      </c>
      <c r="J189" s="690" t="s">
        <v>564</v>
      </c>
      <c r="K189" s="689"/>
      <c r="L189" s="764"/>
    </row>
    <row r="190" ht="17.25" customHeight="1">
      <c r="B190" s="705" t="s">
        <v>97</v>
      </c>
      <c r="C190" s="756" t="s">
        <v>31</v>
      </c>
      <c r="D190" s="756" t="s">
        <v>32</v>
      </c>
      <c r="E190" s="757" t="s">
        <v>345</v>
      </c>
      <c r="F190" s="687"/>
      <c r="G190" s="738" t="s">
        <v>557</v>
      </c>
      <c r="H190" s="687"/>
      <c r="I190" s="684" t="s">
        <v>559</v>
      </c>
      <c r="J190" s="690" t="s">
        <v>119</v>
      </c>
      <c r="K190" s="689"/>
      <c r="L190" s="764"/>
    </row>
    <row r="191" ht="17.25" customHeight="1">
      <c r="B191" s="705" t="s">
        <v>323</v>
      </c>
      <c r="C191" s="756" t="s">
        <v>31</v>
      </c>
      <c r="D191" s="756" t="s">
        <v>32</v>
      </c>
      <c r="E191" s="766" t="s">
        <v>324</v>
      </c>
      <c r="F191" s="687"/>
      <c r="G191" s="738" t="s">
        <v>557</v>
      </c>
      <c r="H191" s="687"/>
      <c r="I191" s="684" t="s">
        <v>559</v>
      </c>
      <c r="J191" s="690" t="s">
        <v>119</v>
      </c>
      <c r="K191" s="689"/>
      <c r="L191" s="764"/>
    </row>
    <row r="192" ht="17.25" customHeight="1">
      <c r="B192" s="705" t="s">
        <v>85</v>
      </c>
      <c r="C192" s="762" t="s">
        <v>15</v>
      </c>
      <c r="D192" s="762" t="s">
        <v>662</v>
      </c>
      <c r="E192" s="757" t="s">
        <v>333</v>
      </c>
      <c r="F192" s="687"/>
      <c r="G192" s="738" t="s">
        <v>771</v>
      </c>
      <c r="H192" s="687"/>
      <c r="I192" s="684" t="s">
        <v>559</v>
      </c>
      <c r="J192" s="690" t="s">
        <v>119</v>
      </c>
      <c r="K192" s="689"/>
      <c r="L192" s="764"/>
    </row>
    <row r="193" ht="17.25" customHeight="1">
      <c r="B193" s="705" t="s">
        <v>355</v>
      </c>
      <c r="C193" s="741" t="s">
        <v>36</v>
      </c>
      <c r="D193" s="741" t="s">
        <v>155</v>
      </c>
      <c r="E193" s="767" t="s">
        <v>772</v>
      </c>
      <c r="F193" s="687"/>
      <c r="G193" s="738" t="s">
        <v>771</v>
      </c>
      <c r="H193" s="687"/>
      <c r="I193" s="684" t="s">
        <v>723</v>
      </c>
      <c r="J193" s="690" t="s">
        <v>119</v>
      </c>
      <c r="K193" s="689"/>
      <c r="L193" s="764"/>
    </row>
    <row r="194" ht="17.25" customHeight="1">
      <c r="B194" s="705" t="s">
        <v>88</v>
      </c>
      <c r="C194" s="768" t="s">
        <v>43</v>
      </c>
      <c r="D194" s="768" t="s">
        <v>44</v>
      </c>
      <c r="E194" s="757" t="s">
        <v>339</v>
      </c>
      <c r="F194" s="687"/>
      <c r="G194" s="738" t="s">
        <v>557</v>
      </c>
      <c r="H194" s="687"/>
      <c r="I194" s="684" t="s">
        <v>723</v>
      </c>
      <c r="J194" s="690" t="s">
        <v>119</v>
      </c>
      <c r="K194" s="689"/>
      <c r="L194" s="764"/>
    </row>
    <row r="195" ht="17.25" customHeight="1">
      <c r="B195" s="705" t="s">
        <v>363</v>
      </c>
      <c r="C195" s="741" t="s">
        <v>36</v>
      </c>
      <c r="D195" s="741" t="s">
        <v>155</v>
      </c>
      <c r="E195" s="767" t="s">
        <v>364</v>
      </c>
      <c r="F195" s="687"/>
      <c r="G195" s="738" t="s">
        <v>771</v>
      </c>
      <c r="H195" s="687"/>
      <c r="I195" s="684" t="s">
        <v>559</v>
      </c>
      <c r="J195" s="690" t="s">
        <v>119</v>
      </c>
      <c r="K195" s="689"/>
      <c r="L195" s="764"/>
    </row>
    <row r="196" ht="17.25" customHeight="1">
      <c r="B196" s="705" t="s">
        <v>365</v>
      </c>
      <c r="C196" s="768" t="s">
        <v>43</v>
      </c>
      <c r="D196" s="768" t="s">
        <v>44</v>
      </c>
      <c r="E196" s="767" t="s">
        <v>366</v>
      </c>
      <c r="F196" s="687"/>
      <c r="G196" s="738" t="s">
        <v>771</v>
      </c>
      <c r="H196" s="687"/>
      <c r="I196" s="684" t="s">
        <v>723</v>
      </c>
      <c r="J196" s="690" t="s">
        <v>119</v>
      </c>
      <c r="K196" s="689"/>
      <c r="L196" s="764"/>
    </row>
    <row r="197" ht="17.25" customHeight="1">
      <c r="B197" s="705" t="s">
        <v>367</v>
      </c>
      <c r="C197" s="761" t="s">
        <v>24</v>
      </c>
      <c r="D197" s="761" t="s">
        <v>25</v>
      </c>
      <c r="E197" s="767" t="s">
        <v>368</v>
      </c>
      <c r="F197" s="687"/>
      <c r="G197" s="738" t="s">
        <v>771</v>
      </c>
      <c r="H197" s="687"/>
      <c r="I197" s="684" t="s">
        <v>728</v>
      </c>
      <c r="J197" s="690" t="s">
        <v>119</v>
      </c>
      <c r="K197" s="689"/>
      <c r="L197" s="764"/>
    </row>
    <row r="198" ht="17.25" customHeight="1">
      <c r="B198" s="705" t="s">
        <v>373</v>
      </c>
      <c r="C198" s="761" t="s">
        <v>24</v>
      </c>
      <c r="D198" s="761" t="s">
        <v>25</v>
      </c>
      <c r="E198" s="767" t="s">
        <v>374</v>
      </c>
      <c r="F198" s="687"/>
      <c r="G198" s="738" t="s">
        <v>771</v>
      </c>
      <c r="H198" s="687"/>
      <c r="I198" s="684" t="s">
        <v>595</v>
      </c>
      <c r="J198" s="690" t="s">
        <v>119</v>
      </c>
      <c r="K198" s="689"/>
      <c r="L198" s="764"/>
    </row>
    <row r="199" ht="17.25" customHeight="1">
      <c r="B199" s="705" t="s">
        <v>382</v>
      </c>
      <c r="C199" s="761" t="s">
        <v>24</v>
      </c>
      <c r="D199" s="761" t="s">
        <v>25</v>
      </c>
      <c r="E199" s="767" t="s">
        <v>383</v>
      </c>
      <c r="F199" s="687"/>
      <c r="G199" s="738" t="s">
        <v>771</v>
      </c>
      <c r="H199" s="687"/>
      <c r="I199" s="684" t="s">
        <v>624</v>
      </c>
      <c r="J199" s="690" t="s">
        <v>119</v>
      </c>
      <c r="K199" s="689"/>
      <c r="L199" s="764"/>
    </row>
    <row r="200" ht="17.25" customHeight="1">
      <c r="B200" s="705" t="s">
        <v>386</v>
      </c>
      <c r="C200" s="756" t="s">
        <v>31</v>
      </c>
      <c r="D200" s="756" t="s">
        <v>32</v>
      </c>
      <c r="E200" s="767" t="s">
        <v>387</v>
      </c>
      <c r="F200" s="687"/>
      <c r="G200" s="738" t="s">
        <v>771</v>
      </c>
      <c r="H200" s="687"/>
      <c r="I200" s="684" t="s">
        <v>559</v>
      </c>
      <c r="J200" s="690" t="s">
        <v>119</v>
      </c>
      <c r="K200" s="689"/>
      <c r="L200" s="764"/>
    </row>
    <row r="201" ht="17.25" customHeight="1">
      <c r="B201" s="705" t="s">
        <v>390</v>
      </c>
      <c r="C201" s="762" t="s">
        <v>15</v>
      </c>
      <c r="D201" s="762" t="s">
        <v>122</v>
      </c>
      <c r="E201" s="769" t="s">
        <v>391</v>
      </c>
      <c r="F201" s="687"/>
      <c r="G201" s="738" t="s">
        <v>771</v>
      </c>
      <c r="H201" s="687"/>
      <c r="I201" s="684" t="s">
        <v>723</v>
      </c>
      <c r="J201" s="690" t="s">
        <v>119</v>
      </c>
      <c r="K201" s="689"/>
      <c r="L201" s="764"/>
    </row>
    <row r="202" ht="17.25" customHeight="1">
      <c r="B202" s="705" t="s">
        <v>394</v>
      </c>
      <c r="C202" s="768" t="s">
        <v>43</v>
      </c>
      <c r="D202" s="770" t="s">
        <v>378</v>
      </c>
      <c r="E202" s="769" t="s">
        <v>395</v>
      </c>
      <c r="F202" s="687"/>
      <c r="G202" s="738" t="s">
        <v>771</v>
      </c>
      <c r="H202" s="687"/>
      <c r="I202" s="684" t="s">
        <v>728</v>
      </c>
      <c r="J202" s="690" t="s">
        <v>119</v>
      </c>
      <c r="K202" s="689"/>
      <c r="L202" s="764"/>
    </row>
    <row r="203" ht="17.25" customHeight="1">
      <c r="B203" s="705" t="s">
        <v>98</v>
      </c>
      <c r="C203" s="741" t="s">
        <v>36</v>
      </c>
      <c r="D203" s="741" t="s">
        <v>157</v>
      </c>
      <c r="E203" s="771" t="s">
        <v>773</v>
      </c>
      <c r="F203" s="687"/>
      <c r="G203" s="738" t="s">
        <v>554</v>
      </c>
      <c r="H203" s="687"/>
      <c r="I203" s="684" t="s">
        <v>774</v>
      </c>
      <c r="J203" s="690" t="s">
        <v>636</v>
      </c>
      <c r="K203" s="689"/>
      <c r="L203" s="764"/>
    </row>
    <row r="204" ht="17.25" customHeight="1">
      <c r="B204" s="705" t="s">
        <v>375</v>
      </c>
      <c r="C204" s="761" t="s">
        <v>24</v>
      </c>
      <c r="D204" s="761" t="s">
        <v>123</v>
      </c>
      <c r="E204" s="771" t="s">
        <v>376</v>
      </c>
      <c r="F204" s="687"/>
      <c r="G204" s="738" t="s">
        <v>771</v>
      </c>
      <c r="H204" s="687"/>
      <c r="I204" s="684" t="s">
        <v>624</v>
      </c>
      <c r="J204" s="690" t="s">
        <v>119</v>
      </c>
      <c r="K204" s="689"/>
      <c r="L204" s="764"/>
    </row>
    <row r="205" ht="17.25" customHeight="1">
      <c r="B205" s="705" t="s">
        <v>377</v>
      </c>
      <c r="C205" s="768" t="s">
        <v>43</v>
      </c>
      <c r="D205" s="770" t="s">
        <v>378</v>
      </c>
      <c r="E205" s="771" t="s">
        <v>379</v>
      </c>
      <c r="F205" s="687"/>
      <c r="G205" s="738" t="s">
        <v>771</v>
      </c>
      <c r="H205" s="687"/>
      <c r="I205" s="684" t="s">
        <v>728</v>
      </c>
      <c r="J205" s="690" t="s">
        <v>119</v>
      </c>
      <c r="K205" s="689"/>
      <c r="L205" s="764"/>
    </row>
    <row r="206" ht="17.25" customHeight="1">
      <c r="B206" s="705" t="s">
        <v>353</v>
      </c>
      <c r="C206" s="750" t="s">
        <v>49</v>
      </c>
      <c r="D206" s="750" t="s">
        <v>200</v>
      </c>
      <c r="E206" s="771" t="s">
        <v>354</v>
      </c>
      <c r="F206" s="687"/>
      <c r="G206" s="738" t="s">
        <v>771</v>
      </c>
      <c r="H206" s="687"/>
      <c r="I206" s="684" t="s">
        <v>559</v>
      </c>
      <c r="J206" s="690" t="s">
        <v>119</v>
      </c>
      <c r="K206" s="689"/>
      <c r="L206" s="764"/>
    </row>
    <row r="207" ht="17.25" customHeight="1">
      <c r="B207" s="705" t="s">
        <v>392</v>
      </c>
      <c r="C207" s="756" t="s">
        <v>31</v>
      </c>
      <c r="D207" s="756" t="s">
        <v>149</v>
      </c>
      <c r="E207" s="763" t="s">
        <v>393</v>
      </c>
      <c r="F207" s="687"/>
      <c r="G207" s="738" t="s">
        <v>771</v>
      </c>
      <c r="H207" s="687"/>
      <c r="I207" s="684" t="s">
        <v>723</v>
      </c>
      <c r="J207" s="690" t="s">
        <v>119</v>
      </c>
      <c r="K207" s="689"/>
      <c r="L207" s="764"/>
    </row>
    <row r="208" ht="17.25" customHeight="1">
      <c r="B208" s="705" t="s">
        <v>404</v>
      </c>
      <c r="C208" s="761" t="s">
        <v>24</v>
      </c>
      <c r="D208" s="761" t="s">
        <v>123</v>
      </c>
      <c r="E208" s="772" t="s">
        <v>405</v>
      </c>
      <c r="F208" s="687"/>
      <c r="G208" s="738" t="s">
        <v>771</v>
      </c>
      <c r="H208" s="687"/>
      <c r="I208" s="684" t="s">
        <v>750</v>
      </c>
      <c r="J208" s="690" t="s">
        <v>119</v>
      </c>
      <c r="K208" s="689"/>
      <c r="L208" s="764"/>
    </row>
    <row r="209" ht="17.25" customHeight="1">
      <c r="B209" s="705" t="s">
        <v>416</v>
      </c>
      <c r="C209" s="761" t="s">
        <v>24</v>
      </c>
      <c r="D209" s="761" t="s">
        <v>123</v>
      </c>
      <c r="E209" s="772" t="s">
        <v>417</v>
      </c>
      <c r="F209" s="687"/>
      <c r="G209" s="738" t="s">
        <v>771</v>
      </c>
      <c r="H209" s="687"/>
      <c r="I209" s="684" t="s">
        <v>728</v>
      </c>
      <c r="J209" s="690" t="s">
        <v>119</v>
      </c>
      <c r="K209" s="689"/>
      <c r="L209" s="764"/>
    </row>
    <row r="210" ht="17.25" customHeight="1">
      <c r="B210" s="705" t="s">
        <v>426</v>
      </c>
      <c r="C210" s="761" t="s">
        <v>24</v>
      </c>
      <c r="D210" s="761" t="s">
        <v>123</v>
      </c>
      <c r="E210" s="772" t="s">
        <v>427</v>
      </c>
      <c r="F210" s="687"/>
      <c r="G210" s="738" t="s">
        <v>771</v>
      </c>
      <c r="H210" s="687"/>
      <c r="I210" s="684" t="s">
        <v>728</v>
      </c>
      <c r="J210" s="690" t="s">
        <v>119</v>
      </c>
      <c r="K210" s="689"/>
      <c r="L210" s="764"/>
    </row>
    <row r="211" ht="17.25" customHeight="1">
      <c r="B211" s="705" t="s">
        <v>430</v>
      </c>
      <c r="C211" s="761" t="s">
        <v>24</v>
      </c>
      <c r="D211" s="761" t="s">
        <v>123</v>
      </c>
      <c r="E211" s="772" t="s">
        <v>431</v>
      </c>
      <c r="F211" s="687"/>
      <c r="G211" s="738" t="s">
        <v>771</v>
      </c>
      <c r="H211" s="687"/>
      <c r="I211" s="684" t="s">
        <v>728</v>
      </c>
      <c r="J211" s="690" t="s">
        <v>119</v>
      </c>
      <c r="K211" s="689"/>
      <c r="L211" s="764"/>
    </row>
    <row r="212" ht="17.25" customHeight="1">
      <c r="B212" s="705" t="s">
        <v>401</v>
      </c>
      <c r="C212" s="768" t="s">
        <v>43</v>
      </c>
      <c r="D212" s="768" t="s">
        <v>44</v>
      </c>
      <c r="E212" s="773" t="s">
        <v>402</v>
      </c>
      <c r="F212" s="687"/>
      <c r="G212" s="738" t="s">
        <v>771</v>
      </c>
      <c r="H212" s="687"/>
      <c r="I212" s="684" t="s">
        <v>723</v>
      </c>
      <c r="J212" s="690" t="s">
        <v>119</v>
      </c>
      <c r="K212" s="689"/>
      <c r="L212" s="764"/>
    </row>
    <row r="213">
      <c r="B213" s="705" t="s">
        <v>99</v>
      </c>
      <c r="C213" s="768" t="s">
        <v>43</v>
      </c>
      <c r="D213" s="768" t="s">
        <v>44</v>
      </c>
      <c r="E213" s="774" t="s">
        <v>357</v>
      </c>
      <c r="F213" s="687"/>
      <c r="G213" s="738" t="s">
        <v>557</v>
      </c>
      <c r="H213" s="687"/>
      <c r="I213" s="684" t="s">
        <v>750</v>
      </c>
      <c r="J213" s="690" t="s">
        <v>119</v>
      </c>
      <c r="K213" s="689"/>
      <c r="L213" s="764"/>
    </row>
    <row r="214">
      <c r="B214" s="705" t="s">
        <v>406</v>
      </c>
      <c r="C214" s="768" t="s">
        <v>43</v>
      </c>
      <c r="D214" s="768" t="s">
        <v>44</v>
      </c>
      <c r="E214" s="774" t="s">
        <v>407</v>
      </c>
      <c r="F214" s="687"/>
      <c r="G214" s="738" t="s">
        <v>771</v>
      </c>
      <c r="H214" s="687"/>
      <c r="I214" s="684" t="s">
        <v>750</v>
      </c>
      <c r="J214" s="690" t="s">
        <v>119</v>
      </c>
      <c r="K214" s="689"/>
      <c r="L214" s="764"/>
    </row>
    <row r="215">
      <c r="B215" s="705" t="s">
        <v>411</v>
      </c>
      <c r="C215" s="768" t="s">
        <v>43</v>
      </c>
      <c r="D215" s="770" t="s">
        <v>378</v>
      </c>
      <c r="E215" s="495" t="s">
        <v>413</v>
      </c>
      <c r="F215" s="687"/>
      <c r="G215" s="738" t="s">
        <v>771</v>
      </c>
      <c r="H215" s="687"/>
      <c r="I215" s="684" t="s">
        <v>595</v>
      </c>
      <c r="J215" s="690" t="s">
        <v>119</v>
      </c>
      <c r="K215" s="689"/>
      <c r="L215" s="764"/>
    </row>
    <row r="216">
      <c r="B216" s="705" t="s">
        <v>419</v>
      </c>
      <c r="C216" s="768" t="s">
        <v>43</v>
      </c>
      <c r="D216" s="768" t="s">
        <v>44</v>
      </c>
      <c r="E216" s="774" t="s">
        <v>420</v>
      </c>
      <c r="F216" s="687"/>
      <c r="G216" s="738" t="s">
        <v>771</v>
      </c>
      <c r="H216" s="687"/>
      <c r="I216" s="684" t="s">
        <v>750</v>
      </c>
      <c r="J216" s="690" t="s">
        <v>119</v>
      </c>
      <c r="K216" s="689"/>
      <c r="L216" s="764"/>
    </row>
    <row r="217">
      <c r="B217" s="705" t="s">
        <v>428</v>
      </c>
      <c r="C217" s="768" t="s">
        <v>43</v>
      </c>
      <c r="D217" s="768" t="s">
        <v>44</v>
      </c>
      <c r="E217" s="774" t="s">
        <v>429</v>
      </c>
      <c r="F217" s="687"/>
      <c r="G217" s="738" t="s">
        <v>771</v>
      </c>
      <c r="H217" s="687"/>
      <c r="I217" s="684" t="s">
        <v>750</v>
      </c>
      <c r="J217" s="690" t="s">
        <v>119</v>
      </c>
      <c r="K217" s="689"/>
      <c r="L217" s="764"/>
    </row>
    <row r="218">
      <c r="B218" s="705" t="s">
        <v>432</v>
      </c>
      <c r="C218" s="768" t="s">
        <v>43</v>
      </c>
      <c r="D218" s="768" t="s">
        <v>44</v>
      </c>
      <c r="E218" s="774" t="s">
        <v>433</v>
      </c>
      <c r="F218" s="687"/>
      <c r="G218" s="738" t="s">
        <v>771</v>
      </c>
      <c r="H218" s="687"/>
      <c r="I218" s="684" t="s">
        <v>750</v>
      </c>
      <c r="J218" s="690" t="s">
        <v>119</v>
      </c>
      <c r="K218" s="689"/>
      <c r="L218" s="764"/>
    </row>
    <row r="219">
      <c r="B219" s="705" t="s">
        <v>437</v>
      </c>
      <c r="C219" s="768" t="s">
        <v>43</v>
      </c>
      <c r="D219" s="768" t="s">
        <v>44</v>
      </c>
      <c r="E219" s="774" t="s">
        <v>438</v>
      </c>
      <c r="F219" s="687"/>
      <c r="G219" s="738" t="s">
        <v>771</v>
      </c>
      <c r="H219" s="687"/>
      <c r="I219" s="684" t="s">
        <v>750</v>
      </c>
      <c r="J219" s="690" t="s">
        <v>119</v>
      </c>
      <c r="K219" s="689"/>
      <c r="L219" s="764"/>
    </row>
    <row r="220">
      <c r="B220" s="705" t="s">
        <v>421</v>
      </c>
      <c r="C220" s="756" t="s">
        <v>31</v>
      </c>
      <c r="D220" s="756" t="s">
        <v>32</v>
      </c>
      <c r="E220" s="774" t="s">
        <v>422</v>
      </c>
      <c r="F220" s="687"/>
      <c r="G220" s="738" t="s">
        <v>771</v>
      </c>
      <c r="H220" s="687"/>
      <c r="I220" s="684" t="s">
        <v>750</v>
      </c>
      <c r="J220" s="690" t="s">
        <v>119</v>
      </c>
      <c r="K220" s="689"/>
      <c r="L220" s="764"/>
    </row>
    <row r="221">
      <c r="B221" s="705" t="s">
        <v>435</v>
      </c>
      <c r="C221" s="761" t="s">
        <v>24</v>
      </c>
      <c r="D221" s="761" t="s">
        <v>123</v>
      </c>
      <c r="E221" s="774" t="s">
        <v>436</v>
      </c>
      <c r="F221" s="687"/>
      <c r="G221" s="738" t="s">
        <v>771</v>
      </c>
      <c r="H221" s="687"/>
      <c r="I221" s="684" t="s">
        <v>593</v>
      </c>
      <c r="J221" s="690" t="s">
        <v>119</v>
      </c>
      <c r="K221" s="689"/>
      <c r="L221" s="690" t="s">
        <v>775</v>
      </c>
    </row>
    <row r="222">
      <c r="A222" s="764"/>
      <c r="B222" s="775"/>
      <c r="C222" s="764"/>
      <c r="D222" s="764"/>
      <c r="E222" s="776"/>
      <c r="F222" s="687"/>
      <c r="G222" s="777"/>
      <c r="H222" s="687"/>
      <c r="I222" s="775"/>
      <c r="J222" s="764"/>
      <c r="K222" s="689"/>
      <c r="L222" s="764"/>
    </row>
    <row r="223">
      <c r="A223" s="764"/>
      <c r="B223" s="775"/>
      <c r="C223" s="764"/>
      <c r="D223" s="764"/>
      <c r="E223" s="776"/>
      <c r="F223" s="687"/>
      <c r="G223" s="777"/>
      <c r="H223" s="687"/>
      <c r="I223" s="775"/>
      <c r="J223" s="764"/>
      <c r="K223" s="689"/>
      <c r="L223" s="764"/>
    </row>
    <row r="224">
      <c r="A224" s="764"/>
      <c r="B224" s="775"/>
      <c r="C224" s="764"/>
      <c r="D224" s="764"/>
      <c r="E224" s="776"/>
      <c r="F224" s="687"/>
      <c r="G224" s="777"/>
      <c r="H224" s="687"/>
      <c r="I224" s="775"/>
      <c r="J224" s="764"/>
      <c r="K224" s="689"/>
      <c r="L224" s="764"/>
    </row>
    <row r="225">
      <c r="A225" s="764"/>
      <c r="B225" s="775"/>
      <c r="C225" s="764"/>
      <c r="D225" s="764"/>
      <c r="E225" s="776"/>
      <c r="F225" s="687"/>
      <c r="G225" s="777"/>
      <c r="H225" s="687"/>
      <c r="I225" s="775"/>
      <c r="J225" s="764"/>
      <c r="K225" s="689"/>
      <c r="L225" s="764"/>
    </row>
    <row r="226">
      <c r="A226" s="764"/>
      <c r="B226" s="775"/>
      <c r="C226" s="764"/>
      <c r="D226" s="764"/>
      <c r="E226" s="776"/>
      <c r="F226" s="687"/>
      <c r="G226" s="777"/>
      <c r="H226" s="687"/>
      <c r="I226" s="775"/>
      <c r="J226" s="764"/>
      <c r="K226" s="689"/>
      <c r="L226" s="764"/>
    </row>
    <row r="227">
      <c r="A227" s="764"/>
      <c r="B227" s="775"/>
      <c r="C227" s="764"/>
      <c r="D227" s="764"/>
      <c r="E227" s="776"/>
      <c r="F227" s="687"/>
      <c r="G227" s="777"/>
      <c r="H227" s="687"/>
      <c r="I227" s="775"/>
      <c r="J227" s="764"/>
      <c r="K227" s="689"/>
      <c r="L227" s="764"/>
    </row>
    <row r="228">
      <c r="A228" s="764"/>
      <c r="B228" s="775"/>
      <c r="C228" s="764"/>
      <c r="D228" s="764"/>
      <c r="E228" s="776"/>
      <c r="F228" s="687"/>
      <c r="G228" s="777"/>
      <c r="H228" s="687"/>
      <c r="I228" s="775"/>
      <c r="J228" s="764"/>
      <c r="K228" s="689"/>
      <c r="L228" s="764"/>
    </row>
    <row r="229">
      <c r="A229" s="764"/>
      <c r="B229" s="775"/>
      <c r="C229" s="764"/>
      <c r="D229" s="764"/>
      <c r="E229" s="776"/>
      <c r="F229" s="687"/>
      <c r="G229" s="777"/>
      <c r="H229" s="687"/>
      <c r="I229" s="775"/>
      <c r="J229" s="764"/>
      <c r="K229" s="689"/>
      <c r="L229" s="764"/>
    </row>
    <row r="230">
      <c r="A230" s="764"/>
      <c r="B230" s="775"/>
      <c r="C230" s="764"/>
      <c r="D230" s="764"/>
      <c r="E230" s="776"/>
      <c r="F230" s="687"/>
      <c r="G230" s="777"/>
      <c r="H230" s="687"/>
      <c r="I230" s="775"/>
      <c r="J230" s="764"/>
      <c r="K230" s="689"/>
      <c r="L230" s="764"/>
    </row>
    <row r="231">
      <c r="A231" s="764"/>
      <c r="B231" s="775"/>
      <c r="C231" s="764"/>
      <c r="D231" s="764"/>
      <c r="E231" s="776"/>
      <c r="F231" s="687"/>
      <c r="G231" s="777"/>
      <c r="H231" s="687"/>
      <c r="I231" s="775"/>
      <c r="J231" s="764"/>
      <c r="K231" s="689"/>
      <c r="L231" s="764"/>
    </row>
    <row r="232">
      <c r="A232" s="764"/>
      <c r="B232" s="775"/>
      <c r="C232" s="764"/>
      <c r="D232" s="764"/>
      <c r="E232" s="776"/>
      <c r="F232" s="687"/>
      <c r="G232" s="777"/>
      <c r="H232" s="687"/>
      <c r="I232" s="775"/>
      <c r="J232" s="764"/>
      <c r="K232" s="689"/>
      <c r="L232" s="764"/>
    </row>
    <row r="233">
      <c r="A233" s="764"/>
      <c r="B233" s="775"/>
      <c r="C233" s="764"/>
      <c r="D233" s="764"/>
      <c r="E233" s="776"/>
      <c r="F233" s="687"/>
      <c r="G233" s="777"/>
      <c r="H233" s="687"/>
      <c r="I233" s="775"/>
      <c r="J233" s="764"/>
      <c r="K233" s="689"/>
      <c r="L233" s="764"/>
    </row>
    <row r="234">
      <c r="A234" s="764"/>
      <c r="B234" s="775"/>
      <c r="C234" s="764"/>
      <c r="D234" s="764"/>
      <c r="E234" s="776"/>
      <c r="F234" s="687"/>
      <c r="G234" s="777"/>
      <c r="H234" s="687"/>
      <c r="I234" s="775"/>
      <c r="J234" s="764"/>
      <c r="K234" s="689"/>
      <c r="L234" s="764"/>
    </row>
    <row r="235">
      <c r="A235" s="764"/>
      <c r="B235" s="775"/>
      <c r="C235" s="764"/>
      <c r="D235" s="764"/>
      <c r="E235" s="776"/>
      <c r="F235" s="687"/>
      <c r="G235" s="777"/>
      <c r="H235" s="687"/>
      <c r="I235" s="775"/>
      <c r="J235" s="764"/>
      <c r="K235" s="689"/>
      <c r="L235" s="764"/>
    </row>
    <row r="236">
      <c r="A236" s="764"/>
      <c r="B236" s="775"/>
      <c r="C236" s="764"/>
      <c r="D236" s="764"/>
      <c r="E236" s="776"/>
      <c r="F236" s="687"/>
      <c r="G236" s="777"/>
      <c r="H236" s="687"/>
      <c r="I236" s="775"/>
      <c r="J236" s="764"/>
      <c r="K236" s="689"/>
      <c r="L236" s="764"/>
    </row>
    <row r="237">
      <c r="A237" s="764"/>
      <c r="B237" s="775"/>
      <c r="C237" s="764"/>
      <c r="D237" s="764"/>
      <c r="E237" s="776"/>
      <c r="F237" s="687"/>
      <c r="G237" s="777"/>
      <c r="H237" s="687"/>
      <c r="I237" s="775"/>
      <c r="J237" s="764"/>
      <c r="K237" s="689"/>
      <c r="L237" s="764"/>
    </row>
    <row r="238">
      <c r="A238" s="764"/>
      <c r="B238" s="775"/>
      <c r="C238" s="764"/>
      <c r="D238" s="764"/>
      <c r="E238" s="776"/>
      <c r="F238" s="687"/>
      <c r="G238" s="777"/>
      <c r="H238" s="687"/>
      <c r="I238" s="775"/>
      <c r="J238" s="764"/>
      <c r="K238" s="689"/>
      <c r="L238" s="764"/>
    </row>
    <row r="239">
      <c r="A239" s="764"/>
      <c r="B239" s="775"/>
      <c r="C239" s="764"/>
      <c r="D239" s="764"/>
      <c r="E239" s="776"/>
      <c r="F239" s="687"/>
      <c r="G239" s="777"/>
      <c r="H239" s="687"/>
      <c r="I239" s="775"/>
      <c r="J239" s="764"/>
      <c r="K239" s="689"/>
      <c r="L239" s="764"/>
    </row>
    <row r="240">
      <c r="A240" s="764"/>
      <c r="B240" s="775"/>
      <c r="C240" s="764"/>
      <c r="D240" s="764"/>
      <c r="E240" s="776"/>
      <c r="F240" s="687"/>
      <c r="G240" s="777"/>
      <c r="H240" s="687"/>
      <c r="I240" s="775"/>
      <c r="J240" s="764"/>
      <c r="K240" s="689"/>
      <c r="L240" s="764"/>
    </row>
    <row r="241">
      <c r="A241" s="764"/>
      <c r="B241" s="775"/>
      <c r="C241" s="764"/>
      <c r="D241" s="764"/>
      <c r="E241" s="776"/>
      <c r="F241" s="687"/>
      <c r="G241" s="777"/>
      <c r="H241" s="687"/>
      <c r="I241" s="775"/>
      <c r="J241" s="764"/>
      <c r="K241" s="689"/>
      <c r="L241" s="764"/>
    </row>
    <row r="242">
      <c r="A242" s="764"/>
      <c r="B242" s="775"/>
      <c r="C242" s="764"/>
      <c r="D242" s="764"/>
      <c r="E242" s="776"/>
      <c r="F242" s="687"/>
      <c r="G242" s="777"/>
      <c r="H242" s="687"/>
      <c r="I242" s="775"/>
      <c r="J242" s="764"/>
      <c r="K242" s="689"/>
      <c r="L242" s="764"/>
    </row>
    <row r="243">
      <c r="A243" s="764"/>
      <c r="B243" s="775"/>
      <c r="C243" s="764"/>
      <c r="D243" s="764"/>
      <c r="E243" s="776"/>
      <c r="F243" s="687"/>
      <c r="G243" s="777"/>
      <c r="H243" s="687"/>
      <c r="I243" s="775"/>
      <c r="J243" s="764"/>
      <c r="K243" s="689"/>
      <c r="L243" s="764"/>
    </row>
    <row r="244">
      <c r="A244" s="764"/>
      <c r="B244" s="775"/>
      <c r="C244" s="764"/>
      <c r="D244" s="764"/>
      <c r="E244" s="776"/>
      <c r="F244" s="687"/>
      <c r="G244" s="777"/>
      <c r="H244" s="687"/>
      <c r="I244" s="775"/>
      <c r="J244" s="764"/>
      <c r="K244" s="689"/>
      <c r="L244" s="764"/>
    </row>
    <row r="245">
      <c r="A245" s="764"/>
      <c r="B245" s="775"/>
      <c r="C245" s="764"/>
      <c r="D245" s="764"/>
      <c r="E245" s="776"/>
      <c r="F245" s="687"/>
      <c r="G245" s="777"/>
      <c r="H245" s="687"/>
      <c r="I245" s="775"/>
      <c r="J245" s="764"/>
      <c r="K245" s="689"/>
      <c r="L245" s="764"/>
    </row>
    <row r="246">
      <c r="A246" s="764"/>
      <c r="B246" s="775"/>
      <c r="C246" s="764"/>
      <c r="D246" s="764"/>
      <c r="E246" s="776"/>
      <c r="F246" s="687"/>
      <c r="G246" s="777"/>
      <c r="H246" s="687"/>
      <c r="I246" s="775"/>
      <c r="J246" s="764"/>
      <c r="K246" s="689"/>
      <c r="L246" s="764"/>
    </row>
    <row r="247">
      <c r="A247" s="764"/>
      <c r="B247" s="775"/>
      <c r="C247" s="764"/>
      <c r="D247" s="764"/>
      <c r="E247" s="776"/>
      <c r="F247" s="687"/>
      <c r="G247" s="777"/>
      <c r="H247" s="687"/>
      <c r="I247" s="775"/>
      <c r="J247" s="764"/>
      <c r="K247" s="689"/>
      <c r="L247" s="764"/>
    </row>
    <row r="248">
      <c r="A248" s="764"/>
      <c r="B248" s="775"/>
      <c r="C248" s="764"/>
      <c r="D248" s="764"/>
      <c r="E248" s="776"/>
      <c r="F248" s="687"/>
      <c r="G248" s="777"/>
      <c r="H248" s="687"/>
      <c r="I248" s="775"/>
      <c r="J248" s="764"/>
      <c r="K248" s="689"/>
      <c r="L248" s="764"/>
    </row>
    <row r="249">
      <c r="A249" s="764"/>
      <c r="B249" s="775"/>
      <c r="C249" s="764"/>
      <c r="D249" s="764"/>
      <c r="E249" s="776"/>
      <c r="F249" s="687"/>
      <c r="G249" s="777"/>
      <c r="H249" s="687"/>
      <c r="I249" s="775"/>
      <c r="J249" s="764"/>
      <c r="K249" s="689"/>
      <c r="L249" s="764"/>
    </row>
    <row r="250">
      <c r="A250" s="764"/>
      <c r="B250" s="775"/>
      <c r="C250" s="764"/>
      <c r="D250" s="764"/>
      <c r="E250" s="776"/>
      <c r="F250" s="687"/>
      <c r="G250" s="777"/>
      <c r="H250" s="687"/>
      <c r="I250" s="775"/>
      <c r="J250" s="764"/>
      <c r="K250" s="689"/>
      <c r="L250" s="764"/>
    </row>
    <row r="251">
      <c r="A251" s="764"/>
      <c r="B251" s="775"/>
      <c r="C251" s="764"/>
      <c r="D251" s="764"/>
      <c r="E251" s="776"/>
      <c r="F251" s="687"/>
      <c r="G251" s="777"/>
      <c r="H251" s="687"/>
      <c r="I251" s="775"/>
      <c r="J251" s="764"/>
      <c r="K251" s="689"/>
      <c r="L251" s="764"/>
    </row>
    <row r="252">
      <c r="A252" s="764"/>
      <c r="B252" s="775"/>
      <c r="C252" s="764"/>
      <c r="D252" s="764"/>
      <c r="E252" s="776"/>
      <c r="F252" s="687"/>
      <c r="G252" s="777"/>
      <c r="H252" s="687"/>
      <c r="I252" s="775"/>
      <c r="J252" s="764"/>
      <c r="K252" s="689"/>
      <c r="L252" s="764"/>
    </row>
    <row r="253">
      <c r="A253" s="764"/>
      <c r="B253" s="775"/>
      <c r="C253" s="764"/>
      <c r="D253" s="764"/>
      <c r="E253" s="776"/>
      <c r="F253" s="687"/>
      <c r="G253" s="777"/>
      <c r="H253" s="687"/>
      <c r="I253" s="775"/>
      <c r="J253" s="764"/>
      <c r="K253" s="689"/>
      <c r="L253" s="764"/>
    </row>
    <row r="254">
      <c r="A254" s="764"/>
      <c r="B254" s="775"/>
      <c r="C254" s="764"/>
      <c r="D254" s="764"/>
      <c r="E254" s="776"/>
      <c r="F254" s="687"/>
      <c r="G254" s="777"/>
      <c r="H254" s="687"/>
      <c r="I254" s="775"/>
      <c r="J254" s="764"/>
      <c r="K254" s="689"/>
      <c r="L254" s="764"/>
    </row>
    <row r="255">
      <c r="A255" s="764"/>
      <c r="B255" s="775"/>
      <c r="C255" s="764"/>
      <c r="D255" s="764"/>
      <c r="E255" s="776"/>
      <c r="F255" s="687"/>
      <c r="G255" s="777"/>
      <c r="H255" s="687"/>
      <c r="I255" s="775"/>
      <c r="J255" s="764"/>
      <c r="K255" s="689"/>
      <c r="L255" s="764"/>
    </row>
    <row r="256">
      <c r="A256" s="764"/>
      <c r="B256" s="775"/>
      <c r="C256" s="764"/>
      <c r="D256" s="764"/>
      <c r="E256" s="776"/>
      <c r="F256" s="687"/>
      <c r="G256" s="777"/>
      <c r="H256" s="687"/>
      <c r="I256" s="775"/>
      <c r="J256" s="764"/>
      <c r="K256" s="689"/>
      <c r="L256" s="764"/>
    </row>
    <row r="257">
      <c r="A257" s="764"/>
      <c r="B257" s="775"/>
      <c r="C257" s="764"/>
      <c r="D257" s="764"/>
      <c r="E257" s="776"/>
      <c r="F257" s="687"/>
      <c r="G257" s="777"/>
      <c r="H257" s="687"/>
      <c r="I257" s="775"/>
      <c r="J257" s="764"/>
      <c r="K257" s="689"/>
      <c r="L257" s="764"/>
    </row>
    <row r="258">
      <c r="A258" s="764"/>
      <c r="B258" s="775"/>
      <c r="C258" s="764"/>
      <c r="D258" s="764"/>
      <c r="E258" s="776"/>
      <c r="F258" s="687"/>
      <c r="G258" s="777"/>
      <c r="H258" s="687"/>
      <c r="I258" s="775"/>
      <c r="J258" s="764"/>
      <c r="K258" s="689"/>
      <c r="L258" s="764"/>
    </row>
    <row r="259">
      <c r="A259" s="764"/>
      <c r="B259" s="775"/>
      <c r="C259" s="764"/>
      <c r="D259" s="764"/>
      <c r="E259" s="776"/>
      <c r="F259" s="687"/>
      <c r="G259" s="777"/>
      <c r="H259" s="687"/>
      <c r="I259" s="775"/>
      <c r="J259" s="764"/>
      <c r="K259" s="689"/>
      <c r="L259" s="764"/>
    </row>
    <row r="260">
      <c r="A260" s="764"/>
      <c r="B260" s="775"/>
      <c r="C260" s="764"/>
      <c r="D260" s="764"/>
      <c r="E260" s="776"/>
      <c r="F260" s="687"/>
      <c r="G260" s="777"/>
      <c r="H260" s="687"/>
      <c r="I260" s="775"/>
      <c r="J260" s="764"/>
      <c r="K260" s="689"/>
      <c r="L260" s="764"/>
    </row>
    <row r="261">
      <c r="A261" s="764"/>
      <c r="B261" s="775"/>
      <c r="C261" s="764"/>
      <c r="D261" s="764"/>
      <c r="E261" s="776"/>
      <c r="F261" s="687"/>
      <c r="G261" s="777"/>
      <c r="H261" s="687"/>
      <c r="I261" s="775"/>
      <c r="J261" s="764"/>
      <c r="K261" s="689"/>
      <c r="L261" s="764"/>
    </row>
    <row r="262">
      <c r="A262" s="764"/>
      <c r="B262" s="775"/>
      <c r="C262" s="764"/>
      <c r="D262" s="764"/>
      <c r="E262" s="776"/>
      <c r="F262" s="687"/>
      <c r="G262" s="777"/>
      <c r="H262" s="687"/>
      <c r="I262" s="775"/>
      <c r="J262" s="764"/>
      <c r="K262" s="689"/>
      <c r="L262" s="764"/>
    </row>
    <row r="263">
      <c r="A263" s="764"/>
      <c r="B263" s="775"/>
      <c r="C263" s="764"/>
      <c r="D263" s="764"/>
      <c r="E263" s="776"/>
      <c r="F263" s="687"/>
      <c r="G263" s="777"/>
      <c r="H263" s="687"/>
      <c r="I263" s="775"/>
      <c r="J263" s="764"/>
      <c r="K263" s="689"/>
      <c r="L263" s="764"/>
    </row>
    <row r="264">
      <c r="A264" s="764"/>
      <c r="B264" s="775"/>
      <c r="C264" s="764"/>
      <c r="D264" s="764"/>
      <c r="E264" s="776"/>
      <c r="F264" s="687"/>
      <c r="G264" s="777"/>
      <c r="H264" s="687"/>
      <c r="I264" s="775"/>
      <c r="J264" s="764"/>
      <c r="K264" s="689"/>
      <c r="L264" s="764"/>
    </row>
    <row r="265">
      <c r="A265" s="764"/>
      <c r="B265" s="775"/>
      <c r="C265" s="764"/>
      <c r="D265" s="764"/>
      <c r="E265" s="776"/>
      <c r="F265" s="687"/>
      <c r="G265" s="777"/>
      <c r="H265" s="687"/>
      <c r="I265" s="775"/>
      <c r="J265" s="764"/>
      <c r="K265" s="689"/>
      <c r="L265" s="764"/>
    </row>
    <row r="266">
      <c r="A266" s="764"/>
      <c r="B266" s="775"/>
      <c r="C266" s="764"/>
      <c r="D266" s="764"/>
      <c r="E266" s="776"/>
      <c r="F266" s="687"/>
      <c r="G266" s="777"/>
      <c r="H266" s="687"/>
      <c r="I266" s="775"/>
      <c r="J266" s="764"/>
      <c r="K266" s="689"/>
      <c r="L266" s="764"/>
    </row>
    <row r="267">
      <c r="A267" s="764"/>
      <c r="B267" s="775"/>
      <c r="C267" s="764"/>
      <c r="D267" s="764"/>
      <c r="E267" s="776"/>
      <c r="F267" s="687"/>
      <c r="G267" s="777"/>
      <c r="H267" s="687"/>
      <c r="I267" s="775"/>
      <c r="J267" s="764"/>
      <c r="K267" s="689"/>
      <c r="L267" s="764"/>
    </row>
    <row r="268">
      <c r="A268" s="764"/>
      <c r="B268" s="775"/>
      <c r="C268" s="764"/>
      <c r="D268" s="764"/>
      <c r="E268" s="776"/>
      <c r="F268" s="687"/>
      <c r="G268" s="777"/>
      <c r="H268" s="687"/>
      <c r="I268" s="775"/>
      <c r="J268" s="764"/>
      <c r="K268" s="689"/>
      <c r="L268" s="764"/>
    </row>
    <row r="269">
      <c r="A269" s="764"/>
      <c r="B269" s="775"/>
      <c r="C269" s="764"/>
      <c r="D269" s="764"/>
      <c r="E269" s="776"/>
      <c r="F269" s="687"/>
      <c r="G269" s="777"/>
      <c r="H269" s="687"/>
      <c r="I269" s="775"/>
      <c r="J269" s="764"/>
      <c r="K269" s="689"/>
      <c r="L269" s="764"/>
    </row>
    <row r="270">
      <c r="A270" s="764"/>
      <c r="B270" s="775"/>
      <c r="C270" s="764"/>
      <c r="D270" s="764"/>
      <c r="E270" s="776"/>
      <c r="F270" s="687"/>
      <c r="G270" s="777"/>
      <c r="H270" s="687"/>
      <c r="I270" s="775"/>
      <c r="J270" s="764"/>
      <c r="K270" s="689"/>
      <c r="L270" s="764"/>
    </row>
    <row r="271">
      <c r="A271" s="764"/>
      <c r="B271" s="775"/>
      <c r="C271" s="764"/>
      <c r="D271" s="764"/>
      <c r="E271" s="776"/>
      <c r="F271" s="687"/>
      <c r="G271" s="777"/>
      <c r="H271" s="687"/>
      <c r="I271" s="775"/>
      <c r="J271" s="764"/>
      <c r="K271" s="689"/>
      <c r="L271" s="764"/>
    </row>
    <row r="272">
      <c r="A272" s="764"/>
      <c r="B272" s="775"/>
      <c r="C272" s="764"/>
      <c r="D272" s="764"/>
      <c r="E272" s="776"/>
      <c r="F272" s="687"/>
      <c r="G272" s="777"/>
      <c r="H272" s="687"/>
      <c r="I272" s="775"/>
      <c r="J272" s="764"/>
      <c r="K272" s="689"/>
      <c r="L272" s="764"/>
    </row>
    <row r="273">
      <c r="A273" s="764"/>
      <c r="B273" s="775"/>
      <c r="C273" s="764"/>
      <c r="D273" s="764"/>
      <c r="E273" s="776"/>
      <c r="F273" s="687"/>
      <c r="G273" s="777"/>
      <c r="H273" s="687"/>
      <c r="I273" s="775"/>
      <c r="J273" s="764"/>
      <c r="K273" s="689"/>
      <c r="L273" s="764"/>
    </row>
    <row r="274">
      <c r="A274" s="764"/>
      <c r="B274" s="775"/>
      <c r="C274" s="764"/>
      <c r="D274" s="764"/>
      <c r="E274" s="776"/>
      <c r="F274" s="687"/>
      <c r="G274" s="777"/>
      <c r="H274" s="687"/>
      <c r="I274" s="775"/>
      <c r="J274" s="764"/>
      <c r="K274" s="689"/>
      <c r="L274" s="764"/>
    </row>
    <row r="275">
      <c r="A275" s="764"/>
      <c r="B275" s="775"/>
      <c r="C275" s="764"/>
      <c r="D275" s="764"/>
      <c r="E275" s="776"/>
      <c r="F275" s="687"/>
      <c r="G275" s="777"/>
      <c r="H275" s="687"/>
      <c r="I275" s="775"/>
      <c r="J275" s="764"/>
      <c r="K275" s="689"/>
      <c r="L275" s="764"/>
    </row>
    <row r="276">
      <c r="A276" s="764"/>
      <c r="B276" s="775"/>
      <c r="C276" s="764"/>
      <c r="D276" s="764"/>
      <c r="E276" s="776"/>
      <c r="F276" s="687"/>
      <c r="G276" s="777"/>
      <c r="H276" s="687"/>
      <c r="I276" s="775"/>
      <c r="J276" s="764"/>
      <c r="K276" s="689"/>
      <c r="L276" s="764"/>
    </row>
    <row r="277">
      <c r="A277" s="764"/>
      <c r="B277" s="775"/>
      <c r="C277" s="764"/>
      <c r="D277" s="764"/>
      <c r="E277" s="776"/>
      <c r="F277" s="687"/>
      <c r="G277" s="777"/>
      <c r="H277" s="687"/>
      <c r="I277" s="775"/>
      <c r="J277" s="764"/>
      <c r="K277" s="689"/>
      <c r="L277" s="764"/>
    </row>
    <row r="278">
      <c r="A278" s="764"/>
      <c r="B278" s="775"/>
      <c r="C278" s="764"/>
      <c r="D278" s="764"/>
      <c r="E278" s="776"/>
      <c r="F278" s="687"/>
      <c r="G278" s="777"/>
      <c r="H278" s="687"/>
      <c r="I278" s="775"/>
      <c r="J278" s="764"/>
      <c r="K278" s="689"/>
      <c r="L278" s="764"/>
    </row>
    <row r="279">
      <c r="A279" s="764"/>
      <c r="B279" s="775"/>
      <c r="C279" s="764"/>
      <c r="D279" s="764"/>
      <c r="E279" s="776"/>
      <c r="F279" s="687"/>
      <c r="G279" s="777"/>
      <c r="H279" s="687"/>
      <c r="I279" s="775"/>
      <c r="J279" s="764"/>
      <c r="K279" s="689"/>
      <c r="L279" s="764"/>
    </row>
    <row r="280">
      <c r="A280" s="764"/>
      <c r="B280" s="775"/>
      <c r="C280" s="764"/>
      <c r="D280" s="764"/>
      <c r="E280" s="776"/>
      <c r="F280" s="687"/>
      <c r="G280" s="777"/>
      <c r="H280" s="687"/>
      <c r="I280" s="775"/>
      <c r="J280" s="764"/>
      <c r="K280" s="689"/>
      <c r="L280" s="764"/>
    </row>
    <row r="281">
      <c r="A281" s="764"/>
      <c r="B281" s="775"/>
      <c r="C281" s="764"/>
      <c r="D281" s="764"/>
      <c r="E281" s="776"/>
      <c r="F281" s="687"/>
      <c r="G281" s="777"/>
      <c r="H281" s="687"/>
      <c r="I281" s="775"/>
      <c r="J281" s="764"/>
      <c r="K281" s="689"/>
      <c r="L281" s="764"/>
    </row>
    <row r="282">
      <c r="A282" s="764"/>
      <c r="B282" s="775"/>
      <c r="C282" s="764"/>
      <c r="D282" s="764"/>
      <c r="E282" s="776"/>
      <c r="F282" s="687"/>
      <c r="G282" s="777"/>
      <c r="H282" s="687"/>
      <c r="I282" s="775"/>
      <c r="J282" s="764"/>
      <c r="K282" s="689"/>
      <c r="L282" s="764"/>
    </row>
    <row r="283">
      <c r="A283" s="764"/>
      <c r="B283" s="775"/>
      <c r="C283" s="764"/>
      <c r="D283" s="764"/>
      <c r="E283" s="776"/>
      <c r="F283" s="687"/>
      <c r="G283" s="777"/>
      <c r="H283" s="687"/>
      <c r="I283" s="775"/>
      <c r="J283" s="764"/>
      <c r="K283" s="689"/>
      <c r="L283" s="764"/>
    </row>
    <row r="284">
      <c r="A284" s="764"/>
      <c r="B284" s="775"/>
      <c r="C284" s="764"/>
      <c r="D284" s="764"/>
      <c r="E284" s="776"/>
      <c r="F284" s="687"/>
      <c r="G284" s="777"/>
      <c r="H284" s="687"/>
      <c r="I284" s="775"/>
      <c r="J284" s="764"/>
      <c r="K284" s="689"/>
      <c r="L284" s="764"/>
    </row>
    <row r="285">
      <c r="A285" s="764"/>
      <c r="B285" s="775"/>
      <c r="C285" s="764"/>
      <c r="D285" s="764"/>
      <c r="E285" s="776"/>
      <c r="F285" s="687"/>
      <c r="G285" s="777"/>
      <c r="H285" s="687"/>
      <c r="I285" s="775"/>
      <c r="J285" s="764"/>
      <c r="K285" s="689"/>
      <c r="L285" s="764"/>
    </row>
    <row r="286">
      <c r="A286" s="764"/>
      <c r="B286" s="775"/>
      <c r="C286" s="764"/>
      <c r="D286" s="764"/>
      <c r="E286" s="776"/>
      <c r="F286" s="687"/>
      <c r="G286" s="777"/>
      <c r="H286" s="687"/>
      <c r="I286" s="775"/>
      <c r="J286" s="764"/>
      <c r="K286" s="689"/>
      <c r="L286" s="764"/>
    </row>
    <row r="287">
      <c r="A287" s="764"/>
      <c r="B287" s="775"/>
      <c r="C287" s="764"/>
      <c r="D287" s="764"/>
      <c r="E287" s="776"/>
      <c r="F287" s="687"/>
      <c r="G287" s="777"/>
      <c r="H287" s="687"/>
      <c r="I287" s="775"/>
      <c r="J287" s="764"/>
      <c r="K287" s="689"/>
      <c r="L287" s="764"/>
    </row>
    <row r="288">
      <c r="A288" s="764"/>
      <c r="B288" s="775"/>
      <c r="C288" s="764"/>
      <c r="D288" s="764"/>
      <c r="E288" s="776"/>
      <c r="F288" s="687"/>
      <c r="G288" s="777"/>
      <c r="H288" s="687"/>
      <c r="I288" s="775"/>
      <c r="J288" s="764"/>
      <c r="K288" s="689"/>
      <c r="L288" s="764"/>
    </row>
    <row r="289">
      <c r="A289" s="764"/>
      <c r="B289" s="775"/>
      <c r="C289" s="764"/>
      <c r="D289" s="764"/>
      <c r="E289" s="776"/>
      <c r="F289" s="687"/>
      <c r="G289" s="777"/>
      <c r="H289" s="687"/>
      <c r="I289" s="775"/>
      <c r="J289" s="764"/>
      <c r="K289" s="689"/>
      <c r="L289" s="764"/>
    </row>
    <row r="290">
      <c r="A290" s="764"/>
      <c r="B290" s="775"/>
      <c r="C290" s="764"/>
      <c r="D290" s="764"/>
      <c r="E290" s="776"/>
      <c r="F290" s="687"/>
      <c r="G290" s="777"/>
      <c r="H290" s="687"/>
      <c r="I290" s="775"/>
      <c r="J290" s="764"/>
      <c r="K290" s="689"/>
      <c r="L290" s="764"/>
    </row>
    <row r="291">
      <c r="A291" s="764"/>
      <c r="B291" s="775"/>
      <c r="C291" s="764"/>
      <c r="D291" s="764"/>
      <c r="E291" s="776"/>
      <c r="F291" s="687"/>
      <c r="G291" s="777"/>
      <c r="H291" s="687"/>
      <c r="I291" s="775"/>
      <c r="J291" s="764"/>
      <c r="K291" s="689"/>
      <c r="L291" s="764"/>
    </row>
    <row r="292">
      <c r="A292" s="764"/>
      <c r="B292" s="775"/>
      <c r="C292" s="764"/>
      <c r="D292" s="764"/>
      <c r="E292" s="776"/>
      <c r="F292" s="687"/>
      <c r="G292" s="777"/>
      <c r="H292" s="687"/>
      <c r="I292" s="775"/>
      <c r="J292" s="764"/>
      <c r="K292" s="689"/>
      <c r="L292" s="764"/>
    </row>
    <row r="293">
      <c r="A293" s="764"/>
      <c r="B293" s="775"/>
      <c r="C293" s="764"/>
      <c r="D293" s="764"/>
      <c r="E293" s="776"/>
      <c r="F293" s="687"/>
      <c r="G293" s="777"/>
      <c r="H293" s="687"/>
      <c r="I293" s="775"/>
      <c r="J293" s="764"/>
      <c r="K293" s="689"/>
      <c r="L293" s="764"/>
    </row>
    <row r="294">
      <c r="A294" s="764"/>
      <c r="B294" s="775"/>
      <c r="C294" s="764"/>
      <c r="D294" s="764"/>
      <c r="E294" s="776"/>
      <c r="F294" s="687"/>
      <c r="G294" s="777"/>
      <c r="H294" s="687"/>
      <c r="I294" s="775"/>
      <c r="J294" s="764"/>
      <c r="K294" s="689"/>
      <c r="L294" s="764"/>
    </row>
    <row r="295">
      <c r="A295" s="764"/>
      <c r="B295" s="775"/>
      <c r="C295" s="764"/>
      <c r="D295" s="764"/>
      <c r="E295" s="776"/>
      <c r="F295" s="687"/>
      <c r="G295" s="777"/>
      <c r="H295" s="687"/>
      <c r="I295" s="775"/>
      <c r="J295" s="764"/>
      <c r="K295" s="689"/>
      <c r="L295" s="764"/>
    </row>
    <row r="296">
      <c r="A296" s="764"/>
      <c r="B296" s="775"/>
      <c r="C296" s="764"/>
      <c r="D296" s="764"/>
      <c r="E296" s="776"/>
      <c r="F296" s="687"/>
      <c r="G296" s="777"/>
      <c r="H296" s="687"/>
      <c r="I296" s="775"/>
      <c r="J296" s="764"/>
      <c r="K296" s="689"/>
      <c r="L296" s="764"/>
    </row>
    <row r="297">
      <c r="A297" s="764"/>
      <c r="B297" s="775"/>
      <c r="C297" s="764"/>
      <c r="D297" s="764"/>
      <c r="E297" s="776"/>
      <c r="F297" s="687"/>
      <c r="G297" s="777"/>
      <c r="H297" s="687"/>
      <c r="I297" s="775"/>
      <c r="J297" s="764"/>
      <c r="K297" s="689"/>
      <c r="L297" s="764"/>
    </row>
    <row r="298">
      <c r="A298" s="764"/>
      <c r="B298" s="775"/>
      <c r="C298" s="764"/>
      <c r="D298" s="764"/>
      <c r="E298" s="776"/>
      <c r="F298" s="687"/>
      <c r="G298" s="777"/>
      <c r="H298" s="687"/>
      <c r="I298" s="775"/>
      <c r="J298" s="764"/>
      <c r="K298" s="689"/>
      <c r="L298" s="764"/>
    </row>
    <row r="299">
      <c r="A299" s="764"/>
      <c r="B299" s="775"/>
      <c r="C299" s="764"/>
      <c r="D299" s="764"/>
      <c r="E299" s="776"/>
      <c r="F299" s="687"/>
      <c r="G299" s="777"/>
      <c r="H299" s="687"/>
      <c r="I299" s="775"/>
      <c r="J299" s="764"/>
      <c r="K299" s="689"/>
      <c r="L299" s="764"/>
    </row>
    <row r="300">
      <c r="A300" s="764"/>
      <c r="B300" s="775"/>
      <c r="C300" s="764"/>
      <c r="D300" s="764"/>
      <c r="E300" s="776"/>
      <c r="F300" s="687"/>
      <c r="G300" s="777"/>
      <c r="H300" s="687"/>
      <c r="I300" s="775"/>
      <c r="J300" s="764"/>
      <c r="K300" s="689"/>
      <c r="L300" s="764"/>
    </row>
    <row r="301">
      <c r="A301" s="764"/>
      <c r="B301" s="775"/>
      <c r="C301" s="764"/>
      <c r="D301" s="764"/>
      <c r="E301" s="776"/>
      <c r="F301" s="687"/>
      <c r="G301" s="777"/>
      <c r="H301" s="687"/>
      <c r="I301" s="775"/>
      <c r="J301" s="764"/>
      <c r="K301" s="689"/>
      <c r="L301" s="764"/>
    </row>
    <row r="302">
      <c r="A302" s="764"/>
      <c r="B302" s="775"/>
      <c r="C302" s="764"/>
      <c r="D302" s="764"/>
      <c r="E302" s="776"/>
      <c r="F302" s="687"/>
      <c r="G302" s="777"/>
      <c r="H302" s="687"/>
      <c r="I302" s="775"/>
      <c r="J302" s="764"/>
      <c r="K302" s="689"/>
      <c r="L302" s="764"/>
    </row>
    <row r="303">
      <c r="A303" s="764"/>
      <c r="B303" s="775"/>
      <c r="C303" s="764"/>
      <c r="D303" s="764"/>
      <c r="E303" s="776"/>
      <c r="F303" s="687"/>
      <c r="G303" s="777"/>
      <c r="H303" s="687"/>
      <c r="I303" s="775"/>
      <c r="J303" s="764"/>
      <c r="K303" s="689"/>
      <c r="L303" s="764"/>
    </row>
    <row r="304">
      <c r="A304" s="764"/>
      <c r="B304" s="775"/>
      <c r="C304" s="764"/>
      <c r="D304" s="764"/>
      <c r="E304" s="776"/>
      <c r="F304" s="687"/>
      <c r="G304" s="777"/>
      <c r="H304" s="687"/>
      <c r="I304" s="775"/>
      <c r="J304" s="764"/>
      <c r="K304" s="689"/>
      <c r="L304" s="764"/>
    </row>
    <row r="305">
      <c r="A305" s="764"/>
      <c r="B305" s="775"/>
      <c r="C305" s="764"/>
      <c r="D305" s="764"/>
      <c r="E305" s="776"/>
      <c r="F305" s="687"/>
      <c r="G305" s="777"/>
      <c r="H305" s="687"/>
      <c r="I305" s="775"/>
      <c r="J305" s="764"/>
      <c r="K305" s="689"/>
      <c r="L305" s="764"/>
    </row>
    <row r="306">
      <c r="A306" s="764"/>
      <c r="B306" s="775"/>
      <c r="C306" s="764"/>
      <c r="D306" s="764"/>
      <c r="E306" s="776"/>
      <c r="F306" s="687"/>
      <c r="G306" s="777"/>
      <c r="H306" s="687"/>
      <c r="I306" s="775"/>
      <c r="J306" s="764"/>
      <c r="K306" s="689"/>
      <c r="L306" s="764"/>
    </row>
    <row r="307">
      <c r="A307" s="764"/>
      <c r="B307" s="775"/>
      <c r="C307" s="764"/>
      <c r="D307" s="764"/>
      <c r="E307" s="776"/>
      <c r="F307" s="687"/>
      <c r="G307" s="777"/>
      <c r="H307" s="687"/>
      <c r="I307" s="775"/>
      <c r="J307" s="764"/>
      <c r="K307" s="689"/>
      <c r="L307" s="764"/>
    </row>
    <row r="308">
      <c r="A308" s="764"/>
      <c r="B308" s="775"/>
      <c r="C308" s="764"/>
      <c r="D308" s="764"/>
      <c r="E308" s="776"/>
      <c r="F308" s="687"/>
      <c r="G308" s="777"/>
      <c r="H308" s="687"/>
      <c r="I308" s="775"/>
      <c r="J308" s="764"/>
      <c r="K308" s="689"/>
      <c r="L308" s="764"/>
    </row>
    <row r="309">
      <c r="A309" s="764"/>
      <c r="B309" s="775"/>
      <c r="C309" s="764"/>
      <c r="D309" s="764"/>
      <c r="E309" s="776"/>
      <c r="F309" s="687"/>
      <c r="G309" s="777"/>
      <c r="H309" s="687"/>
      <c r="I309" s="775"/>
      <c r="J309" s="764"/>
      <c r="K309" s="689"/>
      <c r="L309" s="764"/>
    </row>
    <row r="310">
      <c r="A310" s="764"/>
      <c r="B310" s="775"/>
      <c r="C310" s="764"/>
      <c r="D310" s="764"/>
      <c r="E310" s="776"/>
      <c r="F310" s="687"/>
      <c r="G310" s="777"/>
      <c r="H310" s="687"/>
      <c r="I310" s="775"/>
      <c r="J310" s="764"/>
      <c r="K310" s="689"/>
      <c r="L310" s="764"/>
    </row>
    <row r="311">
      <c r="A311" s="764"/>
      <c r="B311" s="775"/>
      <c r="C311" s="764"/>
      <c r="D311" s="764"/>
      <c r="E311" s="776"/>
      <c r="F311" s="687"/>
      <c r="G311" s="777"/>
      <c r="H311" s="687"/>
      <c r="I311" s="775"/>
      <c r="J311" s="764"/>
      <c r="K311" s="689"/>
      <c r="L311" s="764"/>
    </row>
    <row r="312">
      <c r="A312" s="764"/>
      <c r="B312" s="775"/>
      <c r="C312" s="764"/>
      <c r="D312" s="764"/>
      <c r="E312" s="776"/>
      <c r="F312" s="687"/>
      <c r="G312" s="777"/>
      <c r="H312" s="687"/>
      <c r="I312" s="775"/>
      <c r="J312" s="764"/>
      <c r="K312" s="689"/>
      <c r="L312" s="764"/>
    </row>
    <row r="313">
      <c r="A313" s="764"/>
      <c r="B313" s="775"/>
      <c r="C313" s="764"/>
      <c r="D313" s="764"/>
      <c r="E313" s="776"/>
      <c r="F313" s="687"/>
      <c r="G313" s="777"/>
      <c r="H313" s="687"/>
      <c r="I313" s="775"/>
      <c r="J313" s="764"/>
      <c r="K313" s="689"/>
      <c r="L313" s="764"/>
    </row>
    <row r="314">
      <c r="A314" s="764"/>
      <c r="B314" s="775"/>
      <c r="C314" s="764"/>
      <c r="D314" s="764"/>
      <c r="E314" s="776"/>
      <c r="F314" s="687"/>
      <c r="G314" s="777"/>
      <c r="H314" s="687"/>
      <c r="I314" s="775"/>
      <c r="J314" s="764"/>
      <c r="K314" s="689"/>
      <c r="L314" s="764"/>
    </row>
    <row r="315">
      <c r="A315" s="764"/>
      <c r="B315" s="775"/>
      <c r="C315" s="764"/>
      <c r="D315" s="764"/>
      <c r="E315" s="776"/>
      <c r="F315" s="687"/>
      <c r="G315" s="777"/>
      <c r="H315" s="687"/>
      <c r="I315" s="775"/>
      <c r="J315" s="764"/>
      <c r="K315" s="689"/>
      <c r="L315" s="764"/>
    </row>
    <row r="316">
      <c r="A316" s="764"/>
      <c r="B316" s="775"/>
      <c r="C316" s="764"/>
      <c r="D316" s="764"/>
      <c r="E316" s="776"/>
      <c r="F316" s="687"/>
      <c r="G316" s="777"/>
      <c r="H316" s="687"/>
      <c r="I316" s="775"/>
      <c r="J316" s="764"/>
      <c r="K316" s="689"/>
      <c r="L316" s="764"/>
    </row>
    <row r="317">
      <c r="A317" s="764"/>
      <c r="B317" s="775"/>
      <c r="C317" s="764"/>
      <c r="D317" s="764"/>
      <c r="E317" s="776"/>
      <c r="F317" s="687"/>
      <c r="G317" s="777"/>
      <c r="H317" s="687"/>
      <c r="I317" s="775"/>
      <c r="J317" s="764"/>
      <c r="K317" s="689"/>
      <c r="L317" s="764"/>
    </row>
    <row r="318">
      <c r="A318" s="764"/>
      <c r="B318" s="775"/>
      <c r="C318" s="764"/>
      <c r="D318" s="764"/>
      <c r="E318" s="776"/>
      <c r="F318" s="687"/>
      <c r="G318" s="777"/>
      <c r="H318" s="687"/>
      <c r="I318" s="775"/>
      <c r="J318" s="764"/>
      <c r="K318" s="689"/>
      <c r="L318" s="764"/>
    </row>
    <row r="319">
      <c r="A319" s="764"/>
      <c r="B319" s="775"/>
      <c r="C319" s="764"/>
      <c r="D319" s="764"/>
      <c r="E319" s="776"/>
      <c r="F319" s="687"/>
      <c r="G319" s="777"/>
      <c r="H319" s="687"/>
      <c r="I319" s="775"/>
      <c r="J319" s="764"/>
      <c r="K319" s="689"/>
      <c r="L319" s="764"/>
    </row>
    <row r="320">
      <c r="A320" s="764"/>
      <c r="B320" s="775"/>
      <c r="C320" s="764"/>
      <c r="D320" s="764"/>
      <c r="E320" s="776"/>
      <c r="F320" s="687"/>
      <c r="G320" s="777"/>
      <c r="H320" s="687"/>
      <c r="I320" s="775"/>
      <c r="J320" s="764"/>
      <c r="K320" s="689"/>
      <c r="L320" s="764"/>
    </row>
    <row r="321">
      <c r="A321" s="764"/>
      <c r="B321" s="775"/>
      <c r="C321" s="764"/>
      <c r="D321" s="764"/>
      <c r="E321" s="776"/>
      <c r="F321" s="687"/>
      <c r="G321" s="777"/>
      <c r="H321" s="687"/>
      <c r="I321" s="775"/>
      <c r="J321" s="764"/>
      <c r="K321" s="689"/>
      <c r="L321" s="764"/>
    </row>
    <row r="322">
      <c r="A322" s="764"/>
      <c r="B322" s="775"/>
      <c r="C322" s="764"/>
      <c r="D322" s="764"/>
      <c r="E322" s="776"/>
      <c r="F322" s="687"/>
      <c r="G322" s="777"/>
      <c r="H322" s="687"/>
      <c r="I322" s="775"/>
      <c r="J322" s="764"/>
      <c r="K322" s="689"/>
      <c r="L322" s="764"/>
    </row>
    <row r="323">
      <c r="A323" s="764"/>
      <c r="B323" s="775"/>
      <c r="C323" s="764"/>
      <c r="D323" s="764"/>
      <c r="E323" s="776"/>
      <c r="F323" s="687"/>
      <c r="G323" s="777"/>
      <c r="H323" s="687"/>
      <c r="I323" s="775"/>
      <c r="J323" s="764"/>
      <c r="K323" s="689"/>
      <c r="L323" s="764"/>
    </row>
    <row r="324">
      <c r="A324" s="764"/>
      <c r="B324" s="775"/>
      <c r="C324" s="764"/>
      <c r="D324" s="764"/>
      <c r="E324" s="776"/>
      <c r="F324" s="687"/>
      <c r="G324" s="777"/>
      <c r="H324" s="687"/>
      <c r="I324" s="775"/>
      <c r="J324" s="764"/>
      <c r="K324" s="689"/>
      <c r="L324" s="764"/>
    </row>
    <row r="325">
      <c r="A325" s="764"/>
      <c r="B325" s="775"/>
      <c r="C325" s="764"/>
      <c r="D325" s="764"/>
      <c r="E325" s="776"/>
      <c r="F325" s="687"/>
      <c r="G325" s="777"/>
      <c r="H325" s="687"/>
      <c r="I325" s="775"/>
      <c r="J325" s="764"/>
      <c r="K325" s="689"/>
      <c r="L325" s="764"/>
    </row>
    <row r="326">
      <c r="A326" s="764"/>
      <c r="B326" s="775"/>
      <c r="C326" s="764"/>
      <c r="D326" s="764"/>
      <c r="E326" s="776"/>
      <c r="F326" s="687"/>
      <c r="G326" s="777"/>
      <c r="H326" s="687"/>
      <c r="I326" s="775"/>
      <c r="J326" s="764"/>
      <c r="K326" s="689"/>
      <c r="L326" s="764"/>
    </row>
    <row r="327">
      <c r="A327" s="764"/>
      <c r="B327" s="775"/>
      <c r="C327" s="764"/>
      <c r="D327" s="764"/>
      <c r="E327" s="776"/>
      <c r="F327" s="687"/>
      <c r="G327" s="777"/>
      <c r="H327" s="687"/>
      <c r="I327" s="775"/>
      <c r="J327" s="764"/>
      <c r="K327" s="689"/>
      <c r="L327" s="764"/>
    </row>
    <row r="328">
      <c r="A328" s="764"/>
      <c r="B328" s="775"/>
      <c r="C328" s="764"/>
      <c r="D328" s="764"/>
      <c r="E328" s="776"/>
      <c r="F328" s="687"/>
      <c r="G328" s="777"/>
      <c r="H328" s="687"/>
      <c r="I328" s="775"/>
      <c r="J328" s="764"/>
      <c r="K328" s="689"/>
      <c r="L328" s="764"/>
    </row>
    <row r="329">
      <c r="A329" s="764"/>
      <c r="B329" s="775"/>
      <c r="C329" s="764"/>
      <c r="D329" s="764"/>
      <c r="E329" s="776"/>
      <c r="F329" s="687"/>
      <c r="G329" s="777"/>
      <c r="H329" s="687"/>
      <c r="I329" s="775"/>
      <c r="J329" s="764"/>
      <c r="K329" s="689"/>
      <c r="L329" s="764"/>
    </row>
    <row r="330">
      <c r="A330" s="764"/>
      <c r="B330" s="775"/>
      <c r="C330" s="764"/>
      <c r="D330" s="764"/>
      <c r="E330" s="776"/>
      <c r="F330" s="687"/>
      <c r="G330" s="777"/>
      <c r="H330" s="687"/>
      <c r="I330" s="775"/>
      <c r="J330" s="764"/>
      <c r="K330" s="689"/>
      <c r="L330" s="764"/>
    </row>
    <row r="331">
      <c r="A331" s="764"/>
      <c r="B331" s="775"/>
      <c r="C331" s="764"/>
      <c r="D331" s="764"/>
      <c r="E331" s="776"/>
      <c r="F331" s="687"/>
      <c r="G331" s="777"/>
      <c r="H331" s="687"/>
      <c r="I331" s="775"/>
      <c r="J331" s="764"/>
      <c r="K331" s="689"/>
      <c r="L331" s="764"/>
    </row>
    <row r="332">
      <c r="A332" s="764"/>
      <c r="B332" s="775"/>
      <c r="C332" s="764"/>
      <c r="D332" s="764"/>
      <c r="E332" s="776"/>
      <c r="F332" s="687"/>
      <c r="G332" s="777"/>
      <c r="H332" s="687"/>
      <c r="I332" s="775"/>
      <c r="J332" s="764"/>
      <c r="K332" s="689"/>
      <c r="L332" s="764"/>
    </row>
    <row r="333">
      <c r="A333" s="764"/>
      <c r="B333" s="775"/>
      <c r="C333" s="764"/>
      <c r="D333" s="764"/>
      <c r="E333" s="776"/>
      <c r="F333" s="687"/>
      <c r="G333" s="777"/>
      <c r="H333" s="687"/>
      <c r="I333" s="775"/>
      <c r="J333" s="764"/>
      <c r="K333" s="689"/>
      <c r="L333" s="764"/>
    </row>
    <row r="334">
      <c r="A334" s="764"/>
      <c r="B334" s="775"/>
      <c r="C334" s="764"/>
      <c r="D334" s="764"/>
      <c r="E334" s="776"/>
      <c r="F334" s="687"/>
      <c r="G334" s="777"/>
      <c r="H334" s="687"/>
      <c r="I334" s="775"/>
      <c r="J334" s="764"/>
      <c r="K334" s="689"/>
      <c r="L334" s="764"/>
    </row>
    <row r="335">
      <c r="A335" s="764"/>
      <c r="B335" s="775"/>
      <c r="C335" s="764"/>
      <c r="D335" s="764"/>
      <c r="E335" s="776"/>
      <c r="F335" s="687"/>
      <c r="G335" s="777"/>
      <c r="H335" s="687"/>
      <c r="I335" s="775"/>
      <c r="J335" s="764"/>
      <c r="K335" s="689"/>
      <c r="L335" s="764"/>
    </row>
    <row r="336">
      <c r="A336" s="764"/>
      <c r="B336" s="775"/>
      <c r="C336" s="764"/>
      <c r="D336" s="764"/>
      <c r="E336" s="776"/>
      <c r="F336" s="687"/>
      <c r="G336" s="777"/>
      <c r="H336" s="687"/>
      <c r="I336" s="775"/>
      <c r="J336" s="764"/>
      <c r="K336" s="689"/>
      <c r="L336" s="764"/>
    </row>
    <row r="337">
      <c r="A337" s="764"/>
      <c r="B337" s="775"/>
      <c r="C337" s="764"/>
      <c r="D337" s="764"/>
      <c r="E337" s="776"/>
      <c r="F337" s="687"/>
      <c r="G337" s="777"/>
      <c r="H337" s="687"/>
      <c r="I337" s="775"/>
      <c r="J337" s="764"/>
      <c r="K337" s="689"/>
      <c r="L337" s="764"/>
    </row>
    <row r="338">
      <c r="A338" s="764"/>
      <c r="B338" s="775"/>
      <c r="C338" s="764"/>
      <c r="D338" s="764"/>
      <c r="E338" s="776"/>
      <c r="F338" s="687"/>
      <c r="G338" s="777"/>
      <c r="H338" s="687"/>
      <c r="I338" s="775"/>
      <c r="J338" s="764"/>
      <c r="K338" s="689"/>
      <c r="L338" s="764"/>
    </row>
    <row r="339">
      <c r="A339" s="764"/>
      <c r="B339" s="775"/>
      <c r="C339" s="764"/>
      <c r="D339" s="764"/>
      <c r="E339" s="776"/>
      <c r="F339" s="687"/>
      <c r="G339" s="777"/>
      <c r="H339" s="687"/>
      <c r="I339" s="775"/>
      <c r="J339" s="764"/>
      <c r="K339" s="689"/>
      <c r="L339" s="764"/>
    </row>
    <row r="340">
      <c r="A340" s="764"/>
      <c r="B340" s="775"/>
      <c r="C340" s="764"/>
      <c r="D340" s="764"/>
      <c r="E340" s="776"/>
      <c r="F340" s="687"/>
      <c r="G340" s="777"/>
      <c r="H340" s="687"/>
      <c r="I340" s="775"/>
      <c r="J340" s="764"/>
      <c r="K340" s="689"/>
      <c r="L340" s="764"/>
    </row>
    <row r="341">
      <c r="A341" s="764"/>
      <c r="B341" s="775"/>
      <c r="C341" s="764"/>
      <c r="D341" s="764"/>
      <c r="E341" s="776"/>
      <c r="F341" s="687"/>
      <c r="G341" s="777"/>
      <c r="H341" s="687"/>
      <c r="I341" s="775"/>
      <c r="J341" s="764"/>
      <c r="K341" s="689"/>
      <c r="L341" s="764"/>
    </row>
    <row r="342">
      <c r="A342" s="764"/>
      <c r="B342" s="775"/>
      <c r="C342" s="764"/>
      <c r="D342" s="764"/>
      <c r="E342" s="776"/>
      <c r="F342" s="687"/>
      <c r="G342" s="777"/>
      <c r="H342" s="687"/>
      <c r="I342" s="775"/>
      <c r="J342" s="764"/>
      <c r="K342" s="689"/>
      <c r="L342" s="764"/>
    </row>
    <row r="343">
      <c r="A343" s="764"/>
      <c r="B343" s="775"/>
      <c r="C343" s="764"/>
      <c r="D343" s="764"/>
      <c r="E343" s="776"/>
      <c r="F343" s="687"/>
      <c r="G343" s="777"/>
      <c r="H343" s="687"/>
      <c r="I343" s="775"/>
      <c r="J343" s="764"/>
      <c r="K343" s="689"/>
      <c r="L343" s="764"/>
    </row>
    <row r="344">
      <c r="A344" s="764"/>
      <c r="B344" s="775"/>
      <c r="C344" s="764"/>
      <c r="D344" s="764"/>
      <c r="E344" s="776"/>
      <c r="F344" s="687"/>
      <c r="G344" s="777"/>
      <c r="H344" s="687"/>
      <c r="I344" s="775"/>
      <c r="J344" s="764"/>
      <c r="K344" s="689"/>
      <c r="L344" s="764"/>
    </row>
    <row r="345">
      <c r="A345" s="764"/>
      <c r="B345" s="775"/>
      <c r="C345" s="764"/>
      <c r="D345" s="764"/>
      <c r="E345" s="776"/>
      <c r="F345" s="687"/>
      <c r="G345" s="777"/>
      <c r="H345" s="687"/>
      <c r="I345" s="775"/>
      <c r="J345" s="764"/>
      <c r="K345" s="689"/>
      <c r="L345" s="764"/>
    </row>
    <row r="346">
      <c r="A346" s="764"/>
      <c r="B346" s="775"/>
      <c r="C346" s="764"/>
      <c r="D346" s="764"/>
      <c r="E346" s="776"/>
      <c r="F346" s="687"/>
      <c r="G346" s="777"/>
      <c r="H346" s="687"/>
      <c r="I346" s="775"/>
      <c r="J346" s="764"/>
      <c r="K346" s="689"/>
      <c r="L346" s="764"/>
    </row>
    <row r="347">
      <c r="A347" s="764"/>
      <c r="B347" s="775"/>
      <c r="C347" s="764"/>
      <c r="D347" s="764"/>
      <c r="E347" s="776"/>
      <c r="F347" s="687"/>
      <c r="G347" s="777"/>
      <c r="H347" s="687"/>
      <c r="I347" s="775"/>
      <c r="J347" s="764"/>
      <c r="K347" s="689"/>
      <c r="L347" s="764"/>
    </row>
    <row r="348">
      <c r="A348" s="764"/>
      <c r="B348" s="775"/>
      <c r="C348" s="764"/>
      <c r="D348" s="764"/>
      <c r="E348" s="776"/>
      <c r="F348" s="687"/>
      <c r="G348" s="777"/>
      <c r="H348" s="687"/>
      <c r="I348" s="775"/>
      <c r="J348" s="764"/>
      <c r="K348" s="689"/>
      <c r="L348" s="764"/>
    </row>
    <row r="349">
      <c r="A349" s="764"/>
      <c r="B349" s="775"/>
      <c r="C349" s="764"/>
      <c r="D349" s="764"/>
      <c r="E349" s="776"/>
      <c r="F349" s="687"/>
      <c r="G349" s="777"/>
      <c r="H349" s="687"/>
      <c r="I349" s="775"/>
      <c r="J349" s="764"/>
      <c r="K349" s="689"/>
      <c r="L349" s="764"/>
    </row>
    <row r="350">
      <c r="A350" s="764"/>
      <c r="B350" s="775"/>
      <c r="C350" s="764"/>
      <c r="D350" s="764"/>
      <c r="E350" s="776"/>
      <c r="F350" s="687"/>
      <c r="G350" s="777"/>
      <c r="H350" s="687"/>
      <c r="I350" s="775"/>
      <c r="J350" s="764"/>
      <c r="K350" s="689"/>
      <c r="L350" s="764"/>
    </row>
    <row r="351">
      <c r="A351" s="764"/>
      <c r="B351" s="775"/>
      <c r="C351" s="764"/>
      <c r="D351" s="764"/>
      <c r="E351" s="776"/>
      <c r="F351" s="687"/>
      <c r="G351" s="777"/>
      <c r="H351" s="687"/>
      <c r="I351" s="775"/>
      <c r="J351" s="764"/>
      <c r="K351" s="689"/>
      <c r="L351" s="764"/>
    </row>
    <row r="352">
      <c r="A352" s="764"/>
      <c r="B352" s="775"/>
      <c r="C352" s="764"/>
      <c r="D352" s="764"/>
      <c r="E352" s="776"/>
      <c r="F352" s="687"/>
      <c r="G352" s="777"/>
      <c r="H352" s="687"/>
      <c r="I352" s="775"/>
      <c r="J352" s="764"/>
      <c r="K352" s="689"/>
      <c r="L352" s="764"/>
    </row>
    <row r="353">
      <c r="A353" s="764"/>
      <c r="B353" s="775"/>
      <c r="C353" s="764"/>
      <c r="D353" s="764"/>
      <c r="E353" s="776"/>
      <c r="F353" s="687"/>
      <c r="G353" s="777"/>
      <c r="H353" s="687"/>
      <c r="I353" s="775"/>
      <c r="J353" s="764"/>
      <c r="K353" s="689"/>
      <c r="L353" s="764"/>
    </row>
    <row r="354">
      <c r="A354" s="764"/>
      <c r="B354" s="775"/>
      <c r="C354" s="764"/>
      <c r="D354" s="764"/>
      <c r="E354" s="776"/>
      <c r="F354" s="687"/>
      <c r="G354" s="777"/>
      <c r="H354" s="687"/>
      <c r="I354" s="775"/>
      <c r="J354" s="764"/>
      <c r="K354" s="689"/>
      <c r="L354" s="764"/>
    </row>
    <row r="355">
      <c r="A355" s="764"/>
      <c r="B355" s="775"/>
      <c r="C355" s="764"/>
      <c r="D355" s="764"/>
      <c r="E355" s="776"/>
      <c r="F355" s="687"/>
      <c r="G355" s="777"/>
      <c r="H355" s="687"/>
      <c r="I355" s="775"/>
      <c r="J355" s="764"/>
      <c r="K355" s="689"/>
      <c r="L355" s="764"/>
    </row>
    <row r="356">
      <c r="A356" s="764"/>
      <c r="B356" s="775"/>
      <c r="C356" s="764"/>
      <c r="D356" s="764"/>
      <c r="E356" s="776"/>
      <c r="F356" s="687"/>
      <c r="G356" s="777"/>
      <c r="H356" s="687"/>
      <c r="I356" s="775"/>
      <c r="J356" s="764"/>
      <c r="K356" s="689"/>
      <c r="L356" s="764"/>
    </row>
    <row r="357">
      <c r="A357" s="764"/>
      <c r="B357" s="775"/>
      <c r="C357" s="764"/>
      <c r="D357" s="764"/>
      <c r="E357" s="776"/>
      <c r="F357" s="687"/>
      <c r="G357" s="777"/>
      <c r="H357" s="687"/>
      <c r="I357" s="775"/>
      <c r="J357" s="764"/>
      <c r="K357" s="689"/>
      <c r="L357" s="764"/>
    </row>
    <row r="358">
      <c r="A358" s="764"/>
      <c r="B358" s="775"/>
      <c r="C358" s="764"/>
      <c r="D358" s="764"/>
      <c r="E358" s="776"/>
      <c r="F358" s="687"/>
      <c r="G358" s="777"/>
      <c r="H358" s="687"/>
      <c r="I358" s="775"/>
      <c r="J358" s="764"/>
      <c r="K358" s="689"/>
      <c r="L358" s="764"/>
    </row>
    <row r="359">
      <c r="A359" s="764"/>
      <c r="B359" s="775"/>
      <c r="C359" s="764"/>
      <c r="D359" s="764"/>
      <c r="E359" s="776"/>
      <c r="F359" s="687"/>
      <c r="G359" s="777"/>
      <c r="H359" s="687"/>
      <c r="I359" s="775"/>
      <c r="J359" s="764"/>
      <c r="K359" s="689"/>
      <c r="L359" s="764"/>
    </row>
    <row r="360">
      <c r="A360" s="764"/>
      <c r="B360" s="775"/>
      <c r="C360" s="764"/>
      <c r="D360" s="764"/>
      <c r="E360" s="776"/>
      <c r="F360" s="687"/>
      <c r="G360" s="777"/>
      <c r="H360" s="687"/>
      <c r="I360" s="775"/>
      <c r="J360" s="764"/>
      <c r="K360" s="689"/>
      <c r="L360" s="764"/>
    </row>
    <row r="361">
      <c r="A361" s="764"/>
      <c r="B361" s="775"/>
      <c r="C361" s="764"/>
      <c r="D361" s="764"/>
      <c r="E361" s="776"/>
      <c r="F361" s="687"/>
      <c r="G361" s="777"/>
      <c r="H361" s="687"/>
      <c r="I361" s="775"/>
      <c r="J361" s="764"/>
      <c r="K361" s="689"/>
      <c r="L361" s="764"/>
    </row>
    <row r="362">
      <c r="A362" s="764"/>
      <c r="B362" s="775"/>
      <c r="C362" s="764"/>
      <c r="D362" s="764"/>
      <c r="E362" s="776"/>
      <c r="F362" s="687"/>
      <c r="G362" s="777"/>
      <c r="H362" s="687"/>
      <c r="I362" s="775"/>
      <c r="J362" s="764"/>
      <c r="K362" s="689"/>
      <c r="L362" s="764"/>
    </row>
    <row r="363">
      <c r="A363" s="764"/>
      <c r="B363" s="775"/>
      <c r="C363" s="764"/>
      <c r="D363" s="764"/>
      <c r="E363" s="776"/>
      <c r="F363" s="687"/>
      <c r="G363" s="777"/>
      <c r="H363" s="687"/>
      <c r="I363" s="775"/>
      <c r="J363" s="764"/>
      <c r="K363" s="689"/>
      <c r="L363" s="764"/>
    </row>
    <row r="364">
      <c r="A364" s="764"/>
      <c r="B364" s="775"/>
      <c r="C364" s="764"/>
      <c r="D364" s="764"/>
      <c r="E364" s="776"/>
      <c r="F364" s="687"/>
      <c r="G364" s="777"/>
      <c r="H364" s="687"/>
      <c r="I364" s="775"/>
      <c r="J364" s="764"/>
      <c r="K364" s="689"/>
      <c r="L364" s="764"/>
    </row>
    <row r="365">
      <c r="A365" s="764"/>
      <c r="B365" s="775"/>
      <c r="C365" s="764"/>
      <c r="D365" s="764"/>
      <c r="E365" s="776"/>
      <c r="F365" s="687"/>
      <c r="G365" s="777"/>
      <c r="H365" s="687"/>
      <c r="I365" s="775"/>
      <c r="J365" s="764"/>
      <c r="K365" s="689"/>
      <c r="L365" s="764"/>
    </row>
    <row r="366">
      <c r="A366" s="764"/>
      <c r="B366" s="775"/>
      <c r="C366" s="764"/>
      <c r="D366" s="764"/>
      <c r="E366" s="776"/>
      <c r="F366" s="687"/>
      <c r="G366" s="777"/>
      <c r="H366" s="687"/>
      <c r="I366" s="775"/>
      <c r="J366" s="764"/>
      <c r="K366" s="689"/>
      <c r="L366" s="764"/>
    </row>
    <row r="367">
      <c r="A367" s="764"/>
      <c r="B367" s="775"/>
      <c r="C367" s="764"/>
      <c r="D367" s="764"/>
      <c r="E367" s="776"/>
      <c r="F367" s="687"/>
      <c r="G367" s="777"/>
      <c r="H367" s="687"/>
      <c r="I367" s="775"/>
      <c r="J367" s="764"/>
      <c r="K367" s="689"/>
      <c r="L367" s="764"/>
    </row>
    <row r="368">
      <c r="A368" s="764"/>
      <c r="B368" s="775"/>
      <c r="C368" s="764"/>
      <c r="D368" s="764"/>
      <c r="E368" s="776"/>
      <c r="F368" s="687"/>
      <c r="G368" s="777"/>
      <c r="H368" s="687"/>
      <c r="I368" s="775"/>
      <c r="J368" s="764"/>
      <c r="K368" s="689"/>
      <c r="L368" s="764"/>
    </row>
    <row r="369">
      <c r="A369" s="764"/>
      <c r="B369" s="775"/>
      <c r="C369" s="764"/>
      <c r="D369" s="764"/>
      <c r="E369" s="776"/>
      <c r="F369" s="687"/>
      <c r="G369" s="777"/>
      <c r="H369" s="687"/>
      <c r="I369" s="775"/>
      <c r="J369" s="764"/>
      <c r="K369" s="689"/>
      <c r="L369" s="764"/>
    </row>
    <row r="370">
      <c r="A370" s="764"/>
      <c r="B370" s="775"/>
      <c r="C370" s="764"/>
      <c r="D370" s="764"/>
      <c r="E370" s="776"/>
      <c r="F370" s="687"/>
      <c r="G370" s="777"/>
      <c r="H370" s="687"/>
      <c r="I370" s="775"/>
      <c r="J370" s="764"/>
      <c r="K370" s="689"/>
      <c r="L370" s="764"/>
    </row>
    <row r="371">
      <c r="A371" s="764"/>
      <c r="B371" s="775"/>
      <c r="C371" s="764"/>
      <c r="D371" s="764"/>
      <c r="E371" s="776"/>
      <c r="F371" s="687"/>
      <c r="G371" s="777"/>
      <c r="H371" s="687"/>
      <c r="I371" s="775"/>
      <c r="J371" s="764"/>
      <c r="K371" s="689"/>
      <c r="L371" s="764"/>
    </row>
    <row r="372">
      <c r="A372" s="764"/>
      <c r="B372" s="775"/>
      <c r="C372" s="764"/>
      <c r="D372" s="764"/>
      <c r="E372" s="776"/>
      <c r="F372" s="687"/>
      <c r="G372" s="777"/>
      <c r="H372" s="687"/>
      <c r="I372" s="775"/>
      <c r="J372" s="764"/>
      <c r="K372" s="689"/>
      <c r="L372" s="764"/>
    </row>
    <row r="373">
      <c r="A373" s="764"/>
      <c r="B373" s="775"/>
      <c r="C373" s="764"/>
      <c r="D373" s="764"/>
      <c r="E373" s="776"/>
      <c r="F373" s="687"/>
      <c r="G373" s="777"/>
      <c r="H373" s="687"/>
      <c r="I373" s="775"/>
      <c r="J373" s="764"/>
      <c r="K373" s="689"/>
      <c r="L373" s="764"/>
    </row>
    <row r="374">
      <c r="A374" s="764"/>
      <c r="B374" s="775"/>
      <c r="C374" s="764"/>
      <c r="D374" s="764"/>
      <c r="E374" s="776"/>
      <c r="F374" s="687"/>
      <c r="G374" s="777"/>
      <c r="H374" s="687"/>
      <c r="I374" s="775"/>
      <c r="J374" s="764"/>
      <c r="K374" s="689"/>
      <c r="L374" s="764"/>
    </row>
    <row r="375">
      <c r="A375" s="764"/>
      <c r="B375" s="775"/>
      <c r="C375" s="764"/>
      <c r="D375" s="764"/>
      <c r="E375" s="776"/>
      <c r="F375" s="687"/>
      <c r="G375" s="777"/>
      <c r="H375" s="687"/>
      <c r="I375" s="775"/>
      <c r="J375" s="764"/>
      <c r="K375" s="689"/>
      <c r="L375" s="764"/>
    </row>
    <row r="376">
      <c r="A376" s="764"/>
      <c r="B376" s="775"/>
      <c r="C376" s="764"/>
      <c r="D376" s="764"/>
      <c r="E376" s="776"/>
      <c r="F376" s="687"/>
      <c r="G376" s="777"/>
      <c r="H376" s="687"/>
      <c r="I376" s="775"/>
      <c r="J376" s="764"/>
      <c r="K376" s="689"/>
      <c r="L376" s="764"/>
    </row>
    <row r="377">
      <c r="A377" s="764"/>
      <c r="B377" s="775"/>
      <c r="C377" s="764"/>
      <c r="D377" s="764"/>
      <c r="E377" s="776"/>
      <c r="F377" s="687"/>
      <c r="G377" s="777"/>
      <c r="H377" s="687"/>
      <c r="I377" s="775"/>
      <c r="J377" s="764"/>
      <c r="K377" s="689"/>
      <c r="L377" s="764"/>
    </row>
    <row r="378">
      <c r="A378" s="764"/>
      <c r="B378" s="775"/>
      <c r="C378" s="764"/>
      <c r="D378" s="764"/>
      <c r="E378" s="776"/>
      <c r="F378" s="687"/>
      <c r="G378" s="777"/>
      <c r="H378" s="687"/>
      <c r="I378" s="775"/>
      <c r="J378" s="764"/>
      <c r="K378" s="689"/>
      <c r="L378" s="764"/>
    </row>
    <row r="379">
      <c r="A379" s="764"/>
      <c r="B379" s="775"/>
      <c r="C379" s="764"/>
      <c r="D379" s="764"/>
      <c r="E379" s="776"/>
      <c r="F379" s="687"/>
      <c r="G379" s="777"/>
      <c r="H379" s="687"/>
      <c r="I379" s="775"/>
      <c r="J379" s="764"/>
      <c r="K379" s="689"/>
      <c r="L379" s="764"/>
    </row>
    <row r="380">
      <c r="A380" s="764"/>
      <c r="B380" s="775"/>
      <c r="C380" s="764"/>
      <c r="D380" s="764"/>
      <c r="E380" s="776"/>
      <c r="F380" s="687"/>
      <c r="G380" s="777"/>
      <c r="H380" s="687"/>
      <c r="I380" s="775"/>
      <c r="J380" s="764"/>
      <c r="K380" s="689"/>
      <c r="L380" s="764"/>
    </row>
    <row r="381">
      <c r="A381" s="764"/>
      <c r="B381" s="775"/>
      <c r="C381" s="764"/>
      <c r="D381" s="764"/>
      <c r="E381" s="776"/>
      <c r="F381" s="687"/>
      <c r="G381" s="777"/>
      <c r="H381" s="687"/>
      <c r="I381" s="775"/>
      <c r="J381" s="764"/>
      <c r="K381" s="689"/>
      <c r="L381" s="764"/>
    </row>
    <row r="382">
      <c r="A382" s="764"/>
      <c r="B382" s="775"/>
      <c r="C382" s="764"/>
      <c r="D382" s="764"/>
      <c r="E382" s="776"/>
      <c r="F382" s="687"/>
      <c r="G382" s="777"/>
      <c r="H382" s="687"/>
      <c r="I382" s="775"/>
      <c r="J382" s="764"/>
      <c r="K382" s="689"/>
      <c r="L382" s="764"/>
    </row>
    <row r="383">
      <c r="A383" s="764"/>
      <c r="B383" s="775"/>
      <c r="C383" s="764"/>
      <c r="D383" s="764"/>
      <c r="E383" s="776"/>
      <c r="F383" s="687"/>
      <c r="G383" s="777"/>
      <c r="H383" s="687"/>
      <c r="I383" s="775"/>
      <c r="J383" s="764"/>
      <c r="K383" s="689"/>
      <c r="L383" s="764"/>
    </row>
    <row r="384">
      <c r="A384" s="764"/>
      <c r="B384" s="775"/>
      <c r="C384" s="764"/>
      <c r="D384" s="764"/>
      <c r="E384" s="776"/>
      <c r="F384" s="687"/>
      <c r="G384" s="777"/>
      <c r="H384" s="687"/>
      <c r="I384" s="775"/>
      <c r="J384" s="764"/>
      <c r="K384" s="689"/>
      <c r="L384" s="764"/>
    </row>
    <row r="385">
      <c r="A385" s="764"/>
      <c r="B385" s="775"/>
      <c r="C385" s="764"/>
      <c r="D385" s="764"/>
      <c r="E385" s="776"/>
      <c r="F385" s="687"/>
      <c r="G385" s="777"/>
      <c r="H385" s="687"/>
      <c r="I385" s="775"/>
      <c r="J385" s="764"/>
      <c r="K385" s="689"/>
      <c r="L385" s="764"/>
    </row>
    <row r="386">
      <c r="A386" s="764"/>
      <c r="B386" s="775"/>
      <c r="C386" s="764"/>
      <c r="D386" s="764"/>
      <c r="E386" s="776"/>
      <c r="F386" s="687"/>
      <c r="G386" s="777"/>
      <c r="H386" s="687"/>
      <c r="I386" s="775"/>
      <c r="J386" s="764"/>
      <c r="K386" s="689"/>
      <c r="L386" s="764"/>
    </row>
    <row r="387">
      <c r="A387" s="764"/>
      <c r="B387" s="775"/>
      <c r="C387" s="764"/>
      <c r="D387" s="764"/>
      <c r="E387" s="776"/>
      <c r="F387" s="687"/>
      <c r="G387" s="777"/>
      <c r="H387" s="687"/>
      <c r="I387" s="775"/>
      <c r="J387" s="764"/>
      <c r="K387" s="689"/>
      <c r="L387" s="764"/>
    </row>
    <row r="388">
      <c r="A388" s="764"/>
      <c r="B388" s="775"/>
      <c r="C388" s="764"/>
      <c r="D388" s="764"/>
      <c r="E388" s="776"/>
      <c r="F388" s="687"/>
      <c r="G388" s="777"/>
      <c r="H388" s="687"/>
      <c r="I388" s="775"/>
      <c r="J388" s="764"/>
      <c r="K388" s="689"/>
      <c r="L388" s="764"/>
    </row>
    <row r="389">
      <c r="A389" s="764"/>
      <c r="B389" s="775"/>
      <c r="C389" s="764"/>
      <c r="D389" s="764"/>
      <c r="E389" s="776"/>
      <c r="F389" s="687"/>
      <c r="G389" s="777"/>
      <c r="H389" s="687"/>
      <c r="I389" s="775"/>
      <c r="J389" s="764"/>
      <c r="K389" s="689"/>
      <c r="L389" s="764"/>
    </row>
    <row r="390">
      <c r="A390" s="764"/>
      <c r="B390" s="775"/>
      <c r="C390" s="764"/>
      <c r="D390" s="764"/>
      <c r="E390" s="776"/>
      <c r="F390" s="687"/>
      <c r="G390" s="777"/>
      <c r="H390" s="687"/>
      <c r="I390" s="775"/>
      <c r="J390" s="764"/>
      <c r="K390" s="689"/>
      <c r="L390" s="764"/>
    </row>
    <row r="391">
      <c r="A391" s="764"/>
      <c r="B391" s="775"/>
      <c r="C391" s="764"/>
      <c r="D391" s="764"/>
      <c r="E391" s="776"/>
      <c r="F391" s="687"/>
      <c r="G391" s="777"/>
      <c r="H391" s="687"/>
      <c r="I391" s="775"/>
      <c r="J391" s="764"/>
      <c r="K391" s="689"/>
      <c r="L391" s="764"/>
    </row>
    <row r="392">
      <c r="A392" s="764"/>
      <c r="B392" s="775"/>
      <c r="C392" s="764"/>
      <c r="D392" s="764"/>
      <c r="E392" s="776"/>
      <c r="F392" s="687"/>
      <c r="G392" s="777"/>
      <c r="H392" s="687"/>
      <c r="I392" s="775"/>
      <c r="J392" s="764"/>
      <c r="K392" s="689"/>
      <c r="L392" s="764"/>
    </row>
    <row r="393">
      <c r="A393" s="764"/>
      <c r="B393" s="775"/>
      <c r="C393" s="764"/>
      <c r="D393" s="764"/>
      <c r="E393" s="776"/>
      <c r="F393" s="687"/>
      <c r="G393" s="777"/>
      <c r="H393" s="687"/>
      <c r="I393" s="775"/>
      <c r="J393" s="764"/>
      <c r="K393" s="689"/>
      <c r="L393" s="764"/>
    </row>
    <row r="394">
      <c r="A394" s="764"/>
      <c r="B394" s="775"/>
      <c r="C394" s="764"/>
      <c r="D394" s="764"/>
      <c r="E394" s="776"/>
      <c r="F394" s="687"/>
      <c r="G394" s="777"/>
      <c r="H394" s="687"/>
      <c r="I394" s="775"/>
      <c r="J394" s="764"/>
      <c r="K394" s="689"/>
      <c r="L394" s="764"/>
    </row>
    <row r="395">
      <c r="A395" s="764"/>
      <c r="B395" s="775"/>
      <c r="C395" s="764"/>
      <c r="D395" s="764"/>
      <c r="E395" s="776"/>
      <c r="F395" s="687"/>
      <c r="G395" s="777"/>
      <c r="H395" s="687"/>
      <c r="I395" s="775"/>
      <c r="J395" s="764"/>
      <c r="K395" s="689"/>
      <c r="L395" s="764"/>
    </row>
    <row r="396">
      <c r="A396" s="764"/>
      <c r="B396" s="775"/>
      <c r="C396" s="764"/>
      <c r="D396" s="764"/>
      <c r="E396" s="776"/>
      <c r="F396" s="687"/>
      <c r="G396" s="777"/>
      <c r="H396" s="687"/>
      <c r="I396" s="775"/>
      <c r="J396" s="764"/>
      <c r="K396" s="689"/>
      <c r="L396" s="764"/>
    </row>
    <row r="397">
      <c r="A397" s="764"/>
      <c r="B397" s="775"/>
      <c r="C397" s="764"/>
      <c r="D397" s="764"/>
      <c r="E397" s="776"/>
      <c r="F397" s="687"/>
      <c r="G397" s="777"/>
      <c r="H397" s="687"/>
      <c r="I397" s="775"/>
      <c r="J397" s="764"/>
      <c r="K397" s="689"/>
      <c r="L397" s="764"/>
    </row>
    <row r="398">
      <c r="A398" s="764"/>
      <c r="B398" s="775"/>
      <c r="C398" s="764"/>
      <c r="D398" s="764"/>
      <c r="E398" s="776"/>
      <c r="F398" s="687"/>
      <c r="G398" s="777"/>
      <c r="H398" s="687"/>
      <c r="I398" s="775"/>
      <c r="J398" s="764"/>
      <c r="K398" s="689"/>
      <c r="L398" s="764"/>
    </row>
    <row r="399">
      <c r="A399" s="764"/>
      <c r="B399" s="775"/>
      <c r="C399" s="764"/>
      <c r="D399" s="764"/>
      <c r="E399" s="776"/>
      <c r="F399" s="687"/>
      <c r="G399" s="777"/>
      <c r="H399" s="687"/>
      <c r="I399" s="775"/>
      <c r="J399" s="764"/>
      <c r="K399" s="689"/>
      <c r="L399" s="764"/>
    </row>
    <row r="400">
      <c r="A400" s="764"/>
      <c r="B400" s="775"/>
      <c r="C400" s="764"/>
      <c r="D400" s="764"/>
      <c r="E400" s="776"/>
      <c r="F400" s="687"/>
      <c r="G400" s="777"/>
      <c r="H400" s="687"/>
      <c r="I400" s="775"/>
      <c r="J400" s="764"/>
      <c r="K400" s="689"/>
      <c r="L400" s="764"/>
    </row>
    <row r="401">
      <c r="A401" s="764"/>
      <c r="B401" s="775"/>
      <c r="C401" s="764"/>
      <c r="D401" s="764"/>
      <c r="E401" s="776"/>
      <c r="F401" s="687"/>
      <c r="G401" s="777"/>
      <c r="H401" s="687"/>
      <c r="I401" s="775"/>
      <c r="J401" s="764"/>
      <c r="K401" s="689"/>
      <c r="L401" s="764"/>
    </row>
    <row r="402">
      <c r="A402" s="764"/>
      <c r="B402" s="775"/>
      <c r="C402" s="764"/>
      <c r="D402" s="764"/>
      <c r="E402" s="776"/>
      <c r="F402" s="687"/>
      <c r="G402" s="777"/>
      <c r="H402" s="687"/>
      <c r="I402" s="775"/>
      <c r="J402" s="764"/>
      <c r="K402" s="689"/>
      <c r="L402" s="764"/>
    </row>
    <row r="403">
      <c r="A403" s="764"/>
      <c r="B403" s="775"/>
      <c r="C403" s="764"/>
      <c r="D403" s="764"/>
      <c r="E403" s="776"/>
      <c r="F403" s="687"/>
      <c r="G403" s="777"/>
      <c r="H403" s="687"/>
      <c r="I403" s="775"/>
      <c r="J403" s="764"/>
      <c r="K403" s="689"/>
      <c r="L403" s="764"/>
    </row>
    <row r="404">
      <c r="A404" s="764"/>
      <c r="B404" s="775"/>
      <c r="C404" s="764"/>
      <c r="D404" s="764"/>
      <c r="E404" s="776"/>
      <c r="F404" s="687"/>
      <c r="G404" s="777"/>
      <c r="H404" s="687"/>
      <c r="I404" s="775"/>
      <c r="J404" s="764"/>
      <c r="K404" s="689"/>
      <c r="L404" s="764"/>
    </row>
    <row r="405">
      <c r="A405" s="764"/>
      <c r="B405" s="775"/>
      <c r="C405" s="764"/>
      <c r="D405" s="764"/>
      <c r="E405" s="776"/>
      <c r="F405" s="687"/>
      <c r="G405" s="777"/>
      <c r="H405" s="687"/>
      <c r="I405" s="775"/>
      <c r="J405" s="764"/>
      <c r="K405" s="689"/>
      <c r="L405" s="764"/>
    </row>
    <row r="406">
      <c r="A406" s="764"/>
      <c r="B406" s="775"/>
      <c r="C406" s="764"/>
      <c r="D406" s="764"/>
      <c r="E406" s="776"/>
      <c r="F406" s="687"/>
      <c r="G406" s="777"/>
      <c r="H406" s="687"/>
      <c r="I406" s="775"/>
      <c r="J406" s="764"/>
      <c r="K406" s="689"/>
      <c r="L406" s="764"/>
    </row>
    <row r="407">
      <c r="A407" s="764"/>
      <c r="B407" s="775"/>
      <c r="C407" s="764"/>
      <c r="D407" s="764"/>
      <c r="E407" s="776"/>
      <c r="F407" s="687"/>
      <c r="G407" s="777"/>
      <c r="H407" s="687"/>
      <c r="I407" s="775"/>
      <c r="J407" s="764"/>
      <c r="K407" s="689"/>
      <c r="L407" s="764"/>
    </row>
    <row r="408">
      <c r="A408" s="764"/>
      <c r="B408" s="775"/>
      <c r="C408" s="764"/>
      <c r="D408" s="764"/>
      <c r="E408" s="776"/>
      <c r="F408" s="687"/>
      <c r="G408" s="777"/>
      <c r="H408" s="687"/>
      <c r="I408" s="775"/>
      <c r="J408" s="764"/>
      <c r="K408" s="689"/>
      <c r="L408" s="764"/>
    </row>
    <row r="409">
      <c r="A409" s="764"/>
      <c r="B409" s="775"/>
      <c r="C409" s="764"/>
      <c r="D409" s="764"/>
      <c r="E409" s="776"/>
      <c r="F409" s="687"/>
      <c r="G409" s="777"/>
      <c r="H409" s="687"/>
      <c r="I409" s="775"/>
      <c r="J409" s="764"/>
      <c r="K409" s="689"/>
      <c r="L409" s="764"/>
    </row>
    <row r="410">
      <c r="A410" s="764"/>
      <c r="B410" s="775"/>
      <c r="C410" s="764"/>
      <c r="D410" s="764"/>
      <c r="E410" s="776"/>
      <c r="F410" s="687"/>
      <c r="G410" s="777"/>
      <c r="H410" s="687"/>
      <c r="I410" s="775"/>
      <c r="J410" s="764"/>
      <c r="K410" s="689"/>
      <c r="L410" s="764"/>
    </row>
    <row r="411">
      <c r="A411" s="764"/>
      <c r="B411" s="775"/>
      <c r="C411" s="764"/>
      <c r="D411" s="764"/>
      <c r="E411" s="776"/>
      <c r="F411" s="687"/>
      <c r="G411" s="777"/>
      <c r="H411" s="687"/>
      <c r="I411" s="775"/>
      <c r="J411" s="764"/>
      <c r="K411" s="689"/>
      <c r="L411" s="764"/>
    </row>
    <row r="412">
      <c r="A412" s="764"/>
      <c r="B412" s="775"/>
      <c r="C412" s="764"/>
      <c r="D412" s="764"/>
      <c r="E412" s="776"/>
      <c r="F412" s="687"/>
      <c r="G412" s="777"/>
      <c r="H412" s="687"/>
      <c r="I412" s="775"/>
      <c r="J412" s="764"/>
      <c r="K412" s="689"/>
      <c r="L412" s="764"/>
    </row>
    <row r="413">
      <c r="A413" s="764"/>
      <c r="B413" s="775"/>
      <c r="C413" s="764"/>
      <c r="D413" s="764"/>
      <c r="E413" s="776"/>
      <c r="F413" s="687"/>
      <c r="G413" s="777"/>
      <c r="H413" s="687"/>
      <c r="I413" s="775"/>
      <c r="J413" s="764"/>
      <c r="K413" s="689"/>
      <c r="L413" s="764"/>
    </row>
    <row r="414">
      <c r="A414" s="764"/>
      <c r="B414" s="775"/>
      <c r="C414" s="764"/>
      <c r="D414" s="764"/>
      <c r="E414" s="776"/>
      <c r="F414" s="687"/>
      <c r="G414" s="777"/>
      <c r="H414" s="687"/>
      <c r="I414" s="775"/>
      <c r="J414" s="764"/>
      <c r="K414" s="689"/>
      <c r="L414" s="764"/>
    </row>
    <row r="415">
      <c r="A415" s="764"/>
      <c r="B415" s="775"/>
      <c r="C415" s="764"/>
      <c r="D415" s="764"/>
      <c r="E415" s="776"/>
      <c r="F415" s="687"/>
      <c r="G415" s="777"/>
      <c r="H415" s="687"/>
      <c r="I415" s="775"/>
      <c r="J415" s="764"/>
      <c r="K415" s="689"/>
      <c r="L415" s="764"/>
    </row>
    <row r="416">
      <c r="A416" s="764"/>
      <c r="B416" s="775"/>
      <c r="C416" s="764"/>
      <c r="D416" s="764"/>
      <c r="E416" s="776"/>
      <c r="F416" s="687"/>
      <c r="G416" s="777"/>
      <c r="H416" s="687"/>
      <c r="I416" s="775"/>
      <c r="J416" s="764"/>
      <c r="K416" s="689"/>
      <c r="L416" s="764"/>
    </row>
    <row r="417">
      <c r="A417" s="764"/>
      <c r="B417" s="775"/>
      <c r="C417" s="764"/>
      <c r="D417" s="764"/>
      <c r="E417" s="776"/>
      <c r="F417" s="687"/>
      <c r="G417" s="777"/>
      <c r="H417" s="687"/>
      <c r="I417" s="775"/>
      <c r="J417" s="764"/>
      <c r="K417" s="689"/>
      <c r="L417" s="764"/>
    </row>
    <row r="418">
      <c r="A418" s="764"/>
      <c r="B418" s="775"/>
      <c r="C418" s="764"/>
      <c r="D418" s="764"/>
      <c r="E418" s="776"/>
      <c r="F418" s="687"/>
      <c r="G418" s="777"/>
      <c r="H418" s="687"/>
      <c r="I418" s="775"/>
      <c r="J418" s="764"/>
      <c r="K418" s="689"/>
      <c r="L418" s="764"/>
    </row>
    <row r="419">
      <c r="A419" s="764"/>
      <c r="B419" s="775"/>
      <c r="C419" s="764"/>
      <c r="D419" s="764"/>
      <c r="E419" s="776"/>
      <c r="F419" s="687"/>
      <c r="G419" s="777"/>
      <c r="H419" s="687"/>
      <c r="I419" s="775"/>
      <c r="J419" s="764"/>
      <c r="K419" s="689"/>
      <c r="L419" s="764"/>
    </row>
    <row r="420">
      <c r="A420" s="764"/>
      <c r="B420" s="775"/>
      <c r="C420" s="764"/>
      <c r="D420" s="764"/>
      <c r="E420" s="776"/>
      <c r="F420" s="687"/>
      <c r="G420" s="777"/>
      <c r="H420" s="687"/>
      <c r="I420" s="775"/>
      <c r="J420" s="764"/>
      <c r="K420" s="689"/>
      <c r="L420" s="764"/>
    </row>
    <row r="421">
      <c r="A421" s="764"/>
      <c r="B421" s="775"/>
      <c r="C421" s="764"/>
      <c r="D421" s="764"/>
      <c r="E421" s="776"/>
      <c r="F421" s="687"/>
      <c r="G421" s="777"/>
      <c r="H421" s="687"/>
      <c r="I421" s="775"/>
      <c r="J421" s="764"/>
      <c r="K421" s="689"/>
      <c r="L421" s="764"/>
    </row>
    <row r="422">
      <c r="A422" s="764"/>
      <c r="B422" s="775"/>
      <c r="C422" s="764"/>
      <c r="D422" s="764"/>
      <c r="E422" s="776"/>
      <c r="F422" s="687"/>
      <c r="G422" s="777"/>
      <c r="H422" s="687"/>
      <c r="I422" s="775"/>
      <c r="J422" s="764"/>
      <c r="K422" s="689"/>
      <c r="L422" s="764"/>
    </row>
    <row r="423">
      <c r="A423" s="764"/>
      <c r="B423" s="775"/>
      <c r="C423" s="764"/>
      <c r="D423" s="764"/>
      <c r="E423" s="776"/>
      <c r="F423" s="687"/>
      <c r="G423" s="777"/>
      <c r="H423" s="687"/>
      <c r="I423" s="775"/>
      <c r="J423" s="764"/>
      <c r="K423" s="689"/>
      <c r="L423" s="764"/>
    </row>
    <row r="424">
      <c r="A424" s="764"/>
      <c r="B424" s="775"/>
      <c r="C424" s="764"/>
      <c r="D424" s="764"/>
      <c r="E424" s="776"/>
      <c r="F424" s="687"/>
      <c r="G424" s="777"/>
      <c r="H424" s="687"/>
      <c r="I424" s="775"/>
      <c r="J424" s="764"/>
      <c r="K424" s="689"/>
      <c r="L424" s="764"/>
    </row>
    <row r="425">
      <c r="A425" s="764"/>
      <c r="B425" s="775"/>
      <c r="C425" s="764"/>
      <c r="D425" s="764"/>
      <c r="E425" s="776"/>
      <c r="F425" s="687"/>
      <c r="G425" s="777"/>
      <c r="H425" s="687"/>
      <c r="I425" s="775"/>
      <c r="J425" s="764"/>
      <c r="K425" s="689"/>
      <c r="L425" s="764"/>
    </row>
    <row r="426">
      <c r="A426" s="764"/>
      <c r="B426" s="775"/>
      <c r="C426" s="764"/>
      <c r="D426" s="764"/>
      <c r="E426" s="776"/>
      <c r="F426" s="687"/>
      <c r="G426" s="777"/>
      <c r="H426" s="687"/>
      <c r="I426" s="775"/>
      <c r="J426" s="764"/>
      <c r="K426" s="689"/>
      <c r="L426" s="764"/>
    </row>
    <row r="427">
      <c r="A427" s="764"/>
      <c r="B427" s="775"/>
      <c r="C427" s="764"/>
      <c r="D427" s="764"/>
      <c r="E427" s="776"/>
      <c r="F427" s="687"/>
      <c r="G427" s="777"/>
      <c r="H427" s="687"/>
      <c r="I427" s="775"/>
      <c r="J427" s="764"/>
      <c r="K427" s="689"/>
      <c r="L427" s="764"/>
    </row>
    <row r="428">
      <c r="A428" s="764"/>
      <c r="B428" s="775"/>
      <c r="C428" s="764"/>
      <c r="D428" s="764"/>
      <c r="E428" s="776"/>
      <c r="F428" s="687"/>
      <c r="G428" s="777"/>
      <c r="H428" s="687"/>
      <c r="I428" s="775"/>
      <c r="J428" s="764"/>
      <c r="K428" s="689"/>
      <c r="L428" s="764"/>
    </row>
    <row r="429">
      <c r="A429" s="764"/>
      <c r="B429" s="775"/>
      <c r="C429" s="764"/>
      <c r="D429" s="764"/>
      <c r="E429" s="776"/>
      <c r="F429" s="687"/>
      <c r="G429" s="777"/>
      <c r="H429" s="687"/>
      <c r="I429" s="775"/>
      <c r="J429" s="764"/>
      <c r="K429" s="689"/>
      <c r="L429" s="764"/>
    </row>
    <row r="430">
      <c r="A430" s="764"/>
      <c r="B430" s="775"/>
      <c r="C430" s="764"/>
      <c r="D430" s="764"/>
      <c r="E430" s="776"/>
      <c r="F430" s="687"/>
      <c r="G430" s="777"/>
      <c r="H430" s="687"/>
      <c r="I430" s="775"/>
      <c r="J430" s="764"/>
      <c r="K430" s="689"/>
      <c r="L430" s="764"/>
    </row>
    <row r="431">
      <c r="A431" s="764"/>
      <c r="B431" s="775"/>
      <c r="C431" s="764"/>
      <c r="D431" s="764"/>
      <c r="E431" s="776"/>
      <c r="F431" s="687"/>
      <c r="G431" s="777"/>
      <c r="H431" s="687"/>
      <c r="I431" s="775"/>
      <c r="J431" s="764"/>
      <c r="K431" s="689"/>
      <c r="L431" s="764"/>
    </row>
    <row r="432">
      <c r="A432" s="764"/>
      <c r="B432" s="775"/>
      <c r="C432" s="764"/>
      <c r="D432" s="764"/>
      <c r="E432" s="776"/>
      <c r="F432" s="687"/>
      <c r="G432" s="777"/>
      <c r="H432" s="687"/>
      <c r="I432" s="775"/>
      <c r="J432" s="764"/>
      <c r="K432" s="689"/>
      <c r="L432" s="764"/>
    </row>
    <row r="433">
      <c r="A433" s="764"/>
      <c r="B433" s="775"/>
      <c r="C433" s="764"/>
      <c r="D433" s="764"/>
      <c r="E433" s="776"/>
      <c r="F433" s="687"/>
      <c r="G433" s="777"/>
      <c r="H433" s="687"/>
      <c r="I433" s="775"/>
      <c r="J433" s="764"/>
      <c r="K433" s="689"/>
      <c r="L433" s="764"/>
    </row>
    <row r="434">
      <c r="A434" s="764"/>
      <c r="B434" s="775"/>
      <c r="C434" s="764"/>
      <c r="D434" s="764"/>
      <c r="E434" s="776"/>
      <c r="F434" s="687"/>
      <c r="G434" s="777"/>
      <c r="H434" s="687"/>
      <c r="I434" s="775"/>
      <c r="J434" s="764"/>
      <c r="K434" s="689"/>
      <c r="L434" s="764"/>
    </row>
    <row r="435">
      <c r="A435" s="764"/>
      <c r="B435" s="775"/>
      <c r="C435" s="764"/>
      <c r="D435" s="764"/>
      <c r="E435" s="776"/>
      <c r="F435" s="687"/>
      <c r="G435" s="777"/>
      <c r="H435" s="687"/>
      <c r="I435" s="775"/>
      <c r="J435" s="764"/>
      <c r="K435" s="689"/>
      <c r="L435" s="764"/>
    </row>
    <row r="436">
      <c r="A436" s="764"/>
      <c r="B436" s="775"/>
      <c r="C436" s="764"/>
      <c r="D436" s="764"/>
      <c r="E436" s="776"/>
      <c r="F436" s="687"/>
      <c r="G436" s="777"/>
      <c r="H436" s="687"/>
      <c r="I436" s="775"/>
      <c r="J436" s="764"/>
      <c r="K436" s="689"/>
      <c r="L436" s="764"/>
    </row>
    <row r="437">
      <c r="A437" s="764"/>
      <c r="B437" s="775"/>
      <c r="C437" s="764"/>
      <c r="D437" s="764"/>
      <c r="E437" s="776"/>
      <c r="F437" s="687"/>
      <c r="G437" s="777"/>
      <c r="H437" s="687"/>
      <c r="I437" s="775"/>
      <c r="J437" s="764"/>
      <c r="K437" s="689"/>
      <c r="L437" s="764"/>
    </row>
    <row r="438">
      <c r="A438" s="764"/>
      <c r="B438" s="775"/>
      <c r="C438" s="764"/>
      <c r="D438" s="764"/>
      <c r="E438" s="776"/>
      <c r="F438" s="687"/>
      <c r="G438" s="777"/>
      <c r="H438" s="687"/>
      <c r="I438" s="775"/>
      <c r="J438" s="764"/>
      <c r="K438" s="689"/>
      <c r="L438" s="764"/>
    </row>
    <row r="439">
      <c r="A439" s="764"/>
      <c r="B439" s="775"/>
      <c r="C439" s="764"/>
      <c r="D439" s="764"/>
      <c r="E439" s="776"/>
      <c r="F439" s="687"/>
      <c r="G439" s="777"/>
      <c r="H439" s="687"/>
      <c r="I439" s="775"/>
      <c r="J439" s="764"/>
      <c r="K439" s="689"/>
      <c r="L439" s="764"/>
    </row>
    <row r="440">
      <c r="A440" s="764"/>
      <c r="B440" s="775"/>
      <c r="C440" s="764"/>
      <c r="D440" s="764"/>
      <c r="E440" s="776"/>
      <c r="F440" s="687"/>
      <c r="G440" s="777"/>
      <c r="H440" s="687"/>
      <c r="I440" s="775"/>
      <c r="J440" s="764"/>
      <c r="K440" s="689"/>
      <c r="L440" s="764"/>
    </row>
    <row r="441">
      <c r="A441" s="764"/>
      <c r="B441" s="775"/>
      <c r="C441" s="764"/>
      <c r="D441" s="764"/>
      <c r="E441" s="776"/>
      <c r="F441" s="687"/>
      <c r="G441" s="777"/>
      <c r="H441" s="687"/>
      <c r="I441" s="775"/>
      <c r="J441" s="764"/>
      <c r="K441" s="689"/>
      <c r="L441" s="764"/>
    </row>
    <row r="442">
      <c r="A442" s="764"/>
      <c r="B442" s="775"/>
      <c r="C442" s="764"/>
      <c r="D442" s="764"/>
      <c r="E442" s="776"/>
      <c r="F442" s="687"/>
      <c r="G442" s="777"/>
      <c r="H442" s="687"/>
      <c r="I442" s="775"/>
      <c r="J442" s="764"/>
      <c r="K442" s="689"/>
      <c r="L442" s="764"/>
    </row>
    <row r="443">
      <c r="A443" s="764"/>
      <c r="B443" s="775"/>
      <c r="C443" s="764"/>
      <c r="D443" s="764"/>
      <c r="E443" s="776"/>
      <c r="F443" s="687"/>
      <c r="G443" s="777"/>
      <c r="H443" s="687"/>
      <c r="I443" s="775"/>
      <c r="J443" s="764"/>
      <c r="K443" s="689"/>
      <c r="L443" s="764"/>
    </row>
    <row r="444">
      <c r="A444" s="764"/>
      <c r="B444" s="775"/>
      <c r="C444" s="764"/>
      <c r="D444" s="764"/>
      <c r="E444" s="776"/>
      <c r="F444" s="687"/>
      <c r="G444" s="777"/>
      <c r="H444" s="687"/>
      <c r="I444" s="775"/>
      <c r="J444" s="764"/>
      <c r="K444" s="689"/>
      <c r="L444" s="764"/>
    </row>
    <row r="445">
      <c r="A445" s="764"/>
      <c r="B445" s="775"/>
      <c r="C445" s="764"/>
      <c r="D445" s="764"/>
      <c r="E445" s="776"/>
      <c r="F445" s="687"/>
      <c r="G445" s="777"/>
      <c r="H445" s="687"/>
      <c r="I445" s="775"/>
      <c r="J445" s="764"/>
      <c r="K445" s="689"/>
      <c r="L445" s="764"/>
    </row>
    <row r="446">
      <c r="A446" s="764"/>
      <c r="B446" s="775"/>
      <c r="C446" s="764"/>
      <c r="D446" s="764"/>
      <c r="E446" s="776"/>
      <c r="F446" s="687"/>
      <c r="G446" s="777"/>
      <c r="H446" s="687"/>
      <c r="I446" s="775"/>
      <c r="J446" s="764"/>
      <c r="K446" s="689"/>
      <c r="L446" s="764"/>
    </row>
    <row r="447">
      <c r="A447" s="764"/>
      <c r="B447" s="775"/>
      <c r="C447" s="764"/>
      <c r="D447" s="764"/>
      <c r="E447" s="776"/>
      <c r="F447" s="687"/>
      <c r="G447" s="777"/>
      <c r="H447" s="687"/>
      <c r="I447" s="775"/>
      <c r="J447" s="764"/>
      <c r="K447" s="689"/>
      <c r="L447" s="764"/>
    </row>
    <row r="448">
      <c r="A448" s="764"/>
      <c r="B448" s="775"/>
      <c r="C448" s="764"/>
      <c r="D448" s="764"/>
      <c r="E448" s="776"/>
      <c r="F448" s="687"/>
      <c r="G448" s="777"/>
      <c r="H448" s="687"/>
      <c r="I448" s="775"/>
      <c r="J448" s="764"/>
      <c r="K448" s="689"/>
      <c r="L448" s="764"/>
    </row>
    <row r="449">
      <c r="A449" s="764"/>
      <c r="B449" s="775"/>
      <c r="C449" s="764"/>
      <c r="D449" s="764"/>
      <c r="E449" s="776"/>
      <c r="F449" s="687"/>
      <c r="G449" s="777"/>
      <c r="H449" s="687"/>
      <c r="I449" s="775"/>
      <c r="J449" s="764"/>
      <c r="K449" s="689"/>
      <c r="L449" s="764"/>
    </row>
    <row r="450">
      <c r="A450" s="764"/>
      <c r="B450" s="775"/>
      <c r="C450" s="764"/>
      <c r="D450" s="764"/>
      <c r="E450" s="776"/>
      <c r="F450" s="687"/>
      <c r="G450" s="777"/>
      <c r="H450" s="687"/>
      <c r="I450" s="775"/>
      <c r="J450" s="764"/>
      <c r="K450" s="689"/>
      <c r="L450" s="764"/>
    </row>
    <row r="451">
      <c r="A451" s="764"/>
      <c r="B451" s="775"/>
      <c r="C451" s="764"/>
      <c r="D451" s="764"/>
      <c r="E451" s="776"/>
      <c r="F451" s="687"/>
      <c r="G451" s="777"/>
      <c r="H451" s="687"/>
      <c r="I451" s="775"/>
      <c r="J451" s="764"/>
      <c r="K451" s="689"/>
      <c r="L451" s="764"/>
    </row>
    <row r="452">
      <c r="A452" s="764"/>
      <c r="B452" s="775"/>
      <c r="C452" s="764"/>
      <c r="D452" s="764"/>
      <c r="E452" s="776"/>
      <c r="F452" s="687"/>
      <c r="G452" s="777"/>
      <c r="H452" s="687"/>
      <c r="I452" s="775"/>
      <c r="J452" s="764"/>
      <c r="K452" s="689"/>
      <c r="L452" s="764"/>
    </row>
    <row r="453">
      <c r="A453" s="764"/>
      <c r="B453" s="775"/>
      <c r="C453" s="764"/>
      <c r="D453" s="764"/>
      <c r="E453" s="776"/>
      <c r="F453" s="687"/>
      <c r="G453" s="777"/>
      <c r="H453" s="687"/>
      <c r="I453" s="775"/>
      <c r="J453" s="764"/>
      <c r="K453" s="689"/>
      <c r="L453" s="764"/>
    </row>
    <row r="454">
      <c r="A454" s="764"/>
      <c r="B454" s="775"/>
      <c r="C454" s="764"/>
      <c r="D454" s="764"/>
      <c r="E454" s="776"/>
      <c r="F454" s="687"/>
      <c r="G454" s="777"/>
      <c r="H454" s="687"/>
      <c r="I454" s="775"/>
      <c r="J454" s="764"/>
      <c r="K454" s="689"/>
      <c r="L454" s="764"/>
    </row>
    <row r="455">
      <c r="A455" s="764"/>
      <c r="B455" s="775"/>
      <c r="C455" s="764"/>
      <c r="D455" s="764"/>
      <c r="E455" s="776"/>
      <c r="F455" s="687"/>
      <c r="G455" s="777"/>
      <c r="H455" s="687"/>
      <c r="I455" s="775"/>
      <c r="J455" s="764"/>
      <c r="K455" s="689"/>
      <c r="L455" s="764"/>
    </row>
    <row r="456">
      <c r="A456" s="764"/>
      <c r="B456" s="775"/>
      <c r="C456" s="764"/>
      <c r="D456" s="764"/>
      <c r="E456" s="776"/>
      <c r="F456" s="687"/>
      <c r="G456" s="777"/>
      <c r="H456" s="687"/>
      <c r="I456" s="775"/>
      <c r="J456" s="764"/>
      <c r="K456" s="689"/>
      <c r="L456" s="764"/>
    </row>
    <row r="457">
      <c r="A457" s="764"/>
      <c r="B457" s="775"/>
      <c r="C457" s="764"/>
      <c r="D457" s="764"/>
      <c r="E457" s="776"/>
      <c r="F457" s="687"/>
      <c r="G457" s="777"/>
      <c r="H457" s="687"/>
      <c r="I457" s="775"/>
      <c r="J457" s="764"/>
      <c r="K457" s="689"/>
      <c r="L457" s="764"/>
    </row>
    <row r="458">
      <c r="A458" s="764"/>
      <c r="B458" s="775"/>
      <c r="C458" s="764"/>
      <c r="D458" s="764"/>
      <c r="E458" s="776"/>
      <c r="F458" s="687"/>
      <c r="G458" s="777"/>
      <c r="H458" s="687"/>
      <c r="I458" s="775"/>
      <c r="J458" s="764"/>
      <c r="K458" s="689"/>
      <c r="L458" s="764"/>
    </row>
    <row r="459">
      <c r="A459" s="764"/>
      <c r="B459" s="775"/>
      <c r="C459" s="764"/>
      <c r="D459" s="764"/>
      <c r="E459" s="776"/>
      <c r="F459" s="687"/>
      <c r="G459" s="777"/>
      <c r="H459" s="687"/>
      <c r="I459" s="775"/>
      <c r="J459" s="764"/>
      <c r="K459" s="689"/>
      <c r="L459" s="764"/>
    </row>
    <row r="460">
      <c r="A460" s="764"/>
      <c r="B460" s="775"/>
      <c r="C460" s="764"/>
      <c r="D460" s="764"/>
      <c r="E460" s="776"/>
      <c r="F460" s="687"/>
      <c r="G460" s="777"/>
      <c r="H460" s="687"/>
      <c r="I460" s="775"/>
      <c r="J460" s="764"/>
      <c r="K460" s="689"/>
      <c r="L460" s="764"/>
    </row>
    <row r="461">
      <c r="A461" s="764"/>
      <c r="B461" s="775"/>
      <c r="C461" s="764"/>
      <c r="D461" s="764"/>
      <c r="E461" s="776"/>
      <c r="F461" s="687"/>
      <c r="G461" s="777"/>
      <c r="H461" s="687"/>
      <c r="I461" s="775"/>
      <c r="J461" s="764"/>
      <c r="K461" s="689"/>
      <c r="L461" s="764"/>
    </row>
    <row r="462">
      <c r="A462" s="764"/>
      <c r="B462" s="775"/>
      <c r="C462" s="764"/>
      <c r="D462" s="764"/>
      <c r="E462" s="776"/>
      <c r="F462" s="687"/>
      <c r="G462" s="777"/>
      <c r="H462" s="687"/>
      <c r="I462" s="775"/>
      <c r="J462" s="764"/>
      <c r="K462" s="689"/>
      <c r="L462" s="764"/>
    </row>
    <row r="463">
      <c r="A463" s="764"/>
      <c r="B463" s="775"/>
      <c r="C463" s="764"/>
      <c r="D463" s="764"/>
      <c r="E463" s="776"/>
      <c r="F463" s="687"/>
      <c r="G463" s="777"/>
      <c r="H463" s="687"/>
      <c r="I463" s="775"/>
      <c r="J463" s="764"/>
      <c r="K463" s="689"/>
      <c r="L463" s="764"/>
    </row>
    <row r="464">
      <c r="A464" s="764"/>
      <c r="B464" s="775"/>
      <c r="C464" s="764"/>
      <c r="D464" s="764"/>
      <c r="E464" s="776"/>
      <c r="F464" s="687"/>
      <c r="G464" s="777"/>
      <c r="H464" s="687"/>
      <c r="I464" s="775"/>
      <c r="J464" s="764"/>
      <c r="K464" s="689"/>
      <c r="L464" s="764"/>
    </row>
    <row r="465">
      <c r="A465" s="764"/>
      <c r="B465" s="775"/>
      <c r="C465" s="764"/>
      <c r="D465" s="764"/>
      <c r="E465" s="776"/>
      <c r="F465" s="687"/>
      <c r="G465" s="777"/>
      <c r="H465" s="687"/>
      <c r="I465" s="775"/>
      <c r="J465" s="764"/>
      <c r="K465" s="689"/>
      <c r="L465" s="764"/>
    </row>
    <row r="466">
      <c r="A466" s="764"/>
      <c r="B466" s="775"/>
      <c r="C466" s="764"/>
      <c r="D466" s="764"/>
      <c r="E466" s="776"/>
      <c r="F466" s="687"/>
      <c r="G466" s="777"/>
      <c r="H466" s="687"/>
      <c r="I466" s="775"/>
      <c r="J466" s="764"/>
      <c r="K466" s="689"/>
      <c r="L466" s="764"/>
    </row>
    <row r="467">
      <c r="A467" s="764"/>
      <c r="B467" s="775"/>
      <c r="C467" s="764"/>
      <c r="D467" s="764"/>
      <c r="E467" s="776"/>
      <c r="F467" s="687"/>
      <c r="G467" s="777"/>
      <c r="H467" s="687"/>
      <c r="I467" s="775"/>
      <c r="J467" s="764"/>
      <c r="K467" s="689"/>
      <c r="L467" s="764"/>
    </row>
    <row r="468">
      <c r="A468" s="764"/>
      <c r="B468" s="775"/>
      <c r="C468" s="764"/>
      <c r="D468" s="764"/>
      <c r="E468" s="776"/>
      <c r="F468" s="687"/>
      <c r="G468" s="777"/>
      <c r="H468" s="687"/>
      <c r="I468" s="775"/>
      <c r="J468" s="764"/>
      <c r="K468" s="689"/>
      <c r="L468" s="764"/>
    </row>
    <row r="469">
      <c r="A469" s="764"/>
      <c r="B469" s="775"/>
      <c r="C469" s="764"/>
      <c r="D469" s="764"/>
      <c r="E469" s="776"/>
      <c r="F469" s="687"/>
      <c r="G469" s="777"/>
      <c r="H469" s="687"/>
      <c r="I469" s="775"/>
      <c r="J469" s="764"/>
      <c r="K469" s="689"/>
      <c r="L469" s="764"/>
    </row>
    <row r="470">
      <c r="A470" s="764"/>
      <c r="B470" s="775"/>
      <c r="C470" s="764"/>
      <c r="D470" s="764"/>
      <c r="E470" s="776"/>
      <c r="F470" s="687"/>
      <c r="G470" s="777"/>
      <c r="H470" s="687"/>
      <c r="I470" s="775"/>
      <c r="J470" s="764"/>
      <c r="K470" s="689"/>
      <c r="L470" s="764"/>
    </row>
    <row r="471">
      <c r="A471" s="764"/>
      <c r="B471" s="775"/>
      <c r="C471" s="764"/>
      <c r="D471" s="764"/>
      <c r="E471" s="776"/>
      <c r="F471" s="687"/>
      <c r="G471" s="777"/>
      <c r="H471" s="687"/>
      <c r="I471" s="775"/>
      <c r="J471" s="764"/>
      <c r="K471" s="689"/>
      <c r="L471" s="764"/>
    </row>
    <row r="472">
      <c r="A472" s="764"/>
      <c r="B472" s="775"/>
      <c r="C472" s="764"/>
      <c r="D472" s="764"/>
      <c r="E472" s="776"/>
      <c r="F472" s="687"/>
      <c r="G472" s="777"/>
      <c r="H472" s="687"/>
      <c r="I472" s="775"/>
      <c r="J472" s="764"/>
      <c r="K472" s="689"/>
      <c r="L472" s="764"/>
    </row>
    <row r="473">
      <c r="A473" s="764"/>
      <c r="B473" s="775"/>
      <c r="C473" s="764"/>
      <c r="D473" s="764"/>
      <c r="E473" s="776"/>
      <c r="F473" s="687"/>
      <c r="G473" s="777"/>
      <c r="H473" s="687"/>
      <c r="I473" s="775"/>
      <c r="J473" s="764"/>
      <c r="K473" s="689"/>
      <c r="L473" s="764"/>
    </row>
    <row r="474">
      <c r="A474" s="764"/>
      <c r="B474" s="775"/>
      <c r="C474" s="764"/>
      <c r="D474" s="764"/>
      <c r="E474" s="776"/>
      <c r="F474" s="687"/>
      <c r="G474" s="777"/>
      <c r="H474" s="687"/>
      <c r="I474" s="775"/>
      <c r="J474" s="764"/>
      <c r="K474" s="689"/>
      <c r="L474" s="764"/>
    </row>
    <row r="475">
      <c r="A475" s="764"/>
      <c r="B475" s="775"/>
      <c r="C475" s="764"/>
      <c r="D475" s="764"/>
      <c r="E475" s="776"/>
      <c r="F475" s="687"/>
      <c r="G475" s="777"/>
      <c r="H475" s="687"/>
      <c r="I475" s="775"/>
      <c r="J475" s="764"/>
      <c r="K475" s="689"/>
      <c r="L475" s="764"/>
    </row>
    <row r="476">
      <c r="A476" s="764"/>
      <c r="B476" s="775"/>
      <c r="C476" s="764"/>
      <c r="D476" s="764"/>
      <c r="E476" s="776"/>
      <c r="F476" s="687"/>
      <c r="G476" s="777"/>
      <c r="H476" s="687"/>
      <c r="I476" s="775"/>
      <c r="J476" s="764"/>
      <c r="K476" s="689"/>
      <c r="L476" s="764"/>
    </row>
    <row r="477">
      <c r="A477" s="764"/>
      <c r="B477" s="775"/>
      <c r="C477" s="764"/>
      <c r="D477" s="764"/>
      <c r="E477" s="776"/>
      <c r="F477" s="687"/>
      <c r="G477" s="777"/>
      <c r="H477" s="687"/>
      <c r="I477" s="775"/>
      <c r="J477" s="764"/>
      <c r="K477" s="689"/>
      <c r="L477" s="764"/>
    </row>
    <row r="478">
      <c r="A478" s="764"/>
      <c r="B478" s="775"/>
      <c r="C478" s="764"/>
      <c r="D478" s="764"/>
      <c r="E478" s="776"/>
      <c r="F478" s="687"/>
      <c r="G478" s="777"/>
      <c r="H478" s="687"/>
      <c r="I478" s="775"/>
      <c r="J478" s="764"/>
      <c r="K478" s="689"/>
      <c r="L478" s="764"/>
    </row>
    <row r="479">
      <c r="A479" s="764"/>
      <c r="B479" s="775"/>
      <c r="C479" s="764"/>
      <c r="D479" s="764"/>
      <c r="E479" s="776"/>
      <c r="F479" s="687"/>
      <c r="G479" s="777"/>
      <c r="H479" s="687"/>
      <c r="I479" s="775"/>
      <c r="J479" s="764"/>
      <c r="K479" s="689"/>
      <c r="L479" s="764"/>
    </row>
    <row r="480">
      <c r="A480" s="764"/>
      <c r="B480" s="775"/>
      <c r="C480" s="764"/>
      <c r="D480" s="764"/>
      <c r="E480" s="776"/>
      <c r="F480" s="687"/>
      <c r="G480" s="777"/>
      <c r="H480" s="687"/>
      <c r="I480" s="775"/>
      <c r="J480" s="764"/>
      <c r="K480" s="689"/>
      <c r="L480" s="764"/>
    </row>
    <row r="481">
      <c r="A481" s="764"/>
      <c r="B481" s="775"/>
      <c r="C481" s="764"/>
      <c r="D481" s="764"/>
      <c r="E481" s="776"/>
      <c r="F481" s="687"/>
      <c r="G481" s="777"/>
      <c r="H481" s="687"/>
      <c r="I481" s="775"/>
      <c r="J481" s="764"/>
      <c r="K481" s="689"/>
      <c r="L481" s="764"/>
    </row>
    <row r="482">
      <c r="A482" s="764"/>
      <c r="B482" s="775"/>
      <c r="C482" s="764"/>
      <c r="D482" s="764"/>
      <c r="E482" s="776"/>
      <c r="F482" s="687"/>
      <c r="G482" s="777"/>
      <c r="H482" s="687"/>
      <c r="I482" s="775"/>
      <c r="J482" s="764"/>
      <c r="K482" s="689"/>
      <c r="L482" s="764"/>
    </row>
    <row r="483">
      <c r="A483" s="764"/>
      <c r="B483" s="775"/>
      <c r="C483" s="764"/>
      <c r="D483" s="764"/>
      <c r="E483" s="776"/>
      <c r="F483" s="687"/>
      <c r="G483" s="777"/>
      <c r="H483" s="687"/>
      <c r="I483" s="775"/>
      <c r="J483" s="764"/>
      <c r="K483" s="689"/>
      <c r="L483" s="764"/>
    </row>
    <row r="484">
      <c r="A484" s="764"/>
      <c r="B484" s="775"/>
      <c r="C484" s="764"/>
      <c r="D484" s="764"/>
      <c r="E484" s="776"/>
      <c r="F484" s="687"/>
      <c r="G484" s="777"/>
      <c r="H484" s="687"/>
      <c r="I484" s="775"/>
      <c r="J484" s="764"/>
      <c r="K484" s="689"/>
      <c r="L484" s="764"/>
    </row>
    <row r="485">
      <c r="A485" s="764"/>
      <c r="B485" s="775"/>
      <c r="C485" s="764"/>
      <c r="D485" s="764"/>
      <c r="E485" s="776"/>
      <c r="F485" s="687"/>
      <c r="G485" s="777"/>
      <c r="H485" s="687"/>
      <c r="I485" s="775"/>
      <c r="J485" s="764"/>
      <c r="K485" s="689"/>
      <c r="L485" s="764"/>
    </row>
    <row r="486">
      <c r="A486" s="764"/>
      <c r="B486" s="775"/>
      <c r="C486" s="764"/>
      <c r="D486" s="764"/>
      <c r="E486" s="776"/>
      <c r="F486" s="687"/>
      <c r="G486" s="777"/>
      <c r="H486" s="687"/>
      <c r="I486" s="775"/>
      <c r="J486" s="764"/>
      <c r="K486" s="689"/>
      <c r="L486" s="764"/>
    </row>
    <row r="487">
      <c r="A487" s="764"/>
      <c r="B487" s="775"/>
      <c r="C487" s="764"/>
      <c r="D487" s="764"/>
      <c r="E487" s="776"/>
      <c r="F487" s="687"/>
      <c r="G487" s="777"/>
      <c r="H487" s="687"/>
      <c r="I487" s="775"/>
      <c r="J487" s="764"/>
      <c r="K487" s="689"/>
      <c r="L487" s="764"/>
    </row>
    <row r="488">
      <c r="A488" s="764"/>
      <c r="B488" s="775"/>
      <c r="C488" s="764"/>
      <c r="D488" s="764"/>
      <c r="E488" s="776"/>
      <c r="F488" s="687"/>
      <c r="G488" s="777"/>
      <c r="H488" s="687"/>
      <c r="I488" s="775"/>
      <c r="J488" s="764"/>
      <c r="K488" s="689"/>
      <c r="L488" s="764"/>
    </row>
    <row r="489">
      <c r="A489" s="764"/>
      <c r="B489" s="775"/>
      <c r="C489" s="764"/>
      <c r="D489" s="764"/>
      <c r="E489" s="776"/>
      <c r="F489" s="687"/>
      <c r="G489" s="777"/>
      <c r="H489" s="687"/>
      <c r="I489" s="775"/>
      <c r="J489" s="764"/>
      <c r="K489" s="689"/>
      <c r="L489" s="764"/>
    </row>
    <row r="490">
      <c r="A490" s="764"/>
      <c r="B490" s="775"/>
      <c r="C490" s="764"/>
      <c r="D490" s="764"/>
      <c r="E490" s="776"/>
      <c r="F490" s="687"/>
      <c r="G490" s="777"/>
      <c r="H490" s="687"/>
      <c r="I490" s="775"/>
      <c r="J490" s="764"/>
      <c r="K490" s="689"/>
      <c r="L490" s="764"/>
    </row>
    <row r="491">
      <c r="A491" s="764"/>
      <c r="B491" s="775"/>
      <c r="C491" s="764"/>
      <c r="D491" s="764"/>
      <c r="E491" s="776"/>
      <c r="F491" s="687"/>
      <c r="G491" s="777"/>
      <c r="H491" s="687"/>
      <c r="I491" s="775"/>
      <c r="J491" s="764"/>
      <c r="K491" s="689"/>
      <c r="L491" s="764"/>
    </row>
    <row r="492">
      <c r="A492" s="764"/>
      <c r="B492" s="775"/>
      <c r="C492" s="764"/>
      <c r="D492" s="764"/>
      <c r="E492" s="776"/>
      <c r="F492" s="687"/>
      <c r="G492" s="777"/>
      <c r="H492" s="687"/>
      <c r="I492" s="775"/>
      <c r="J492" s="764"/>
      <c r="K492" s="689"/>
      <c r="L492" s="764"/>
    </row>
    <row r="493">
      <c r="A493" s="764"/>
      <c r="B493" s="775"/>
      <c r="C493" s="764"/>
      <c r="D493" s="764"/>
      <c r="E493" s="776"/>
      <c r="F493" s="687"/>
      <c r="G493" s="777"/>
      <c r="H493" s="687"/>
      <c r="I493" s="775"/>
      <c r="J493" s="764"/>
      <c r="K493" s="689"/>
      <c r="L493" s="764"/>
    </row>
    <row r="494">
      <c r="A494" s="764"/>
      <c r="B494" s="775"/>
      <c r="C494" s="764"/>
      <c r="D494" s="764"/>
      <c r="E494" s="776"/>
      <c r="F494" s="687"/>
      <c r="G494" s="777"/>
      <c r="H494" s="687"/>
      <c r="I494" s="775"/>
      <c r="J494" s="764"/>
      <c r="K494" s="689"/>
      <c r="L494" s="764"/>
    </row>
    <row r="495">
      <c r="A495" s="764"/>
      <c r="B495" s="775"/>
      <c r="C495" s="764"/>
      <c r="D495" s="764"/>
      <c r="E495" s="776"/>
      <c r="F495" s="687"/>
      <c r="G495" s="777"/>
      <c r="H495" s="687"/>
      <c r="I495" s="775"/>
      <c r="J495" s="764"/>
      <c r="K495" s="689"/>
      <c r="L495" s="764"/>
    </row>
    <row r="496">
      <c r="A496" s="764"/>
      <c r="B496" s="775"/>
      <c r="C496" s="764"/>
      <c r="D496" s="764"/>
      <c r="E496" s="776"/>
      <c r="F496" s="687"/>
      <c r="G496" s="777"/>
      <c r="H496" s="687"/>
      <c r="I496" s="775"/>
      <c r="J496" s="764"/>
      <c r="K496" s="689"/>
      <c r="L496" s="764"/>
    </row>
    <row r="497">
      <c r="A497" s="764"/>
      <c r="B497" s="775"/>
      <c r="C497" s="764"/>
      <c r="D497" s="764"/>
      <c r="E497" s="776"/>
      <c r="F497" s="687"/>
      <c r="G497" s="777"/>
      <c r="H497" s="687"/>
      <c r="I497" s="775"/>
      <c r="J497" s="764"/>
      <c r="K497" s="689"/>
      <c r="L497" s="764"/>
    </row>
    <row r="498">
      <c r="A498" s="764"/>
      <c r="B498" s="775"/>
      <c r="C498" s="764"/>
      <c r="D498" s="764"/>
      <c r="E498" s="776"/>
      <c r="F498" s="687"/>
      <c r="G498" s="777"/>
      <c r="H498" s="687"/>
      <c r="I498" s="775"/>
      <c r="J498" s="764"/>
      <c r="K498" s="689"/>
      <c r="L498" s="764"/>
    </row>
    <row r="499">
      <c r="A499" s="764"/>
      <c r="B499" s="775"/>
      <c r="C499" s="764"/>
      <c r="D499" s="764"/>
      <c r="E499" s="776"/>
      <c r="F499" s="687"/>
      <c r="G499" s="777"/>
      <c r="H499" s="687"/>
      <c r="I499" s="775"/>
      <c r="J499" s="764"/>
      <c r="K499" s="689"/>
      <c r="L499" s="764"/>
    </row>
    <row r="500">
      <c r="A500" s="764"/>
      <c r="B500" s="775"/>
      <c r="C500" s="764"/>
      <c r="D500" s="764"/>
      <c r="E500" s="776"/>
      <c r="F500" s="687"/>
      <c r="G500" s="777"/>
      <c r="H500" s="687"/>
      <c r="I500" s="775"/>
      <c r="J500" s="764"/>
      <c r="K500" s="689"/>
      <c r="L500" s="764"/>
    </row>
    <row r="501">
      <c r="A501" s="764"/>
      <c r="B501" s="775"/>
      <c r="C501" s="764"/>
      <c r="D501" s="764"/>
      <c r="E501" s="776"/>
      <c r="F501" s="687"/>
      <c r="G501" s="777"/>
      <c r="H501" s="687"/>
      <c r="I501" s="775"/>
      <c r="J501" s="764"/>
      <c r="K501" s="689"/>
      <c r="L501" s="764"/>
    </row>
    <row r="502">
      <c r="A502" s="764"/>
      <c r="B502" s="775"/>
      <c r="C502" s="764"/>
      <c r="D502" s="764"/>
      <c r="E502" s="776"/>
      <c r="F502" s="687"/>
      <c r="G502" s="777"/>
      <c r="H502" s="687"/>
      <c r="I502" s="775"/>
      <c r="J502" s="764"/>
      <c r="K502" s="689"/>
      <c r="L502" s="764"/>
    </row>
    <row r="503">
      <c r="A503" s="764"/>
      <c r="B503" s="775"/>
      <c r="C503" s="764"/>
      <c r="D503" s="764"/>
      <c r="E503" s="776"/>
      <c r="F503" s="687"/>
      <c r="G503" s="777"/>
      <c r="H503" s="687"/>
      <c r="I503" s="775"/>
      <c r="J503" s="764"/>
      <c r="K503" s="689"/>
      <c r="L503" s="764"/>
    </row>
    <row r="504">
      <c r="A504" s="764"/>
      <c r="B504" s="775"/>
      <c r="C504" s="764"/>
      <c r="D504" s="764"/>
      <c r="E504" s="776"/>
      <c r="F504" s="687"/>
      <c r="G504" s="777"/>
      <c r="H504" s="687"/>
      <c r="I504" s="775"/>
      <c r="J504" s="764"/>
      <c r="K504" s="689"/>
      <c r="L504" s="764"/>
    </row>
    <row r="505">
      <c r="A505" s="764"/>
      <c r="B505" s="775"/>
      <c r="C505" s="764"/>
      <c r="D505" s="764"/>
      <c r="E505" s="776"/>
      <c r="F505" s="687"/>
      <c r="G505" s="777"/>
      <c r="H505" s="687"/>
      <c r="I505" s="775"/>
      <c r="J505" s="764"/>
      <c r="K505" s="689"/>
      <c r="L505" s="764"/>
    </row>
    <row r="506">
      <c r="A506" s="764"/>
      <c r="B506" s="775"/>
      <c r="C506" s="764"/>
      <c r="D506" s="764"/>
      <c r="E506" s="776"/>
      <c r="F506" s="687"/>
      <c r="G506" s="777"/>
      <c r="H506" s="687"/>
      <c r="I506" s="775"/>
      <c r="J506" s="764"/>
      <c r="K506" s="689"/>
      <c r="L506" s="764"/>
    </row>
    <row r="507">
      <c r="A507" s="764"/>
      <c r="B507" s="775"/>
      <c r="C507" s="764"/>
      <c r="D507" s="764"/>
      <c r="E507" s="776"/>
      <c r="F507" s="687"/>
      <c r="G507" s="777"/>
      <c r="H507" s="687"/>
      <c r="I507" s="775"/>
      <c r="J507" s="764"/>
      <c r="K507" s="689"/>
      <c r="L507" s="764"/>
    </row>
    <row r="508">
      <c r="A508" s="764"/>
      <c r="B508" s="775"/>
      <c r="C508" s="764"/>
      <c r="D508" s="764"/>
      <c r="E508" s="776"/>
      <c r="F508" s="687"/>
      <c r="G508" s="777"/>
      <c r="H508" s="687"/>
      <c r="I508" s="775"/>
      <c r="J508" s="764"/>
      <c r="K508" s="689"/>
      <c r="L508" s="764"/>
    </row>
    <row r="509">
      <c r="A509" s="764"/>
      <c r="B509" s="775"/>
      <c r="C509" s="764"/>
      <c r="D509" s="764"/>
      <c r="E509" s="776"/>
      <c r="F509" s="687"/>
      <c r="G509" s="777"/>
      <c r="H509" s="687"/>
      <c r="I509" s="775"/>
      <c r="J509" s="764"/>
      <c r="K509" s="689"/>
      <c r="L509" s="764"/>
    </row>
    <row r="510">
      <c r="A510" s="764"/>
      <c r="B510" s="775"/>
      <c r="C510" s="764"/>
      <c r="D510" s="764"/>
      <c r="E510" s="776"/>
      <c r="F510" s="687"/>
      <c r="G510" s="777"/>
      <c r="H510" s="687"/>
      <c r="I510" s="775"/>
      <c r="J510" s="764"/>
      <c r="K510" s="689"/>
      <c r="L510" s="764"/>
    </row>
    <row r="511">
      <c r="A511" s="764"/>
      <c r="B511" s="775"/>
      <c r="C511" s="764"/>
      <c r="D511" s="764"/>
      <c r="E511" s="776"/>
      <c r="F511" s="687"/>
      <c r="G511" s="777"/>
      <c r="H511" s="687"/>
      <c r="I511" s="775"/>
      <c r="J511" s="764"/>
      <c r="K511" s="689"/>
      <c r="L511" s="764"/>
    </row>
    <row r="512">
      <c r="A512" s="764"/>
      <c r="B512" s="775"/>
      <c r="C512" s="764"/>
      <c r="D512" s="764"/>
      <c r="E512" s="776"/>
      <c r="F512" s="687"/>
      <c r="G512" s="777"/>
      <c r="H512" s="687"/>
      <c r="I512" s="775"/>
      <c r="J512" s="764"/>
      <c r="K512" s="689"/>
      <c r="L512" s="764"/>
    </row>
    <row r="513">
      <c r="A513" s="764"/>
      <c r="B513" s="775"/>
      <c r="C513" s="764"/>
      <c r="D513" s="764"/>
      <c r="E513" s="776"/>
      <c r="F513" s="687"/>
      <c r="G513" s="777"/>
      <c r="H513" s="687"/>
      <c r="I513" s="775"/>
      <c r="J513" s="764"/>
      <c r="K513" s="689"/>
      <c r="L513" s="764"/>
    </row>
    <row r="514">
      <c r="A514" s="764"/>
      <c r="B514" s="775"/>
      <c r="C514" s="764"/>
      <c r="D514" s="764"/>
      <c r="E514" s="776"/>
      <c r="F514" s="687"/>
      <c r="G514" s="777"/>
      <c r="H514" s="687"/>
      <c r="I514" s="775"/>
      <c r="J514" s="764"/>
      <c r="K514" s="689"/>
      <c r="L514" s="764"/>
    </row>
    <row r="515">
      <c r="A515" s="764"/>
      <c r="B515" s="775"/>
      <c r="C515" s="764"/>
      <c r="D515" s="764"/>
      <c r="E515" s="776"/>
      <c r="F515" s="687"/>
      <c r="G515" s="777"/>
      <c r="H515" s="687"/>
      <c r="I515" s="775"/>
      <c r="J515" s="764"/>
      <c r="K515" s="689"/>
      <c r="L515" s="764"/>
    </row>
    <row r="516">
      <c r="A516" s="764"/>
      <c r="B516" s="775"/>
      <c r="C516" s="764"/>
      <c r="D516" s="764"/>
      <c r="E516" s="776"/>
      <c r="F516" s="687"/>
      <c r="G516" s="777"/>
      <c r="H516" s="687"/>
      <c r="I516" s="775"/>
      <c r="J516" s="764"/>
      <c r="K516" s="689"/>
      <c r="L516" s="764"/>
    </row>
    <row r="517">
      <c r="A517" s="764"/>
      <c r="B517" s="775"/>
      <c r="C517" s="764"/>
      <c r="D517" s="764"/>
      <c r="E517" s="776"/>
      <c r="F517" s="687"/>
      <c r="G517" s="777"/>
      <c r="H517" s="687"/>
      <c r="I517" s="775"/>
      <c r="J517" s="764"/>
      <c r="K517" s="689"/>
      <c r="L517" s="764"/>
    </row>
    <row r="518">
      <c r="A518" s="764"/>
      <c r="B518" s="775"/>
      <c r="C518" s="764"/>
      <c r="D518" s="764"/>
      <c r="E518" s="776"/>
      <c r="F518" s="687"/>
      <c r="G518" s="777"/>
      <c r="H518" s="687"/>
      <c r="I518" s="775"/>
      <c r="J518" s="764"/>
      <c r="K518" s="689"/>
      <c r="L518" s="764"/>
    </row>
    <row r="519">
      <c r="A519" s="764"/>
      <c r="B519" s="775"/>
      <c r="C519" s="764"/>
      <c r="D519" s="764"/>
      <c r="E519" s="776"/>
      <c r="F519" s="687"/>
      <c r="G519" s="777"/>
      <c r="H519" s="687"/>
      <c r="I519" s="775"/>
      <c r="J519" s="764"/>
      <c r="K519" s="689"/>
      <c r="L519" s="764"/>
    </row>
    <row r="520">
      <c r="A520" s="764"/>
      <c r="B520" s="775"/>
      <c r="C520" s="764"/>
      <c r="D520" s="764"/>
      <c r="E520" s="776"/>
      <c r="F520" s="687"/>
      <c r="G520" s="777"/>
      <c r="H520" s="687"/>
      <c r="I520" s="775"/>
      <c r="J520" s="764"/>
      <c r="K520" s="689"/>
      <c r="L520" s="764"/>
    </row>
    <row r="521">
      <c r="A521" s="764"/>
      <c r="B521" s="775"/>
      <c r="C521" s="764"/>
      <c r="D521" s="764"/>
      <c r="E521" s="776"/>
      <c r="F521" s="687"/>
      <c r="G521" s="777"/>
      <c r="H521" s="687"/>
      <c r="I521" s="775"/>
      <c r="J521" s="764"/>
      <c r="K521" s="689"/>
      <c r="L521" s="764"/>
    </row>
    <row r="522">
      <c r="A522" s="764"/>
      <c r="B522" s="775"/>
      <c r="C522" s="764"/>
      <c r="D522" s="764"/>
      <c r="E522" s="776"/>
      <c r="F522" s="687"/>
      <c r="G522" s="777"/>
      <c r="H522" s="687"/>
      <c r="I522" s="775"/>
      <c r="J522" s="764"/>
      <c r="K522" s="689"/>
      <c r="L522" s="764"/>
    </row>
    <row r="523">
      <c r="A523" s="764"/>
      <c r="B523" s="775"/>
      <c r="C523" s="764"/>
      <c r="D523" s="764"/>
      <c r="E523" s="776"/>
      <c r="F523" s="687"/>
      <c r="G523" s="777"/>
      <c r="H523" s="687"/>
      <c r="I523" s="775"/>
      <c r="J523" s="764"/>
      <c r="K523" s="689"/>
      <c r="L523" s="764"/>
    </row>
    <row r="524">
      <c r="A524" s="764"/>
      <c r="B524" s="775"/>
      <c r="C524" s="764"/>
      <c r="D524" s="764"/>
      <c r="E524" s="776"/>
      <c r="F524" s="687"/>
      <c r="G524" s="777"/>
      <c r="H524" s="687"/>
      <c r="I524" s="775"/>
      <c r="J524" s="764"/>
      <c r="K524" s="689"/>
      <c r="L524" s="764"/>
    </row>
    <row r="525">
      <c r="A525" s="764"/>
      <c r="B525" s="775"/>
      <c r="C525" s="764"/>
      <c r="D525" s="764"/>
      <c r="E525" s="776"/>
      <c r="F525" s="687"/>
      <c r="G525" s="777"/>
      <c r="H525" s="687"/>
      <c r="I525" s="775"/>
      <c r="J525" s="764"/>
      <c r="K525" s="689"/>
      <c r="L525" s="764"/>
    </row>
    <row r="526">
      <c r="A526" s="764"/>
      <c r="B526" s="775"/>
      <c r="C526" s="764"/>
      <c r="D526" s="764"/>
      <c r="E526" s="776"/>
      <c r="F526" s="687"/>
      <c r="G526" s="777"/>
      <c r="H526" s="687"/>
      <c r="I526" s="775"/>
      <c r="J526" s="764"/>
      <c r="K526" s="689"/>
      <c r="L526" s="764"/>
    </row>
    <row r="527">
      <c r="A527" s="764"/>
      <c r="B527" s="775"/>
      <c r="C527" s="764"/>
      <c r="D527" s="764"/>
      <c r="E527" s="776"/>
      <c r="F527" s="687"/>
      <c r="G527" s="777"/>
      <c r="H527" s="687"/>
      <c r="I527" s="775"/>
      <c r="J527" s="764"/>
      <c r="K527" s="689"/>
      <c r="L527" s="764"/>
    </row>
    <row r="528">
      <c r="A528" s="764"/>
      <c r="B528" s="775"/>
      <c r="C528" s="764"/>
      <c r="D528" s="764"/>
      <c r="E528" s="776"/>
      <c r="F528" s="687"/>
      <c r="G528" s="777"/>
      <c r="H528" s="687"/>
      <c r="I528" s="775"/>
      <c r="J528" s="764"/>
      <c r="K528" s="689"/>
      <c r="L528" s="764"/>
    </row>
    <row r="529">
      <c r="A529" s="764"/>
      <c r="B529" s="775"/>
      <c r="C529" s="764"/>
      <c r="D529" s="764"/>
      <c r="E529" s="776"/>
      <c r="F529" s="687"/>
      <c r="G529" s="777"/>
      <c r="H529" s="687"/>
      <c r="I529" s="775"/>
      <c r="J529" s="764"/>
      <c r="K529" s="689"/>
      <c r="L529" s="764"/>
    </row>
    <row r="530">
      <c r="A530" s="764"/>
      <c r="B530" s="775"/>
      <c r="C530" s="764"/>
      <c r="D530" s="764"/>
      <c r="E530" s="776"/>
      <c r="F530" s="687"/>
      <c r="G530" s="777"/>
      <c r="H530" s="687"/>
      <c r="I530" s="775"/>
      <c r="J530" s="764"/>
      <c r="K530" s="689"/>
      <c r="L530" s="764"/>
    </row>
    <row r="531">
      <c r="A531" s="764"/>
      <c r="B531" s="775"/>
      <c r="C531" s="764"/>
      <c r="D531" s="764"/>
      <c r="E531" s="776"/>
      <c r="F531" s="687"/>
      <c r="G531" s="777"/>
      <c r="H531" s="687"/>
      <c r="I531" s="775"/>
      <c r="J531" s="764"/>
      <c r="K531" s="689"/>
      <c r="L531" s="764"/>
    </row>
    <row r="532">
      <c r="A532" s="764"/>
      <c r="B532" s="775"/>
      <c r="C532" s="764"/>
      <c r="D532" s="764"/>
      <c r="E532" s="776"/>
      <c r="F532" s="687"/>
      <c r="G532" s="777"/>
      <c r="H532" s="687"/>
      <c r="I532" s="775"/>
      <c r="J532" s="764"/>
      <c r="K532" s="689"/>
      <c r="L532" s="764"/>
    </row>
    <row r="533">
      <c r="A533" s="764"/>
      <c r="B533" s="775"/>
      <c r="C533" s="764"/>
      <c r="D533" s="764"/>
      <c r="E533" s="776"/>
      <c r="F533" s="687"/>
      <c r="G533" s="777"/>
      <c r="H533" s="687"/>
      <c r="I533" s="775"/>
      <c r="J533" s="764"/>
      <c r="K533" s="689"/>
      <c r="L533" s="764"/>
    </row>
    <row r="534">
      <c r="A534" s="764"/>
      <c r="B534" s="775"/>
      <c r="C534" s="764"/>
      <c r="D534" s="764"/>
      <c r="E534" s="776"/>
      <c r="F534" s="687"/>
      <c r="G534" s="777"/>
      <c r="H534" s="687"/>
      <c r="I534" s="775"/>
      <c r="J534" s="764"/>
      <c r="K534" s="689"/>
      <c r="L534" s="764"/>
    </row>
    <row r="535">
      <c r="A535" s="764"/>
      <c r="B535" s="775"/>
      <c r="C535" s="764"/>
      <c r="D535" s="764"/>
      <c r="E535" s="776"/>
      <c r="F535" s="687"/>
      <c r="G535" s="777"/>
      <c r="H535" s="687"/>
      <c r="I535" s="775"/>
      <c r="J535" s="764"/>
      <c r="K535" s="689"/>
      <c r="L535" s="764"/>
    </row>
    <row r="536">
      <c r="A536" s="764"/>
      <c r="B536" s="775"/>
      <c r="C536" s="764"/>
      <c r="D536" s="764"/>
      <c r="E536" s="776"/>
      <c r="F536" s="687"/>
      <c r="G536" s="777"/>
      <c r="H536" s="687"/>
      <c r="I536" s="775"/>
      <c r="J536" s="764"/>
      <c r="K536" s="689"/>
      <c r="L536" s="764"/>
    </row>
    <row r="537">
      <c r="A537" s="764"/>
      <c r="B537" s="775"/>
      <c r="C537" s="764"/>
      <c r="D537" s="764"/>
      <c r="E537" s="776"/>
      <c r="F537" s="687"/>
      <c r="G537" s="777"/>
      <c r="H537" s="687"/>
      <c r="I537" s="775"/>
      <c r="J537" s="764"/>
      <c r="K537" s="689"/>
      <c r="L537" s="764"/>
    </row>
    <row r="538">
      <c r="A538" s="764"/>
      <c r="B538" s="775"/>
      <c r="C538" s="764"/>
      <c r="D538" s="764"/>
      <c r="E538" s="776"/>
      <c r="F538" s="687"/>
      <c r="G538" s="777"/>
      <c r="H538" s="687"/>
      <c r="I538" s="775"/>
      <c r="J538" s="764"/>
      <c r="K538" s="689"/>
      <c r="L538" s="764"/>
    </row>
    <row r="539">
      <c r="A539" s="764"/>
      <c r="B539" s="775"/>
      <c r="C539" s="764"/>
      <c r="D539" s="764"/>
      <c r="E539" s="776"/>
      <c r="F539" s="687"/>
      <c r="G539" s="777"/>
      <c r="H539" s="687"/>
      <c r="I539" s="775"/>
      <c r="J539" s="764"/>
      <c r="K539" s="689"/>
      <c r="L539" s="764"/>
    </row>
    <row r="540">
      <c r="A540" s="764"/>
      <c r="B540" s="775"/>
      <c r="C540" s="764"/>
      <c r="D540" s="764"/>
      <c r="E540" s="776"/>
      <c r="F540" s="687"/>
      <c r="G540" s="777"/>
      <c r="H540" s="687"/>
      <c r="I540" s="775"/>
      <c r="J540" s="764"/>
      <c r="K540" s="689"/>
      <c r="L540" s="764"/>
    </row>
    <row r="541">
      <c r="A541" s="764"/>
      <c r="B541" s="775"/>
      <c r="C541" s="764"/>
      <c r="D541" s="764"/>
      <c r="E541" s="776"/>
      <c r="F541" s="687"/>
      <c r="G541" s="777"/>
      <c r="H541" s="687"/>
      <c r="I541" s="775"/>
      <c r="J541" s="764"/>
      <c r="K541" s="689"/>
      <c r="L541" s="764"/>
    </row>
    <row r="542">
      <c r="A542" s="764"/>
      <c r="B542" s="775"/>
      <c r="C542" s="764"/>
      <c r="D542" s="764"/>
      <c r="E542" s="776"/>
      <c r="F542" s="687"/>
      <c r="G542" s="777"/>
      <c r="H542" s="687"/>
      <c r="I542" s="775"/>
      <c r="J542" s="764"/>
      <c r="K542" s="689"/>
      <c r="L542" s="764"/>
    </row>
    <row r="543">
      <c r="A543" s="764"/>
      <c r="B543" s="775"/>
      <c r="C543" s="764"/>
      <c r="D543" s="764"/>
      <c r="E543" s="776"/>
      <c r="F543" s="687"/>
      <c r="G543" s="777"/>
      <c r="H543" s="687"/>
      <c r="I543" s="775"/>
      <c r="J543" s="764"/>
      <c r="K543" s="689"/>
      <c r="L543" s="764"/>
    </row>
    <row r="544">
      <c r="A544" s="764"/>
      <c r="B544" s="775"/>
      <c r="C544" s="764"/>
      <c r="D544" s="764"/>
      <c r="E544" s="776"/>
      <c r="F544" s="687"/>
      <c r="G544" s="777"/>
      <c r="H544" s="687"/>
      <c r="I544" s="775"/>
      <c r="J544" s="764"/>
      <c r="K544" s="689"/>
      <c r="L544" s="764"/>
    </row>
    <row r="545">
      <c r="A545" s="764"/>
      <c r="B545" s="775"/>
      <c r="C545" s="764"/>
      <c r="D545" s="764"/>
      <c r="E545" s="776"/>
      <c r="F545" s="687"/>
      <c r="G545" s="777"/>
      <c r="H545" s="687"/>
      <c r="I545" s="775"/>
      <c r="J545" s="764"/>
      <c r="K545" s="689"/>
      <c r="L545" s="764"/>
    </row>
    <row r="546">
      <c r="A546" s="764"/>
      <c r="B546" s="775"/>
      <c r="C546" s="764"/>
      <c r="D546" s="764"/>
      <c r="E546" s="776"/>
      <c r="F546" s="687"/>
      <c r="G546" s="777"/>
      <c r="H546" s="687"/>
      <c r="I546" s="775"/>
      <c r="J546" s="764"/>
      <c r="K546" s="689"/>
      <c r="L546" s="764"/>
    </row>
    <row r="547">
      <c r="A547" s="764"/>
      <c r="B547" s="775"/>
      <c r="C547" s="764"/>
      <c r="D547" s="764"/>
      <c r="E547" s="776"/>
      <c r="F547" s="687"/>
      <c r="G547" s="777"/>
      <c r="H547" s="687"/>
      <c r="I547" s="775"/>
      <c r="J547" s="764"/>
      <c r="K547" s="689"/>
      <c r="L547" s="764"/>
    </row>
    <row r="548">
      <c r="A548" s="764"/>
      <c r="B548" s="775"/>
      <c r="C548" s="764"/>
      <c r="D548" s="764"/>
      <c r="E548" s="776"/>
      <c r="F548" s="687"/>
      <c r="G548" s="777"/>
      <c r="H548" s="687"/>
      <c r="I548" s="775"/>
      <c r="J548" s="764"/>
      <c r="K548" s="689"/>
      <c r="L548" s="764"/>
    </row>
    <row r="549">
      <c r="A549" s="764"/>
      <c r="B549" s="775"/>
      <c r="C549" s="764"/>
      <c r="D549" s="764"/>
      <c r="E549" s="776"/>
      <c r="F549" s="687"/>
      <c r="G549" s="777"/>
      <c r="H549" s="687"/>
      <c r="I549" s="775"/>
      <c r="J549" s="764"/>
      <c r="K549" s="689"/>
      <c r="L549" s="764"/>
    </row>
    <row r="550">
      <c r="A550" s="764"/>
      <c r="B550" s="775"/>
      <c r="C550" s="764"/>
      <c r="D550" s="764"/>
      <c r="E550" s="776"/>
      <c r="F550" s="687"/>
      <c r="G550" s="777"/>
      <c r="H550" s="687"/>
      <c r="I550" s="775"/>
      <c r="J550" s="764"/>
      <c r="K550" s="689"/>
      <c r="L550" s="764"/>
    </row>
    <row r="551">
      <c r="A551" s="764"/>
      <c r="B551" s="775"/>
      <c r="C551" s="764"/>
      <c r="D551" s="764"/>
      <c r="E551" s="776"/>
      <c r="F551" s="687"/>
      <c r="G551" s="777"/>
      <c r="H551" s="687"/>
      <c r="I551" s="775"/>
      <c r="J551" s="764"/>
      <c r="K551" s="689"/>
      <c r="L551" s="764"/>
    </row>
    <row r="552">
      <c r="A552" s="764"/>
      <c r="B552" s="775"/>
      <c r="C552" s="764"/>
      <c r="D552" s="764"/>
      <c r="E552" s="776"/>
      <c r="F552" s="687"/>
      <c r="G552" s="777"/>
      <c r="H552" s="687"/>
      <c r="I552" s="775"/>
      <c r="J552" s="764"/>
      <c r="K552" s="689"/>
      <c r="L552" s="764"/>
    </row>
    <row r="553">
      <c r="A553" s="764"/>
      <c r="B553" s="775"/>
      <c r="C553" s="764"/>
      <c r="D553" s="764"/>
      <c r="E553" s="776"/>
      <c r="F553" s="687"/>
      <c r="G553" s="777"/>
      <c r="H553" s="687"/>
      <c r="I553" s="775"/>
      <c r="J553" s="764"/>
      <c r="K553" s="689"/>
      <c r="L553" s="764"/>
    </row>
    <row r="554">
      <c r="A554" s="764"/>
      <c r="B554" s="775"/>
      <c r="C554" s="764"/>
      <c r="D554" s="764"/>
      <c r="E554" s="776"/>
      <c r="F554" s="687"/>
      <c r="G554" s="777"/>
      <c r="H554" s="687"/>
      <c r="I554" s="775"/>
      <c r="J554" s="764"/>
      <c r="K554" s="689"/>
      <c r="L554" s="764"/>
    </row>
    <row r="555">
      <c r="A555" s="764"/>
      <c r="B555" s="775"/>
      <c r="C555" s="764"/>
      <c r="D555" s="764"/>
      <c r="E555" s="776"/>
      <c r="F555" s="687"/>
      <c r="G555" s="777"/>
      <c r="H555" s="687"/>
      <c r="I555" s="775"/>
      <c r="J555" s="764"/>
      <c r="K555" s="689"/>
      <c r="L555" s="764"/>
    </row>
    <row r="556">
      <c r="A556" s="764"/>
      <c r="B556" s="775"/>
      <c r="C556" s="764"/>
      <c r="D556" s="764"/>
      <c r="E556" s="776"/>
      <c r="F556" s="687"/>
      <c r="G556" s="777"/>
      <c r="H556" s="687"/>
      <c r="I556" s="775"/>
      <c r="J556" s="764"/>
      <c r="K556" s="689"/>
      <c r="L556" s="764"/>
    </row>
    <row r="557">
      <c r="A557" s="764"/>
      <c r="B557" s="775"/>
      <c r="C557" s="764"/>
      <c r="D557" s="764"/>
      <c r="E557" s="776"/>
      <c r="F557" s="687"/>
      <c r="G557" s="777"/>
      <c r="H557" s="687"/>
      <c r="I557" s="775"/>
      <c r="J557" s="764"/>
      <c r="K557" s="689"/>
      <c r="L557" s="764"/>
    </row>
    <row r="558">
      <c r="A558" s="764"/>
      <c r="B558" s="775"/>
      <c r="C558" s="764"/>
      <c r="D558" s="764"/>
      <c r="E558" s="776"/>
      <c r="F558" s="687"/>
      <c r="G558" s="777"/>
      <c r="H558" s="687"/>
      <c r="I558" s="775"/>
      <c r="J558" s="764"/>
      <c r="K558" s="689"/>
      <c r="L558" s="764"/>
    </row>
    <row r="559">
      <c r="A559" s="764"/>
      <c r="B559" s="775"/>
      <c r="C559" s="764"/>
      <c r="D559" s="764"/>
      <c r="E559" s="776"/>
      <c r="F559" s="687"/>
      <c r="G559" s="777"/>
      <c r="H559" s="687"/>
      <c r="I559" s="775"/>
      <c r="J559" s="764"/>
      <c r="K559" s="689"/>
      <c r="L559" s="764"/>
    </row>
    <row r="560">
      <c r="A560" s="764"/>
      <c r="B560" s="775"/>
      <c r="C560" s="764"/>
      <c r="D560" s="764"/>
      <c r="E560" s="776"/>
      <c r="F560" s="687"/>
      <c r="G560" s="777"/>
      <c r="H560" s="687"/>
      <c r="I560" s="775"/>
      <c r="J560" s="764"/>
      <c r="K560" s="689"/>
      <c r="L560" s="764"/>
    </row>
    <row r="561">
      <c r="A561" s="764"/>
      <c r="B561" s="775"/>
      <c r="C561" s="764"/>
      <c r="D561" s="764"/>
      <c r="E561" s="776"/>
      <c r="F561" s="687"/>
      <c r="G561" s="777"/>
      <c r="H561" s="687"/>
      <c r="I561" s="775"/>
      <c r="J561" s="764"/>
      <c r="K561" s="689"/>
      <c r="L561" s="764"/>
    </row>
    <row r="562">
      <c r="A562" s="764"/>
      <c r="B562" s="775"/>
      <c r="C562" s="764"/>
      <c r="D562" s="764"/>
      <c r="E562" s="776"/>
      <c r="F562" s="687"/>
      <c r="G562" s="777"/>
      <c r="H562" s="687"/>
      <c r="I562" s="775"/>
      <c r="J562" s="764"/>
      <c r="K562" s="689"/>
      <c r="L562" s="764"/>
    </row>
    <row r="563">
      <c r="A563" s="764"/>
      <c r="B563" s="775"/>
      <c r="C563" s="764"/>
      <c r="D563" s="764"/>
      <c r="E563" s="776"/>
      <c r="F563" s="687"/>
      <c r="G563" s="777"/>
      <c r="H563" s="687"/>
      <c r="I563" s="775"/>
      <c r="J563" s="764"/>
      <c r="K563" s="689"/>
      <c r="L563" s="764"/>
    </row>
    <row r="564">
      <c r="A564" s="764"/>
      <c r="B564" s="775"/>
      <c r="C564" s="764"/>
      <c r="D564" s="764"/>
      <c r="E564" s="776"/>
      <c r="F564" s="687"/>
      <c r="G564" s="777"/>
      <c r="H564" s="687"/>
      <c r="I564" s="775"/>
      <c r="J564" s="764"/>
      <c r="K564" s="689"/>
      <c r="L564" s="764"/>
    </row>
    <row r="565">
      <c r="A565" s="764"/>
      <c r="B565" s="775"/>
      <c r="C565" s="764"/>
      <c r="D565" s="764"/>
      <c r="E565" s="776"/>
      <c r="F565" s="687"/>
      <c r="G565" s="777"/>
      <c r="H565" s="687"/>
      <c r="I565" s="775"/>
      <c r="J565" s="764"/>
      <c r="K565" s="689"/>
      <c r="L565" s="764"/>
    </row>
    <row r="566">
      <c r="A566" s="764"/>
      <c r="B566" s="775"/>
      <c r="C566" s="764"/>
      <c r="D566" s="764"/>
      <c r="E566" s="776"/>
      <c r="F566" s="687"/>
      <c r="G566" s="777"/>
      <c r="H566" s="687"/>
      <c r="I566" s="775"/>
      <c r="J566" s="764"/>
      <c r="K566" s="689"/>
      <c r="L566" s="764"/>
    </row>
    <row r="567">
      <c r="A567" s="764"/>
      <c r="B567" s="775"/>
      <c r="C567" s="764"/>
      <c r="D567" s="764"/>
      <c r="E567" s="776"/>
      <c r="F567" s="687"/>
      <c r="G567" s="777"/>
      <c r="H567" s="687"/>
      <c r="I567" s="775"/>
      <c r="J567" s="764"/>
      <c r="K567" s="689"/>
      <c r="L567" s="764"/>
    </row>
    <row r="568">
      <c r="A568" s="764"/>
      <c r="B568" s="775"/>
      <c r="C568" s="764"/>
      <c r="D568" s="764"/>
      <c r="E568" s="776"/>
      <c r="F568" s="687"/>
      <c r="G568" s="777"/>
      <c r="H568" s="687"/>
      <c r="I568" s="775"/>
      <c r="J568" s="764"/>
      <c r="K568" s="689"/>
      <c r="L568" s="764"/>
    </row>
    <row r="569">
      <c r="A569" s="764"/>
      <c r="B569" s="775"/>
      <c r="C569" s="764"/>
      <c r="D569" s="764"/>
      <c r="E569" s="776"/>
      <c r="F569" s="687"/>
      <c r="G569" s="777"/>
      <c r="H569" s="687"/>
      <c r="I569" s="775"/>
      <c r="J569" s="764"/>
      <c r="K569" s="689"/>
      <c r="L569" s="764"/>
    </row>
    <row r="570">
      <c r="A570" s="764"/>
      <c r="B570" s="775"/>
      <c r="C570" s="764"/>
      <c r="D570" s="764"/>
      <c r="E570" s="776"/>
      <c r="F570" s="687"/>
      <c r="G570" s="777"/>
      <c r="H570" s="687"/>
      <c r="I570" s="775"/>
      <c r="J570" s="764"/>
      <c r="K570" s="689"/>
      <c r="L570" s="764"/>
    </row>
    <row r="571">
      <c r="A571" s="764"/>
      <c r="B571" s="775"/>
      <c r="C571" s="764"/>
      <c r="D571" s="764"/>
      <c r="E571" s="776"/>
      <c r="F571" s="687"/>
      <c r="G571" s="777"/>
      <c r="H571" s="687"/>
      <c r="I571" s="775"/>
      <c r="J571" s="764"/>
      <c r="K571" s="689"/>
      <c r="L571" s="764"/>
    </row>
    <row r="572">
      <c r="A572" s="764"/>
      <c r="B572" s="775"/>
      <c r="C572" s="764"/>
      <c r="D572" s="764"/>
      <c r="E572" s="776"/>
      <c r="F572" s="687"/>
      <c r="G572" s="777"/>
      <c r="H572" s="687"/>
      <c r="I572" s="775"/>
      <c r="J572" s="764"/>
      <c r="K572" s="689"/>
      <c r="L572" s="764"/>
    </row>
    <row r="573">
      <c r="A573" s="764"/>
      <c r="B573" s="775"/>
      <c r="C573" s="764"/>
      <c r="D573" s="764"/>
      <c r="E573" s="776"/>
      <c r="F573" s="687"/>
      <c r="G573" s="777"/>
      <c r="H573" s="687"/>
      <c r="I573" s="775"/>
      <c r="J573" s="764"/>
      <c r="K573" s="689"/>
      <c r="L573" s="764"/>
    </row>
    <row r="574">
      <c r="A574" s="764"/>
      <c r="B574" s="775"/>
      <c r="C574" s="764"/>
      <c r="D574" s="764"/>
      <c r="E574" s="776"/>
      <c r="F574" s="687"/>
      <c r="G574" s="777"/>
      <c r="H574" s="687"/>
      <c r="I574" s="775"/>
      <c r="J574" s="764"/>
      <c r="K574" s="689"/>
      <c r="L574" s="764"/>
    </row>
    <row r="575">
      <c r="A575" s="764"/>
      <c r="B575" s="775"/>
      <c r="C575" s="764"/>
      <c r="D575" s="764"/>
      <c r="E575" s="776"/>
      <c r="F575" s="687"/>
      <c r="G575" s="777"/>
      <c r="H575" s="687"/>
      <c r="I575" s="775"/>
      <c r="J575" s="764"/>
      <c r="K575" s="689"/>
      <c r="L575" s="764"/>
    </row>
    <row r="576">
      <c r="A576" s="764"/>
      <c r="B576" s="775"/>
      <c r="C576" s="764"/>
      <c r="D576" s="764"/>
      <c r="E576" s="776"/>
      <c r="F576" s="687"/>
      <c r="G576" s="777"/>
      <c r="H576" s="687"/>
      <c r="I576" s="775"/>
      <c r="J576" s="764"/>
      <c r="K576" s="689"/>
      <c r="L576" s="764"/>
    </row>
    <row r="577">
      <c r="A577" s="764"/>
      <c r="B577" s="775"/>
      <c r="C577" s="764"/>
      <c r="D577" s="764"/>
      <c r="E577" s="776"/>
      <c r="F577" s="687"/>
      <c r="G577" s="777"/>
      <c r="H577" s="687"/>
      <c r="I577" s="775"/>
      <c r="J577" s="764"/>
      <c r="K577" s="689"/>
      <c r="L577" s="764"/>
    </row>
    <row r="578">
      <c r="A578" s="764"/>
      <c r="B578" s="775"/>
      <c r="C578" s="764"/>
      <c r="D578" s="764"/>
      <c r="E578" s="776"/>
      <c r="F578" s="687"/>
      <c r="G578" s="777"/>
      <c r="H578" s="687"/>
      <c r="I578" s="775"/>
      <c r="J578" s="764"/>
      <c r="K578" s="689"/>
      <c r="L578" s="764"/>
    </row>
    <row r="579">
      <c r="A579" s="764"/>
      <c r="B579" s="775"/>
      <c r="C579" s="764"/>
      <c r="D579" s="764"/>
      <c r="E579" s="776"/>
      <c r="F579" s="687"/>
      <c r="G579" s="777"/>
      <c r="H579" s="687"/>
      <c r="I579" s="775"/>
      <c r="J579" s="764"/>
      <c r="K579" s="689"/>
      <c r="L579" s="764"/>
    </row>
    <row r="580">
      <c r="A580" s="764"/>
      <c r="B580" s="775"/>
      <c r="C580" s="764"/>
      <c r="D580" s="764"/>
      <c r="E580" s="776"/>
      <c r="F580" s="687"/>
      <c r="G580" s="777"/>
      <c r="H580" s="687"/>
      <c r="I580" s="775"/>
      <c r="J580" s="764"/>
      <c r="K580" s="689"/>
      <c r="L580" s="764"/>
    </row>
    <row r="581">
      <c r="A581" s="764"/>
      <c r="B581" s="775"/>
      <c r="C581" s="764"/>
      <c r="D581" s="764"/>
      <c r="E581" s="776"/>
      <c r="F581" s="687"/>
      <c r="G581" s="777"/>
      <c r="H581" s="687"/>
      <c r="I581" s="775"/>
      <c r="J581" s="764"/>
      <c r="K581" s="689"/>
      <c r="L581" s="764"/>
    </row>
    <row r="582">
      <c r="A582" s="764"/>
      <c r="B582" s="775"/>
      <c r="C582" s="764"/>
      <c r="D582" s="764"/>
      <c r="E582" s="776"/>
      <c r="F582" s="687"/>
      <c r="G582" s="777"/>
      <c r="H582" s="687"/>
      <c r="I582" s="775"/>
      <c r="J582" s="764"/>
      <c r="K582" s="689"/>
      <c r="L582" s="764"/>
    </row>
    <row r="583">
      <c r="A583" s="764"/>
      <c r="B583" s="775"/>
      <c r="C583" s="764"/>
      <c r="D583" s="764"/>
      <c r="E583" s="776"/>
      <c r="F583" s="687"/>
      <c r="G583" s="777"/>
      <c r="H583" s="687"/>
      <c r="I583" s="775"/>
      <c r="J583" s="764"/>
      <c r="K583" s="689"/>
      <c r="L583" s="764"/>
    </row>
    <row r="584">
      <c r="A584" s="764"/>
      <c r="B584" s="775"/>
      <c r="C584" s="764"/>
      <c r="D584" s="764"/>
      <c r="E584" s="776"/>
      <c r="F584" s="687"/>
      <c r="G584" s="777"/>
      <c r="H584" s="687"/>
      <c r="I584" s="775"/>
      <c r="J584" s="764"/>
      <c r="K584" s="689"/>
      <c r="L584" s="764"/>
    </row>
    <row r="585">
      <c r="A585" s="764"/>
      <c r="B585" s="775"/>
      <c r="C585" s="764"/>
      <c r="D585" s="764"/>
      <c r="E585" s="776"/>
      <c r="F585" s="687"/>
      <c r="G585" s="777"/>
      <c r="H585" s="687"/>
      <c r="I585" s="775"/>
      <c r="J585" s="764"/>
      <c r="K585" s="689"/>
      <c r="L585" s="764"/>
    </row>
    <row r="586">
      <c r="A586" s="764"/>
      <c r="B586" s="775"/>
      <c r="C586" s="764"/>
      <c r="D586" s="764"/>
      <c r="E586" s="776"/>
      <c r="F586" s="687"/>
      <c r="G586" s="777"/>
      <c r="H586" s="687"/>
      <c r="I586" s="775"/>
      <c r="J586" s="764"/>
      <c r="K586" s="689"/>
      <c r="L586" s="764"/>
    </row>
    <row r="587">
      <c r="A587" s="764"/>
      <c r="B587" s="775"/>
      <c r="C587" s="764"/>
      <c r="D587" s="764"/>
      <c r="E587" s="776"/>
      <c r="F587" s="687"/>
      <c r="G587" s="777"/>
      <c r="H587" s="687"/>
      <c r="I587" s="775"/>
      <c r="J587" s="764"/>
      <c r="K587" s="689"/>
      <c r="L587" s="764"/>
    </row>
    <row r="588">
      <c r="A588" s="764"/>
      <c r="B588" s="775"/>
      <c r="C588" s="764"/>
      <c r="D588" s="764"/>
      <c r="E588" s="776"/>
      <c r="F588" s="687"/>
      <c r="G588" s="777"/>
      <c r="H588" s="687"/>
      <c r="I588" s="775"/>
      <c r="J588" s="764"/>
      <c r="K588" s="689"/>
      <c r="L588" s="764"/>
    </row>
    <row r="589">
      <c r="A589" s="764"/>
      <c r="B589" s="775"/>
      <c r="C589" s="764"/>
      <c r="D589" s="764"/>
      <c r="E589" s="776"/>
      <c r="F589" s="687"/>
      <c r="G589" s="777"/>
      <c r="H589" s="687"/>
      <c r="I589" s="775"/>
      <c r="J589" s="764"/>
      <c r="K589" s="689"/>
      <c r="L589" s="764"/>
    </row>
    <row r="590">
      <c r="A590" s="764"/>
      <c r="B590" s="775"/>
      <c r="C590" s="764"/>
      <c r="D590" s="764"/>
      <c r="E590" s="776"/>
      <c r="F590" s="687"/>
      <c r="G590" s="777"/>
      <c r="H590" s="687"/>
      <c r="I590" s="775"/>
      <c r="J590" s="764"/>
      <c r="K590" s="689"/>
      <c r="L590" s="764"/>
    </row>
    <row r="591">
      <c r="A591" s="764"/>
      <c r="B591" s="775"/>
      <c r="C591" s="764"/>
      <c r="D591" s="764"/>
      <c r="E591" s="776"/>
      <c r="F591" s="687"/>
      <c r="G591" s="777"/>
      <c r="H591" s="687"/>
      <c r="I591" s="775"/>
      <c r="J591" s="764"/>
      <c r="K591" s="689"/>
      <c r="L591" s="764"/>
    </row>
    <row r="592">
      <c r="A592" s="764"/>
      <c r="B592" s="775"/>
      <c r="C592" s="764"/>
      <c r="D592" s="764"/>
      <c r="E592" s="776"/>
      <c r="F592" s="687"/>
      <c r="G592" s="777"/>
      <c r="H592" s="687"/>
      <c r="I592" s="775"/>
      <c r="J592" s="764"/>
      <c r="K592" s="689"/>
      <c r="L592" s="764"/>
    </row>
    <row r="593">
      <c r="A593" s="764"/>
      <c r="B593" s="775"/>
      <c r="C593" s="764"/>
      <c r="D593" s="764"/>
      <c r="E593" s="776"/>
      <c r="F593" s="687"/>
      <c r="G593" s="777"/>
      <c r="H593" s="687"/>
      <c r="I593" s="775"/>
      <c r="J593" s="764"/>
      <c r="K593" s="689"/>
      <c r="L593" s="764"/>
    </row>
    <row r="594">
      <c r="A594" s="764"/>
      <c r="B594" s="775"/>
      <c r="C594" s="764"/>
      <c r="D594" s="764"/>
      <c r="E594" s="776"/>
      <c r="F594" s="687"/>
      <c r="G594" s="777"/>
      <c r="H594" s="687"/>
      <c r="I594" s="775"/>
      <c r="J594" s="764"/>
      <c r="K594" s="689"/>
      <c r="L594" s="764"/>
    </row>
    <row r="595">
      <c r="A595" s="764"/>
      <c r="B595" s="775"/>
      <c r="C595" s="764"/>
      <c r="D595" s="764"/>
      <c r="E595" s="776"/>
      <c r="F595" s="687"/>
      <c r="G595" s="777"/>
      <c r="H595" s="687"/>
      <c r="I595" s="775"/>
      <c r="J595" s="764"/>
      <c r="K595" s="689"/>
      <c r="L595" s="764"/>
    </row>
    <row r="596">
      <c r="A596" s="764"/>
      <c r="B596" s="775"/>
      <c r="C596" s="764"/>
      <c r="D596" s="764"/>
      <c r="E596" s="776"/>
      <c r="F596" s="687"/>
      <c r="G596" s="777"/>
      <c r="H596" s="687"/>
      <c r="I596" s="775"/>
      <c r="J596" s="764"/>
      <c r="K596" s="689"/>
      <c r="L596" s="764"/>
    </row>
    <row r="597">
      <c r="A597" s="764"/>
      <c r="B597" s="775"/>
      <c r="C597" s="764"/>
      <c r="D597" s="764"/>
      <c r="E597" s="776"/>
      <c r="F597" s="687"/>
      <c r="G597" s="777"/>
      <c r="H597" s="687"/>
      <c r="I597" s="775"/>
      <c r="J597" s="764"/>
      <c r="K597" s="689"/>
      <c r="L597" s="764"/>
    </row>
    <row r="598">
      <c r="A598" s="764"/>
      <c r="B598" s="775"/>
      <c r="C598" s="764"/>
      <c r="D598" s="764"/>
      <c r="E598" s="776"/>
      <c r="F598" s="687"/>
      <c r="G598" s="777"/>
      <c r="H598" s="687"/>
      <c r="I598" s="775"/>
      <c r="J598" s="764"/>
      <c r="K598" s="689"/>
      <c r="L598" s="764"/>
    </row>
    <row r="599">
      <c r="A599" s="764"/>
      <c r="B599" s="775"/>
      <c r="C599" s="764"/>
      <c r="D599" s="764"/>
      <c r="E599" s="776"/>
      <c r="F599" s="687"/>
      <c r="G599" s="777"/>
      <c r="H599" s="687"/>
      <c r="I599" s="775"/>
      <c r="J599" s="764"/>
      <c r="K599" s="689"/>
      <c r="L599" s="764"/>
    </row>
    <row r="600">
      <c r="A600" s="764"/>
      <c r="B600" s="775"/>
      <c r="C600" s="764"/>
      <c r="D600" s="764"/>
      <c r="E600" s="776"/>
      <c r="F600" s="687"/>
      <c r="G600" s="777"/>
      <c r="H600" s="687"/>
      <c r="I600" s="775"/>
      <c r="J600" s="764"/>
      <c r="K600" s="689"/>
      <c r="L600" s="764"/>
    </row>
    <row r="601">
      <c r="A601" s="764"/>
      <c r="B601" s="775"/>
      <c r="C601" s="764"/>
      <c r="D601" s="764"/>
      <c r="E601" s="776"/>
      <c r="F601" s="687"/>
      <c r="G601" s="777"/>
      <c r="H601" s="687"/>
      <c r="I601" s="775"/>
      <c r="J601" s="764"/>
      <c r="K601" s="689"/>
      <c r="L601" s="764"/>
    </row>
    <row r="602">
      <c r="A602" s="764"/>
      <c r="B602" s="775"/>
      <c r="C602" s="764"/>
      <c r="D602" s="764"/>
      <c r="E602" s="776"/>
      <c r="F602" s="687"/>
      <c r="G602" s="777"/>
      <c r="H602" s="687"/>
      <c r="I602" s="775"/>
      <c r="J602" s="764"/>
      <c r="K602" s="689"/>
      <c r="L602" s="764"/>
    </row>
    <row r="603">
      <c r="A603" s="764"/>
      <c r="B603" s="775"/>
      <c r="C603" s="764"/>
      <c r="D603" s="764"/>
      <c r="E603" s="776"/>
      <c r="F603" s="687"/>
      <c r="G603" s="777"/>
      <c r="H603" s="687"/>
      <c r="I603" s="775"/>
      <c r="J603" s="764"/>
      <c r="K603" s="689"/>
      <c r="L603" s="764"/>
    </row>
    <row r="604">
      <c r="A604" s="764"/>
      <c r="B604" s="775"/>
      <c r="C604" s="764"/>
      <c r="D604" s="764"/>
      <c r="E604" s="776"/>
      <c r="F604" s="687"/>
      <c r="G604" s="777"/>
      <c r="H604" s="687"/>
      <c r="I604" s="775"/>
      <c r="J604" s="764"/>
      <c r="K604" s="689"/>
      <c r="L604" s="764"/>
    </row>
    <row r="605">
      <c r="A605" s="764"/>
      <c r="B605" s="775"/>
      <c r="C605" s="764"/>
      <c r="D605" s="764"/>
      <c r="E605" s="776"/>
      <c r="F605" s="687"/>
      <c r="G605" s="777"/>
      <c r="H605" s="687"/>
      <c r="I605" s="775"/>
      <c r="J605" s="764"/>
      <c r="K605" s="689"/>
      <c r="L605" s="764"/>
    </row>
    <row r="606">
      <c r="A606" s="764"/>
      <c r="B606" s="775"/>
      <c r="C606" s="764"/>
      <c r="D606" s="764"/>
      <c r="E606" s="776"/>
      <c r="F606" s="687"/>
      <c r="G606" s="777"/>
      <c r="H606" s="687"/>
      <c r="I606" s="775"/>
      <c r="J606" s="764"/>
      <c r="K606" s="689"/>
      <c r="L606" s="764"/>
    </row>
    <row r="607">
      <c r="A607" s="764"/>
      <c r="B607" s="775"/>
      <c r="C607" s="764"/>
      <c r="D607" s="764"/>
      <c r="E607" s="776"/>
      <c r="F607" s="687"/>
      <c r="G607" s="777"/>
      <c r="H607" s="687"/>
      <c r="I607" s="775"/>
      <c r="J607" s="764"/>
      <c r="K607" s="689"/>
      <c r="L607" s="764"/>
    </row>
    <row r="608">
      <c r="A608" s="764"/>
      <c r="B608" s="775"/>
      <c r="C608" s="764"/>
      <c r="D608" s="764"/>
      <c r="E608" s="776"/>
      <c r="F608" s="687"/>
      <c r="G608" s="777"/>
      <c r="H608" s="687"/>
      <c r="I608" s="775"/>
      <c r="J608" s="764"/>
      <c r="K608" s="689"/>
      <c r="L608" s="764"/>
    </row>
    <row r="609">
      <c r="A609" s="764"/>
      <c r="B609" s="775"/>
      <c r="C609" s="764"/>
      <c r="D609" s="764"/>
      <c r="E609" s="776"/>
      <c r="F609" s="687"/>
      <c r="G609" s="777"/>
      <c r="H609" s="687"/>
      <c r="I609" s="775"/>
      <c r="J609" s="764"/>
      <c r="K609" s="689"/>
      <c r="L609" s="764"/>
    </row>
    <row r="610">
      <c r="A610" s="764"/>
      <c r="B610" s="775"/>
      <c r="C610" s="764"/>
      <c r="D610" s="764"/>
      <c r="E610" s="776"/>
      <c r="F610" s="687"/>
      <c r="G610" s="777"/>
      <c r="H610" s="687"/>
      <c r="I610" s="775"/>
      <c r="J610" s="764"/>
      <c r="K610" s="689"/>
      <c r="L610" s="764"/>
    </row>
    <row r="611">
      <c r="A611" s="764"/>
      <c r="B611" s="775"/>
      <c r="C611" s="764"/>
      <c r="D611" s="764"/>
      <c r="E611" s="776"/>
      <c r="F611" s="687"/>
      <c r="G611" s="777"/>
      <c r="H611" s="687"/>
      <c r="I611" s="775"/>
      <c r="J611" s="764"/>
      <c r="K611" s="689"/>
      <c r="L611" s="764"/>
    </row>
    <row r="612">
      <c r="A612" s="764"/>
      <c r="B612" s="775"/>
      <c r="C612" s="764"/>
      <c r="D612" s="764"/>
      <c r="E612" s="776"/>
      <c r="F612" s="687"/>
      <c r="G612" s="777"/>
      <c r="H612" s="687"/>
      <c r="I612" s="775"/>
      <c r="J612" s="764"/>
      <c r="K612" s="689"/>
      <c r="L612" s="764"/>
    </row>
    <row r="613">
      <c r="A613" s="764"/>
      <c r="B613" s="775"/>
      <c r="C613" s="764"/>
      <c r="D613" s="764"/>
      <c r="E613" s="776"/>
      <c r="F613" s="687"/>
      <c r="G613" s="777"/>
      <c r="H613" s="687"/>
      <c r="I613" s="775"/>
      <c r="J613" s="764"/>
      <c r="K613" s="689"/>
      <c r="L613" s="764"/>
    </row>
    <row r="614">
      <c r="A614" s="764"/>
      <c r="B614" s="775"/>
      <c r="C614" s="764"/>
      <c r="D614" s="764"/>
      <c r="E614" s="776"/>
      <c r="F614" s="687"/>
      <c r="G614" s="777"/>
      <c r="H614" s="687"/>
      <c r="I614" s="775"/>
      <c r="J614" s="764"/>
      <c r="K614" s="689"/>
      <c r="L614" s="764"/>
    </row>
    <row r="615">
      <c r="A615" s="764"/>
      <c r="B615" s="775"/>
      <c r="C615" s="764"/>
      <c r="D615" s="764"/>
      <c r="E615" s="776"/>
      <c r="F615" s="687"/>
      <c r="G615" s="777"/>
      <c r="H615" s="687"/>
      <c r="I615" s="775"/>
      <c r="J615" s="764"/>
      <c r="K615" s="689"/>
      <c r="L615" s="764"/>
    </row>
    <row r="616">
      <c r="A616" s="764"/>
      <c r="B616" s="775"/>
      <c r="C616" s="764"/>
      <c r="D616" s="764"/>
      <c r="E616" s="776"/>
      <c r="F616" s="687"/>
      <c r="G616" s="777"/>
      <c r="H616" s="687"/>
      <c r="I616" s="775"/>
      <c r="J616" s="764"/>
      <c r="K616" s="689"/>
      <c r="L616" s="764"/>
    </row>
    <row r="617">
      <c r="A617" s="764"/>
      <c r="B617" s="775"/>
      <c r="C617" s="764"/>
      <c r="D617" s="764"/>
      <c r="E617" s="776"/>
      <c r="F617" s="687"/>
      <c r="G617" s="777"/>
      <c r="H617" s="687"/>
      <c r="I617" s="775"/>
      <c r="J617" s="764"/>
      <c r="K617" s="689"/>
      <c r="L617" s="764"/>
    </row>
    <row r="618">
      <c r="A618" s="764"/>
      <c r="B618" s="775"/>
      <c r="C618" s="764"/>
      <c r="D618" s="764"/>
      <c r="E618" s="776"/>
      <c r="F618" s="687"/>
      <c r="G618" s="777"/>
      <c r="H618" s="687"/>
      <c r="I618" s="775"/>
      <c r="J618" s="764"/>
      <c r="K618" s="689"/>
      <c r="L618" s="764"/>
    </row>
    <row r="619">
      <c r="A619" s="764"/>
      <c r="B619" s="775"/>
      <c r="C619" s="764"/>
      <c r="D619" s="764"/>
      <c r="E619" s="776"/>
      <c r="F619" s="687"/>
      <c r="G619" s="777"/>
      <c r="H619" s="687"/>
      <c r="I619" s="775"/>
      <c r="J619" s="764"/>
      <c r="K619" s="689"/>
      <c r="L619" s="764"/>
    </row>
    <row r="620">
      <c r="A620" s="764"/>
      <c r="B620" s="775"/>
      <c r="C620" s="764"/>
      <c r="D620" s="764"/>
      <c r="E620" s="776"/>
      <c r="F620" s="687"/>
      <c r="G620" s="777"/>
      <c r="H620" s="687"/>
      <c r="I620" s="775"/>
      <c r="J620" s="764"/>
      <c r="K620" s="689"/>
      <c r="L620" s="764"/>
    </row>
    <row r="621">
      <c r="A621" s="764"/>
      <c r="B621" s="775"/>
      <c r="C621" s="764"/>
      <c r="D621" s="764"/>
      <c r="E621" s="776"/>
      <c r="F621" s="687"/>
      <c r="G621" s="777"/>
      <c r="H621" s="687"/>
      <c r="I621" s="775"/>
      <c r="J621" s="764"/>
      <c r="K621" s="689"/>
      <c r="L621" s="764"/>
    </row>
    <row r="622">
      <c r="A622" s="764"/>
      <c r="B622" s="775"/>
      <c r="C622" s="764"/>
      <c r="D622" s="764"/>
      <c r="E622" s="776"/>
      <c r="F622" s="687"/>
      <c r="G622" s="777"/>
      <c r="H622" s="687"/>
      <c r="I622" s="775"/>
      <c r="J622" s="764"/>
      <c r="K622" s="689"/>
      <c r="L622" s="764"/>
    </row>
    <row r="623">
      <c r="A623" s="764"/>
      <c r="B623" s="775"/>
      <c r="C623" s="764"/>
      <c r="D623" s="764"/>
      <c r="E623" s="776"/>
      <c r="F623" s="687"/>
      <c r="G623" s="777"/>
      <c r="H623" s="687"/>
      <c r="I623" s="775"/>
      <c r="J623" s="764"/>
      <c r="K623" s="689"/>
      <c r="L623" s="764"/>
    </row>
    <row r="624">
      <c r="A624" s="764"/>
      <c r="B624" s="775"/>
      <c r="C624" s="764"/>
      <c r="D624" s="764"/>
      <c r="E624" s="776"/>
      <c r="F624" s="687"/>
      <c r="G624" s="777"/>
      <c r="H624" s="687"/>
      <c r="I624" s="775"/>
      <c r="J624" s="764"/>
      <c r="K624" s="689"/>
      <c r="L624" s="764"/>
    </row>
    <row r="625">
      <c r="A625" s="764"/>
      <c r="B625" s="775"/>
      <c r="C625" s="764"/>
      <c r="D625" s="764"/>
      <c r="E625" s="776"/>
      <c r="F625" s="687"/>
      <c r="G625" s="777"/>
      <c r="H625" s="687"/>
      <c r="I625" s="775"/>
      <c r="J625" s="764"/>
      <c r="K625" s="689"/>
      <c r="L625" s="764"/>
    </row>
    <row r="626">
      <c r="A626" s="764"/>
      <c r="B626" s="775"/>
      <c r="C626" s="764"/>
      <c r="D626" s="764"/>
      <c r="E626" s="776"/>
      <c r="F626" s="687"/>
      <c r="G626" s="777"/>
      <c r="H626" s="687"/>
      <c r="I626" s="775"/>
      <c r="J626" s="764"/>
      <c r="K626" s="689"/>
      <c r="L626" s="764"/>
    </row>
    <row r="627">
      <c r="A627" s="764"/>
      <c r="B627" s="775"/>
      <c r="C627" s="764"/>
      <c r="D627" s="764"/>
      <c r="E627" s="776"/>
      <c r="F627" s="687"/>
      <c r="G627" s="777"/>
      <c r="H627" s="687"/>
      <c r="I627" s="775"/>
      <c r="J627" s="764"/>
      <c r="K627" s="689"/>
      <c r="L627" s="764"/>
    </row>
    <row r="628">
      <c r="A628" s="764"/>
      <c r="B628" s="775"/>
      <c r="C628" s="764"/>
      <c r="D628" s="764"/>
      <c r="E628" s="776"/>
      <c r="F628" s="687"/>
      <c r="G628" s="777"/>
      <c r="H628" s="687"/>
      <c r="I628" s="775"/>
      <c r="J628" s="764"/>
      <c r="K628" s="689"/>
      <c r="L628" s="764"/>
    </row>
    <row r="629">
      <c r="A629" s="764"/>
      <c r="B629" s="775"/>
      <c r="C629" s="764"/>
      <c r="D629" s="764"/>
      <c r="E629" s="776"/>
      <c r="F629" s="687"/>
      <c r="G629" s="777"/>
      <c r="H629" s="687"/>
      <c r="I629" s="775"/>
      <c r="J629" s="764"/>
      <c r="K629" s="689"/>
      <c r="L629" s="764"/>
    </row>
    <row r="630">
      <c r="A630" s="764"/>
      <c r="B630" s="775"/>
      <c r="C630" s="764"/>
      <c r="D630" s="764"/>
      <c r="E630" s="776"/>
      <c r="F630" s="687"/>
      <c r="G630" s="777"/>
      <c r="H630" s="687"/>
      <c r="I630" s="775"/>
      <c r="J630" s="764"/>
      <c r="K630" s="689"/>
      <c r="L630" s="764"/>
    </row>
    <row r="631">
      <c r="A631" s="764"/>
      <c r="B631" s="775"/>
      <c r="C631" s="764"/>
      <c r="D631" s="764"/>
      <c r="E631" s="776"/>
      <c r="F631" s="687"/>
      <c r="G631" s="777"/>
      <c r="H631" s="687"/>
      <c r="I631" s="775"/>
      <c r="J631" s="764"/>
      <c r="K631" s="689"/>
      <c r="L631" s="764"/>
    </row>
    <row r="632">
      <c r="A632" s="764"/>
      <c r="B632" s="775"/>
      <c r="C632" s="764"/>
      <c r="D632" s="764"/>
      <c r="E632" s="776"/>
      <c r="F632" s="687"/>
      <c r="G632" s="777"/>
      <c r="H632" s="687"/>
      <c r="I632" s="775"/>
      <c r="J632" s="764"/>
      <c r="K632" s="689"/>
      <c r="L632" s="764"/>
    </row>
    <row r="633">
      <c r="A633" s="764"/>
      <c r="B633" s="775"/>
      <c r="C633" s="764"/>
      <c r="D633" s="764"/>
      <c r="E633" s="776"/>
      <c r="F633" s="687"/>
      <c r="G633" s="777"/>
      <c r="H633" s="687"/>
      <c r="I633" s="775"/>
      <c r="J633" s="764"/>
      <c r="K633" s="689"/>
      <c r="L633" s="764"/>
    </row>
    <row r="634">
      <c r="A634" s="764"/>
      <c r="B634" s="775"/>
      <c r="C634" s="764"/>
      <c r="D634" s="764"/>
      <c r="E634" s="776"/>
      <c r="F634" s="687"/>
      <c r="G634" s="777"/>
      <c r="H634" s="687"/>
      <c r="I634" s="775"/>
      <c r="J634" s="764"/>
      <c r="K634" s="689"/>
      <c r="L634" s="764"/>
    </row>
    <row r="635">
      <c r="A635" s="764"/>
      <c r="B635" s="775"/>
      <c r="C635" s="764"/>
      <c r="D635" s="764"/>
      <c r="E635" s="776"/>
      <c r="F635" s="687"/>
      <c r="G635" s="777"/>
      <c r="H635" s="687"/>
      <c r="I635" s="775"/>
      <c r="J635" s="764"/>
      <c r="K635" s="689"/>
      <c r="L635" s="764"/>
    </row>
    <row r="636">
      <c r="A636" s="764"/>
      <c r="B636" s="775"/>
      <c r="C636" s="764"/>
      <c r="D636" s="764"/>
      <c r="E636" s="776"/>
      <c r="F636" s="687"/>
      <c r="G636" s="777"/>
      <c r="H636" s="687"/>
      <c r="I636" s="775"/>
      <c r="J636" s="764"/>
      <c r="K636" s="689"/>
      <c r="L636" s="764"/>
    </row>
    <row r="637">
      <c r="A637" s="764"/>
      <c r="B637" s="775"/>
      <c r="C637" s="764"/>
      <c r="D637" s="764"/>
      <c r="E637" s="776"/>
      <c r="F637" s="687"/>
      <c r="G637" s="777"/>
      <c r="H637" s="687"/>
      <c r="I637" s="775"/>
      <c r="J637" s="764"/>
      <c r="K637" s="689"/>
      <c r="L637" s="764"/>
    </row>
    <row r="638">
      <c r="A638" s="764"/>
      <c r="B638" s="775"/>
      <c r="C638" s="764"/>
      <c r="D638" s="764"/>
      <c r="E638" s="776"/>
      <c r="F638" s="687"/>
      <c r="G638" s="777"/>
      <c r="H638" s="687"/>
      <c r="I638" s="775"/>
      <c r="J638" s="764"/>
      <c r="K638" s="689"/>
      <c r="L638" s="764"/>
    </row>
    <row r="639">
      <c r="A639" s="764"/>
      <c r="B639" s="775"/>
      <c r="C639" s="764"/>
      <c r="D639" s="764"/>
      <c r="E639" s="776"/>
      <c r="F639" s="687"/>
      <c r="G639" s="777"/>
      <c r="H639" s="687"/>
      <c r="I639" s="775"/>
      <c r="J639" s="764"/>
      <c r="K639" s="689"/>
      <c r="L639" s="764"/>
    </row>
    <row r="640">
      <c r="A640" s="764"/>
      <c r="B640" s="775"/>
      <c r="C640" s="764"/>
      <c r="D640" s="764"/>
      <c r="E640" s="776"/>
      <c r="F640" s="687"/>
      <c r="G640" s="777"/>
      <c r="H640" s="687"/>
      <c r="I640" s="775"/>
      <c r="J640" s="764"/>
      <c r="K640" s="689"/>
      <c r="L640" s="764"/>
    </row>
    <row r="641">
      <c r="A641" s="764"/>
      <c r="B641" s="775"/>
      <c r="C641" s="764"/>
      <c r="D641" s="764"/>
      <c r="E641" s="776"/>
      <c r="F641" s="687"/>
      <c r="G641" s="777"/>
      <c r="H641" s="687"/>
      <c r="I641" s="775"/>
      <c r="J641" s="764"/>
      <c r="K641" s="689"/>
      <c r="L641" s="764"/>
    </row>
    <row r="642">
      <c r="A642" s="764"/>
      <c r="B642" s="775"/>
      <c r="C642" s="764"/>
      <c r="D642" s="764"/>
      <c r="E642" s="776"/>
      <c r="F642" s="687"/>
      <c r="G642" s="777"/>
      <c r="H642" s="687"/>
      <c r="I642" s="775"/>
      <c r="J642" s="764"/>
      <c r="K642" s="689"/>
      <c r="L642" s="764"/>
    </row>
    <row r="643">
      <c r="A643" s="764"/>
      <c r="B643" s="775"/>
      <c r="C643" s="764"/>
      <c r="D643" s="764"/>
      <c r="E643" s="776"/>
      <c r="F643" s="687"/>
      <c r="G643" s="777"/>
      <c r="H643" s="687"/>
      <c r="I643" s="775"/>
      <c r="J643" s="764"/>
      <c r="K643" s="689"/>
      <c r="L643" s="764"/>
    </row>
    <row r="644">
      <c r="A644" s="764"/>
      <c r="B644" s="775"/>
      <c r="C644" s="764"/>
      <c r="D644" s="764"/>
      <c r="E644" s="776"/>
      <c r="F644" s="687"/>
      <c r="G644" s="777"/>
      <c r="H644" s="687"/>
      <c r="I644" s="775"/>
      <c r="J644" s="764"/>
      <c r="K644" s="689"/>
      <c r="L644" s="764"/>
    </row>
    <row r="645">
      <c r="A645" s="764"/>
      <c r="B645" s="775"/>
      <c r="C645" s="764"/>
      <c r="D645" s="764"/>
      <c r="E645" s="776"/>
      <c r="F645" s="687"/>
      <c r="G645" s="777"/>
      <c r="H645" s="687"/>
      <c r="I645" s="775"/>
      <c r="J645" s="764"/>
      <c r="K645" s="689"/>
      <c r="L645" s="764"/>
    </row>
    <row r="646">
      <c r="A646" s="764"/>
      <c r="B646" s="775"/>
      <c r="C646" s="764"/>
      <c r="D646" s="764"/>
      <c r="E646" s="776"/>
      <c r="F646" s="687"/>
      <c r="G646" s="777"/>
      <c r="H646" s="687"/>
      <c r="I646" s="775"/>
      <c r="J646" s="764"/>
      <c r="K646" s="689"/>
      <c r="L646" s="764"/>
    </row>
    <row r="647">
      <c r="A647" s="764"/>
      <c r="B647" s="775"/>
      <c r="C647" s="764"/>
      <c r="D647" s="764"/>
      <c r="E647" s="776"/>
      <c r="F647" s="687"/>
      <c r="G647" s="777"/>
      <c r="H647" s="687"/>
      <c r="I647" s="775"/>
      <c r="J647" s="764"/>
      <c r="K647" s="689"/>
      <c r="L647" s="764"/>
    </row>
    <row r="648">
      <c r="A648" s="764"/>
      <c r="B648" s="775"/>
      <c r="C648" s="764"/>
      <c r="D648" s="764"/>
      <c r="E648" s="776"/>
      <c r="F648" s="687"/>
      <c r="G648" s="777"/>
      <c r="H648" s="687"/>
      <c r="I648" s="775"/>
      <c r="J648" s="764"/>
      <c r="K648" s="689"/>
      <c r="L648" s="764"/>
    </row>
    <row r="649">
      <c r="A649" s="764"/>
      <c r="B649" s="775"/>
      <c r="C649" s="764"/>
      <c r="D649" s="764"/>
      <c r="E649" s="776"/>
      <c r="F649" s="687"/>
      <c r="G649" s="777"/>
      <c r="H649" s="687"/>
      <c r="I649" s="775"/>
      <c r="J649" s="764"/>
      <c r="K649" s="689"/>
      <c r="L649" s="764"/>
    </row>
    <row r="650">
      <c r="A650" s="764"/>
      <c r="B650" s="775"/>
      <c r="C650" s="764"/>
      <c r="D650" s="764"/>
      <c r="E650" s="776"/>
      <c r="F650" s="687"/>
      <c r="G650" s="777"/>
      <c r="H650" s="687"/>
      <c r="I650" s="775"/>
      <c r="J650" s="764"/>
      <c r="K650" s="689"/>
      <c r="L650" s="764"/>
    </row>
    <row r="651">
      <c r="A651" s="764"/>
      <c r="B651" s="775"/>
      <c r="C651" s="764"/>
      <c r="D651" s="764"/>
      <c r="E651" s="776"/>
      <c r="F651" s="687"/>
      <c r="G651" s="777"/>
      <c r="H651" s="687"/>
      <c r="I651" s="775"/>
      <c r="J651" s="764"/>
      <c r="K651" s="689"/>
      <c r="L651" s="764"/>
    </row>
    <row r="652">
      <c r="A652" s="764"/>
      <c r="B652" s="775"/>
      <c r="C652" s="764"/>
      <c r="D652" s="764"/>
      <c r="E652" s="776"/>
      <c r="F652" s="687"/>
      <c r="G652" s="777"/>
      <c r="H652" s="687"/>
      <c r="I652" s="775"/>
      <c r="J652" s="764"/>
      <c r="K652" s="689"/>
      <c r="L652" s="764"/>
    </row>
    <row r="653">
      <c r="A653" s="764"/>
      <c r="B653" s="775"/>
      <c r="C653" s="764"/>
      <c r="D653" s="764"/>
      <c r="E653" s="776"/>
      <c r="F653" s="687"/>
      <c r="G653" s="777"/>
      <c r="H653" s="687"/>
      <c r="I653" s="775"/>
      <c r="J653" s="764"/>
      <c r="K653" s="689"/>
      <c r="L653" s="764"/>
    </row>
    <row r="654">
      <c r="A654" s="764"/>
      <c r="B654" s="775"/>
      <c r="C654" s="764"/>
      <c r="D654" s="764"/>
      <c r="E654" s="776"/>
      <c r="F654" s="687"/>
      <c r="G654" s="777"/>
      <c r="H654" s="687"/>
      <c r="I654" s="775"/>
      <c r="J654" s="764"/>
      <c r="K654" s="689"/>
      <c r="L654" s="764"/>
    </row>
    <row r="655">
      <c r="A655" s="764"/>
      <c r="B655" s="775"/>
      <c r="C655" s="764"/>
      <c r="D655" s="764"/>
      <c r="E655" s="776"/>
      <c r="F655" s="687"/>
      <c r="G655" s="777"/>
      <c r="H655" s="687"/>
      <c r="I655" s="775"/>
      <c r="J655" s="764"/>
      <c r="K655" s="689"/>
      <c r="L655" s="764"/>
    </row>
    <row r="656">
      <c r="A656" s="764"/>
      <c r="B656" s="775"/>
      <c r="C656" s="764"/>
      <c r="D656" s="764"/>
      <c r="E656" s="776"/>
      <c r="F656" s="687"/>
      <c r="G656" s="777"/>
      <c r="H656" s="687"/>
      <c r="I656" s="775"/>
      <c r="J656" s="764"/>
      <c r="K656" s="689"/>
      <c r="L656" s="764"/>
    </row>
    <row r="657">
      <c r="A657" s="764"/>
      <c r="B657" s="775"/>
      <c r="C657" s="764"/>
      <c r="D657" s="764"/>
      <c r="E657" s="776"/>
      <c r="F657" s="687"/>
      <c r="G657" s="777"/>
      <c r="H657" s="687"/>
      <c r="I657" s="775"/>
      <c r="J657" s="764"/>
      <c r="K657" s="689"/>
      <c r="L657" s="764"/>
    </row>
    <row r="658">
      <c r="A658" s="764"/>
      <c r="B658" s="775"/>
      <c r="C658" s="764"/>
      <c r="D658" s="764"/>
      <c r="E658" s="776"/>
      <c r="F658" s="687"/>
      <c r="G658" s="777"/>
      <c r="H658" s="687"/>
      <c r="I658" s="775"/>
      <c r="J658" s="764"/>
      <c r="K658" s="689"/>
      <c r="L658" s="764"/>
    </row>
    <row r="659">
      <c r="A659" s="764"/>
      <c r="B659" s="775"/>
      <c r="C659" s="764"/>
      <c r="D659" s="764"/>
      <c r="E659" s="776"/>
      <c r="F659" s="687"/>
      <c r="G659" s="777"/>
      <c r="H659" s="687"/>
      <c r="I659" s="775"/>
      <c r="J659" s="764"/>
      <c r="K659" s="689"/>
      <c r="L659" s="764"/>
    </row>
    <row r="660">
      <c r="A660" s="764"/>
      <c r="B660" s="775"/>
      <c r="C660" s="764"/>
      <c r="D660" s="764"/>
      <c r="E660" s="776"/>
      <c r="F660" s="687"/>
      <c r="G660" s="777"/>
      <c r="H660" s="687"/>
      <c r="I660" s="775"/>
      <c r="J660" s="764"/>
      <c r="K660" s="689"/>
      <c r="L660" s="764"/>
    </row>
    <row r="661">
      <c r="A661" s="764"/>
      <c r="B661" s="775"/>
      <c r="C661" s="764"/>
      <c r="D661" s="764"/>
      <c r="E661" s="776"/>
      <c r="F661" s="687"/>
      <c r="G661" s="777"/>
      <c r="H661" s="687"/>
      <c r="I661" s="775"/>
      <c r="J661" s="764"/>
      <c r="K661" s="689"/>
      <c r="L661" s="764"/>
    </row>
    <row r="662">
      <c r="A662" s="764"/>
      <c r="B662" s="775"/>
      <c r="C662" s="764"/>
      <c r="D662" s="764"/>
      <c r="E662" s="776"/>
      <c r="F662" s="687"/>
      <c r="G662" s="777"/>
      <c r="H662" s="687"/>
      <c r="I662" s="775"/>
      <c r="J662" s="764"/>
      <c r="K662" s="689"/>
      <c r="L662" s="764"/>
    </row>
    <row r="663">
      <c r="A663" s="764"/>
      <c r="B663" s="775"/>
      <c r="C663" s="764"/>
      <c r="D663" s="764"/>
      <c r="E663" s="776"/>
      <c r="F663" s="687"/>
      <c r="G663" s="777"/>
      <c r="H663" s="687"/>
      <c r="I663" s="775"/>
      <c r="J663" s="764"/>
      <c r="K663" s="689"/>
      <c r="L663" s="764"/>
    </row>
    <row r="664">
      <c r="A664" s="764"/>
      <c r="B664" s="775"/>
      <c r="C664" s="764"/>
      <c r="D664" s="764"/>
      <c r="E664" s="776"/>
      <c r="F664" s="687"/>
      <c r="G664" s="777"/>
      <c r="H664" s="687"/>
      <c r="I664" s="775"/>
      <c r="J664" s="764"/>
      <c r="K664" s="689"/>
      <c r="L664" s="764"/>
    </row>
    <row r="665">
      <c r="A665" s="764"/>
      <c r="B665" s="775"/>
      <c r="C665" s="764"/>
      <c r="D665" s="764"/>
      <c r="E665" s="776"/>
      <c r="F665" s="687"/>
      <c r="G665" s="777"/>
      <c r="H665" s="687"/>
      <c r="I665" s="775"/>
      <c r="J665" s="764"/>
      <c r="K665" s="689"/>
      <c r="L665" s="764"/>
    </row>
    <row r="666">
      <c r="A666" s="764"/>
      <c r="B666" s="775"/>
      <c r="C666" s="764"/>
      <c r="D666" s="764"/>
      <c r="E666" s="776"/>
      <c r="F666" s="687"/>
      <c r="G666" s="777"/>
      <c r="H666" s="687"/>
      <c r="I666" s="775"/>
      <c r="J666" s="764"/>
      <c r="K666" s="689"/>
      <c r="L666" s="764"/>
    </row>
    <row r="667">
      <c r="A667" s="764"/>
      <c r="B667" s="775"/>
      <c r="C667" s="764"/>
      <c r="D667" s="764"/>
      <c r="E667" s="776"/>
      <c r="F667" s="687"/>
      <c r="G667" s="777"/>
      <c r="H667" s="687"/>
      <c r="I667" s="775"/>
      <c r="J667" s="764"/>
      <c r="K667" s="689"/>
      <c r="L667" s="764"/>
    </row>
    <row r="668">
      <c r="A668" s="764"/>
      <c r="B668" s="775"/>
      <c r="C668" s="764"/>
      <c r="D668" s="764"/>
      <c r="E668" s="776"/>
      <c r="F668" s="687"/>
      <c r="G668" s="777"/>
      <c r="H668" s="687"/>
      <c r="I668" s="775"/>
      <c r="J668" s="764"/>
      <c r="K668" s="689"/>
      <c r="L668" s="764"/>
    </row>
    <row r="669">
      <c r="A669" s="764"/>
      <c r="B669" s="775"/>
      <c r="C669" s="764"/>
      <c r="D669" s="764"/>
      <c r="E669" s="776"/>
      <c r="F669" s="687"/>
      <c r="G669" s="777"/>
      <c r="H669" s="687"/>
      <c r="I669" s="775"/>
      <c r="J669" s="764"/>
      <c r="K669" s="689"/>
      <c r="L669" s="764"/>
    </row>
    <row r="670">
      <c r="A670" s="764"/>
      <c r="B670" s="775"/>
      <c r="C670" s="764"/>
      <c r="D670" s="764"/>
      <c r="E670" s="776"/>
      <c r="F670" s="687"/>
      <c r="G670" s="777"/>
      <c r="H670" s="687"/>
      <c r="I670" s="775"/>
      <c r="J670" s="764"/>
      <c r="K670" s="689"/>
      <c r="L670" s="764"/>
    </row>
    <row r="671">
      <c r="A671" s="764"/>
      <c r="B671" s="775"/>
      <c r="C671" s="764"/>
      <c r="D671" s="764"/>
      <c r="E671" s="776"/>
      <c r="F671" s="687"/>
      <c r="G671" s="777"/>
      <c r="H671" s="687"/>
      <c r="I671" s="775"/>
      <c r="J671" s="764"/>
      <c r="K671" s="689"/>
      <c r="L671" s="764"/>
    </row>
    <row r="672">
      <c r="A672" s="764"/>
      <c r="B672" s="775"/>
      <c r="C672" s="764"/>
      <c r="D672" s="764"/>
      <c r="E672" s="776"/>
      <c r="F672" s="687"/>
      <c r="G672" s="777"/>
      <c r="H672" s="687"/>
      <c r="I672" s="775"/>
      <c r="J672" s="764"/>
      <c r="K672" s="689"/>
      <c r="L672" s="764"/>
    </row>
    <row r="673">
      <c r="A673" s="764"/>
      <c r="B673" s="775"/>
      <c r="C673" s="764"/>
      <c r="D673" s="764"/>
      <c r="E673" s="776"/>
      <c r="F673" s="687"/>
      <c r="G673" s="777"/>
      <c r="H673" s="687"/>
      <c r="I673" s="775"/>
      <c r="J673" s="764"/>
      <c r="K673" s="689"/>
      <c r="L673" s="764"/>
    </row>
    <row r="674">
      <c r="A674" s="764"/>
      <c r="B674" s="775"/>
      <c r="C674" s="764"/>
      <c r="D674" s="764"/>
      <c r="E674" s="776"/>
      <c r="F674" s="687"/>
      <c r="G674" s="777"/>
      <c r="H674" s="687"/>
      <c r="I674" s="775"/>
      <c r="J674" s="764"/>
      <c r="K674" s="689"/>
      <c r="L674" s="764"/>
    </row>
    <row r="675">
      <c r="A675" s="764"/>
      <c r="B675" s="775"/>
      <c r="C675" s="764"/>
      <c r="D675" s="764"/>
      <c r="E675" s="776"/>
      <c r="F675" s="687"/>
      <c r="G675" s="777"/>
      <c r="H675" s="687"/>
      <c r="I675" s="775"/>
      <c r="J675" s="764"/>
      <c r="K675" s="689"/>
      <c r="L675" s="764"/>
    </row>
    <row r="676">
      <c r="A676" s="764"/>
      <c r="B676" s="775"/>
      <c r="C676" s="764"/>
      <c r="D676" s="764"/>
      <c r="E676" s="776"/>
      <c r="F676" s="687"/>
      <c r="G676" s="777"/>
      <c r="H676" s="687"/>
      <c r="I676" s="775"/>
      <c r="J676" s="764"/>
      <c r="K676" s="689"/>
      <c r="L676" s="764"/>
    </row>
    <row r="677">
      <c r="A677" s="764"/>
      <c r="B677" s="775"/>
      <c r="C677" s="764"/>
      <c r="D677" s="764"/>
      <c r="E677" s="776"/>
      <c r="F677" s="687"/>
      <c r="G677" s="777"/>
      <c r="H677" s="687"/>
      <c r="I677" s="775"/>
      <c r="J677" s="764"/>
      <c r="K677" s="689"/>
      <c r="L677" s="764"/>
    </row>
    <row r="678">
      <c r="A678" s="764"/>
      <c r="B678" s="775"/>
      <c r="C678" s="764"/>
      <c r="D678" s="764"/>
      <c r="E678" s="776"/>
      <c r="F678" s="687"/>
      <c r="G678" s="777"/>
      <c r="H678" s="687"/>
      <c r="I678" s="775"/>
      <c r="J678" s="764"/>
      <c r="K678" s="689"/>
      <c r="L678" s="764"/>
    </row>
    <row r="679">
      <c r="A679" s="764"/>
      <c r="B679" s="775"/>
      <c r="C679" s="764"/>
      <c r="D679" s="764"/>
      <c r="E679" s="776"/>
      <c r="F679" s="687"/>
      <c r="G679" s="777"/>
      <c r="H679" s="687"/>
      <c r="I679" s="775"/>
      <c r="J679" s="764"/>
      <c r="K679" s="689"/>
      <c r="L679" s="764"/>
    </row>
    <row r="680">
      <c r="A680" s="764"/>
      <c r="B680" s="775"/>
      <c r="C680" s="764"/>
      <c r="D680" s="764"/>
      <c r="E680" s="776"/>
      <c r="F680" s="687"/>
      <c r="G680" s="777"/>
      <c r="H680" s="687"/>
      <c r="I680" s="775"/>
      <c r="J680" s="764"/>
      <c r="K680" s="689"/>
      <c r="L680" s="764"/>
    </row>
    <row r="681">
      <c r="A681" s="764"/>
      <c r="B681" s="775"/>
      <c r="C681" s="764"/>
      <c r="D681" s="764"/>
      <c r="E681" s="776"/>
      <c r="F681" s="687"/>
      <c r="G681" s="777"/>
      <c r="H681" s="687"/>
      <c r="I681" s="775"/>
      <c r="J681" s="764"/>
      <c r="K681" s="689"/>
      <c r="L681" s="764"/>
    </row>
    <row r="682">
      <c r="A682" s="764"/>
      <c r="B682" s="775"/>
      <c r="C682" s="764"/>
      <c r="D682" s="764"/>
      <c r="E682" s="776"/>
      <c r="F682" s="687"/>
      <c r="G682" s="777"/>
      <c r="H682" s="687"/>
      <c r="I682" s="775"/>
      <c r="J682" s="764"/>
      <c r="K682" s="689"/>
      <c r="L682" s="764"/>
    </row>
    <row r="683">
      <c r="A683" s="764"/>
      <c r="B683" s="775"/>
      <c r="C683" s="764"/>
      <c r="D683" s="764"/>
      <c r="E683" s="776"/>
      <c r="F683" s="687"/>
      <c r="G683" s="777"/>
      <c r="H683" s="687"/>
      <c r="I683" s="775"/>
      <c r="J683" s="764"/>
      <c r="K683" s="689"/>
      <c r="L683" s="764"/>
    </row>
    <row r="684">
      <c r="A684" s="764"/>
      <c r="B684" s="775"/>
      <c r="C684" s="764"/>
      <c r="D684" s="764"/>
      <c r="E684" s="776"/>
      <c r="F684" s="687"/>
      <c r="G684" s="777"/>
      <c r="H684" s="687"/>
      <c r="I684" s="775"/>
      <c r="J684" s="764"/>
      <c r="K684" s="689"/>
      <c r="L684" s="764"/>
    </row>
    <row r="685">
      <c r="A685" s="764"/>
      <c r="B685" s="775"/>
      <c r="C685" s="764"/>
      <c r="D685" s="764"/>
      <c r="E685" s="776"/>
      <c r="F685" s="687"/>
      <c r="G685" s="777"/>
      <c r="H685" s="687"/>
      <c r="I685" s="775"/>
      <c r="J685" s="764"/>
      <c r="K685" s="689"/>
      <c r="L685" s="764"/>
    </row>
    <row r="686">
      <c r="A686" s="764"/>
      <c r="B686" s="775"/>
      <c r="C686" s="764"/>
      <c r="D686" s="764"/>
      <c r="E686" s="776"/>
      <c r="F686" s="687"/>
      <c r="G686" s="777"/>
      <c r="H686" s="687"/>
      <c r="I686" s="775"/>
      <c r="J686" s="764"/>
      <c r="K686" s="689"/>
      <c r="L686" s="764"/>
    </row>
    <row r="687">
      <c r="A687" s="764"/>
      <c r="B687" s="775"/>
      <c r="C687" s="764"/>
      <c r="D687" s="764"/>
      <c r="E687" s="776"/>
      <c r="F687" s="687"/>
      <c r="G687" s="777"/>
      <c r="H687" s="687"/>
      <c r="I687" s="775"/>
      <c r="J687" s="764"/>
      <c r="K687" s="689"/>
      <c r="L687" s="764"/>
    </row>
    <row r="688">
      <c r="A688" s="764"/>
      <c r="B688" s="775"/>
      <c r="C688" s="764"/>
      <c r="D688" s="764"/>
      <c r="E688" s="776"/>
      <c r="F688" s="687"/>
      <c r="G688" s="777"/>
      <c r="H688" s="687"/>
      <c r="I688" s="775"/>
      <c r="J688" s="764"/>
      <c r="K688" s="689"/>
      <c r="L688" s="764"/>
    </row>
    <row r="689">
      <c r="A689" s="764"/>
      <c r="B689" s="775"/>
      <c r="C689" s="764"/>
      <c r="D689" s="764"/>
      <c r="E689" s="776"/>
      <c r="F689" s="687"/>
      <c r="G689" s="777"/>
      <c r="H689" s="687"/>
      <c r="I689" s="775"/>
      <c r="J689" s="764"/>
      <c r="K689" s="689"/>
      <c r="L689" s="764"/>
    </row>
    <row r="690">
      <c r="A690" s="764"/>
      <c r="B690" s="775"/>
      <c r="C690" s="764"/>
      <c r="D690" s="764"/>
      <c r="E690" s="776"/>
      <c r="F690" s="687"/>
      <c r="G690" s="777"/>
      <c r="H690" s="687"/>
      <c r="I690" s="775"/>
      <c r="J690" s="764"/>
      <c r="K690" s="689"/>
      <c r="L690" s="764"/>
    </row>
    <row r="691">
      <c r="A691" s="764"/>
      <c r="B691" s="775"/>
      <c r="C691" s="764"/>
      <c r="D691" s="764"/>
      <c r="E691" s="776"/>
      <c r="F691" s="687"/>
      <c r="G691" s="777"/>
      <c r="H691" s="687"/>
      <c r="I691" s="775"/>
      <c r="J691" s="764"/>
      <c r="K691" s="689"/>
      <c r="L691" s="764"/>
    </row>
    <row r="692">
      <c r="A692" s="764"/>
      <c r="B692" s="775"/>
      <c r="C692" s="764"/>
      <c r="D692" s="764"/>
      <c r="E692" s="776"/>
      <c r="F692" s="687"/>
      <c r="G692" s="777"/>
      <c r="H692" s="687"/>
      <c r="I692" s="775"/>
      <c r="J692" s="764"/>
      <c r="K692" s="689"/>
      <c r="L692" s="764"/>
    </row>
    <row r="693">
      <c r="A693" s="764"/>
      <c r="B693" s="775"/>
      <c r="C693" s="764"/>
      <c r="D693" s="764"/>
      <c r="E693" s="776"/>
      <c r="F693" s="687"/>
      <c r="G693" s="777"/>
      <c r="H693" s="687"/>
      <c r="I693" s="775"/>
      <c r="J693" s="764"/>
      <c r="K693" s="689"/>
      <c r="L693" s="764"/>
    </row>
    <row r="694">
      <c r="A694" s="764"/>
      <c r="B694" s="775"/>
      <c r="C694" s="764"/>
      <c r="D694" s="764"/>
      <c r="E694" s="776"/>
      <c r="F694" s="687"/>
      <c r="G694" s="777"/>
      <c r="H694" s="687"/>
      <c r="I694" s="775"/>
      <c r="J694" s="764"/>
      <c r="K694" s="689"/>
      <c r="L694" s="764"/>
    </row>
    <row r="695">
      <c r="A695" s="764"/>
      <c r="B695" s="775"/>
      <c r="C695" s="764"/>
      <c r="D695" s="764"/>
      <c r="E695" s="776"/>
      <c r="F695" s="687"/>
      <c r="G695" s="777"/>
      <c r="H695" s="687"/>
      <c r="I695" s="775"/>
      <c r="J695" s="764"/>
      <c r="K695" s="689"/>
      <c r="L695" s="764"/>
    </row>
    <row r="696">
      <c r="A696" s="764"/>
      <c r="B696" s="775"/>
      <c r="C696" s="764"/>
      <c r="D696" s="764"/>
      <c r="E696" s="776"/>
      <c r="F696" s="687"/>
      <c r="G696" s="777"/>
      <c r="H696" s="687"/>
      <c r="I696" s="775"/>
      <c r="J696" s="764"/>
      <c r="K696" s="689"/>
      <c r="L696" s="764"/>
    </row>
    <row r="697">
      <c r="A697" s="764"/>
      <c r="B697" s="775"/>
      <c r="C697" s="764"/>
      <c r="D697" s="764"/>
      <c r="E697" s="776"/>
      <c r="F697" s="687"/>
      <c r="G697" s="777"/>
      <c r="H697" s="687"/>
      <c r="I697" s="775"/>
      <c r="J697" s="764"/>
      <c r="K697" s="689"/>
      <c r="L697" s="764"/>
    </row>
    <row r="698">
      <c r="A698" s="764"/>
      <c r="B698" s="775"/>
      <c r="C698" s="764"/>
      <c r="D698" s="764"/>
      <c r="E698" s="776"/>
      <c r="F698" s="687"/>
      <c r="G698" s="777"/>
      <c r="H698" s="687"/>
      <c r="I698" s="775"/>
      <c r="J698" s="764"/>
      <c r="K698" s="689"/>
      <c r="L698" s="764"/>
    </row>
    <row r="699">
      <c r="A699" s="764"/>
      <c r="B699" s="775"/>
      <c r="C699" s="764"/>
      <c r="D699" s="764"/>
      <c r="E699" s="776"/>
      <c r="F699" s="687"/>
      <c r="G699" s="777"/>
      <c r="H699" s="687"/>
      <c r="I699" s="775"/>
      <c r="J699" s="764"/>
      <c r="K699" s="689"/>
      <c r="L699" s="764"/>
    </row>
    <row r="700">
      <c r="A700" s="764"/>
      <c r="B700" s="775"/>
      <c r="C700" s="764"/>
      <c r="D700" s="764"/>
      <c r="E700" s="776"/>
      <c r="F700" s="687"/>
      <c r="G700" s="777"/>
      <c r="H700" s="687"/>
      <c r="I700" s="775"/>
      <c r="J700" s="764"/>
      <c r="K700" s="689"/>
      <c r="L700" s="764"/>
    </row>
    <row r="701">
      <c r="A701" s="764"/>
      <c r="B701" s="775"/>
      <c r="C701" s="764"/>
      <c r="D701" s="764"/>
      <c r="E701" s="776"/>
      <c r="F701" s="687"/>
      <c r="G701" s="777"/>
      <c r="H701" s="687"/>
      <c r="I701" s="775"/>
      <c r="J701" s="764"/>
      <c r="K701" s="689"/>
      <c r="L701" s="764"/>
    </row>
    <row r="702">
      <c r="A702" s="764"/>
      <c r="B702" s="775"/>
      <c r="C702" s="764"/>
      <c r="D702" s="764"/>
      <c r="E702" s="776"/>
      <c r="F702" s="687"/>
      <c r="G702" s="777"/>
      <c r="H702" s="687"/>
      <c r="I702" s="775"/>
      <c r="J702" s="764"/>
      <c r="K702" s="689"/>
      <c r="L702" s="764"/>
    </row>
    <row r="703">
      <c r="A703" s="764"/>
      <c r="B703" s="775"/>
      <c r="C703" s="764"/>
      <c r="D703" s="764"/>
      <c r="E703" s="776"/>
      <c r="F703" s="687"/>
      <c r="G703" s="777"/>
      <c r="H703" s="687"/>
      <c r="I703" s="775"/>
      <c r="J703" s="764"/>
      <c r="K703" s="689"/>
      <c r="L703" s="764"/>
    </row>
    <row r="704">
      <c r="A704" s="764"/>
      <c r="B704" s="775"/>
      <c r="C704" s="764"/>
      <c r="D704" s="764"/>
      <c r="E704" s="776"/>
      <c r="F704" s="687"/>
      <c r="G704" s="777"/>
      <c r="H704" s="687"/>
      <c r="I704" s="775"/>
      <c r="J704" s="764"/>
      <c r="K704" s="689"/>
      <c r="L704" s="764"/>
    </row>
    <row r="705">
      <c r="A705" s="764"/>
      <c r="B705" s="775"/>
      <c r="C705" s="764"/>
      <c r="D705" s="764"/>
      <c r="E705" s="776"/>
      <c r="F705" s="687"/>
      <c r="G705" s="777"/>
      <c r="H705" s="687"/>
      <c r="I705" s="775"/>
      <c r="J705" s="764"/>
      <c r="K705" s="689"/>
      <c r="L705" s="764"/>
    </row>
    <row r="706">
      <c r="A706" s="764"/>
      <c r="B706" s="775"/>
      <c r="C706" s="764"/>
      <c r="D706" s="764"/>
      <c r="E706" s="776"/>
      <c r="F706" s="687"/>
      <c r="G706" s="777"/>
      <c r="H706" s="687"/>
      <c r="I706" s="775"/>
      <c r="J706" s="764"/>
      <c r="K706" s="689"/>
      <c r="L706" s="764"/>
    </row>
    <row r="707">
      <c r="A707" s="764"/>
      <c r="B707" s="775"/>
      <c r="C707" s="764"/>
      <c r="D707" s="764"/>
      <c r="E707" s="776"/>
      <c r="F707" s="687"/>
      <c r="G707" s="777"/>
      <c r="H707" s="687"/>
      <c r="I707" s="775"/>
      <c r="J707" s="764"/>
      <c r="K707" s="689"/>
      <c r="L707" s="764"/>
    </row>
    <row r="708">
      <c r="A708" s="764"/>
      <c r="B708" s="775"/>
      <c r="C708" s="764"/>
      <c r="D708" s="764"/>
      <c r="E708" s="776"/>
      <c r="F708" s="687"/>
      <c r="G708" s="777"/>
      <c r="H708" s="687"/>
      <c r="I708" s="775"/>
      <c r="J708" s="764"/>
      <c r="K708" s="689"/>
      <c r="L708" s="764"/>
    </row>
    <row r="709">
      <c r="A709" s="764"/>
      <c r="B709" s="775"/>
      <c r="C709" s="764"/>
      <c r="D709" s="764"/>
      <c r="E709" s="776"/>
      <c r="F709" s="687"/>
      <c r="G709" s="777"/>
      <c r="H709" s="687"/>
      <c r="I709" s="775"/>
      <c r="J709" s="764"/>
      <c r="K709" s="689"/>
      <c r="L709" s="764"/>
    </row>
    <row r="710">
      <c r="A710" s="764"/>
      <c r="B710" s="775"/>
      <c r="C710" s="764"/>
      <c r="D710" s="764"/>
      <c r="E710" s="776"/>
      <c r="F710" s="687"/>
      <c r="G710" s="777"/>
      <c r="H710" s="687"/>
      <c r="I710" s="775"/>
      <c r="J710" s="764"/>
      <c r="K710" s="689"/>
      <c r="L710" s="764"/>
    </row>
    <row r="711">
      <c r="A711" s="764"/>
      <c r="B711" s="775"/>
      <c r="C711" s="764"/>
      <c r="D711" s="764"/>
      <c r="E711" s="776"/>
      <c r="F711" s="687"/>
      <c r="G711" s="777"/>
      <c r="H711" s="687"/>
      <c r="I711" s="775"/>
      <c r="J711" s="764"/>
      <c r="K711" s="689"/>
      <c r="L711" s="764"/>
    </row>
    <row r="712">
      <c r="A712" s="764"/>
      <c r="B712" s="775"/>
      <c r="C712" s="764"/>
      <c r="D712" s="764"/>
      <c r="E712" s="776"/>
      <c r="F712" s="687"/>
      <c r="G712" s="777"/>
      <c r="H712" s="687"/>
      <c r="I712" s="775"/>
      <c r="J712" s="764"/>
      <c r="K712" s="689"/>
      <c r="L712" s="764"/>
    </row>
    <row r="713">
      <c r="A713" s="764"/>
      <c r="B713" s="775"/>
      <c r="C713" s="764"/>
      <c r="D713" s="764"/>
      <c r="E713" s="776"/>
      <c r="F713" s="687"/>
      <c r="G713" s="777"/>
      <c r="H713" s="687"/>
      <c r="I713" s="775"/>
      <c r="J713" s="764"/>
      <c r="K713" s="689"/>
      <c r="L713" s="764"/>
    </row>
    <row r="714">
      <c r="A714" s="764"/>
      <c r="B714" s="775"/>
      <c r="C714" s="764"/>
      <c r="D714" s="764"/>
      <c r="E714" s="776"/>
      <c r="F714" s="687"/>
      <c r="G714" s="777"/>
      <c r="H714" s="687"/>
      <c r="I714" s="775"/>
      <c r="J714" s="764"/>
      <c r="K714" s="689"/>
      <c r="L714" s="764"/>
    </row>
    <row r="715">
      <c r="A715" s="764"/>
      <c r="B715" s="775"/>
      <c r="C715" s="764"/>
      <c r="D715" s="764"/>
      <c r="E715" s="776"/>
      <c r="F715" s="687"/>
      <c r="G715" s="777"/>
      <c r="H715" s="687"/>
      <c r="I715" s="775"/>
      <c r="J715" s="764"/>
      <c r="K715" s="689"/>
      <c r="L715" s="764"/>
    </row>
    <row r="716">
      <c r="A716" s="764"/>
      <c r="B716" s="775"/>
      <c r="C716" s="764"/>
      <c r="D716" s="764"/>
      <c r="E716" s="776"/>
      <c r="F716" s="687"/>
      <c r="G716" s="777"/>
      <c r="H716" s="687"/>
      <c r="I716" s="775"/>
      <c r="J716" s="764"/>
      <c r="K716" s="689"/>
      <c r="L716" s="764"/>
    </row>
    <row r="717">
      <c r="A717" s="764"/>
      <c r="B717" s="775"/>
      <c r="C717" s="764"/>
      <c r="D717" s="764"/>
      <c r="E717" s="776"/>
      <c r="F717" s="687"/>
      <c r="G717" s="777"/>
      <c r="H717" s="687"/>
      <c r="I717" s="775"/>
      <c r="J717" s="764"/>
      <c r="K717" s="689"/>
      <c r="L717" s="764"/>
    </row>
    <row r="718">
      <c r="A718" s="764"/>
      <c r="B718" s="775"/>
      <c r="C718" s="764"/>
      <c r="D718" s="764"/>
      <c r="E718" s="776"/>
      <c r="F718" s="687"/>
      <c r="G718" s="777"/>
      <c r="H718" s="687"/>
      <c r="I718" s="775"/>
      <c r="J718" s="764"/>
      <c r="K718" s="689"/>
      <c r="L718" s="764"/>
    </row>
    <row r="719">
      <c r="A719" s="764"/>
      <c r="B719" s="775"/>
      <c r="C719" s="764"/>
      <c r="D719" s="764"/>
      <c r="E719" s="776"/>
      <c r="F719" s="687"/>
      <c r="G719" s="777"/>
      <c r="H719" s="687"/>
      <c r="I719" s="775"/>
      <c r="J719" s="764"/>
      <c r="K719" s="689"/>
      <c r="L719" s="764"/>
    </row>
    <row r="720">
      <c r="A720" s="764"/>
      <c r="B720" s="775"/>
      <c r="C720" s="764"/>
      <c r="D720" s="764"/>
      <c r="E720" s="776"/>
      <c r="F720" s="687"/>
      <c r="G720" s="777"/>
      <c r="H720" s="687"/>
      <c r="I720" s="775"/>
      <c r="J720" s="764"/>
      <c r="K720" s="689"/>
      <c r="L720" s="764"/>
    </row>
    <row r="721">
      <c r="A721" s="764"/>
      <c r="B721" s="775"/>
      <c r="C721" s="764"/>
      <c r="D721" s="764"/>
      <c r="E721" s="776"/>
      <c r="F721" s="687"/>
      <c r="G721" s="777"/>
      <c r="H721" s="687"/>
      <c r="I721" s="775"/>
      <c r="J721" s="764"/>
      <c r="K721" s="689"/>
      <c r="L721" s="764"/>
    </row>
    <row r="722">
      <c r="A722" s="764"/>
      <c r="B722" s="775"/>
      <c r="C722" s="764"/>
      <c r="D722" s="764"/>
      <c r="E722" s="776"/>
      <c r="F722" s="687"/>
      <c r="G722" s="777"/>
      <c r="H722" s="687"/>
      <c r="I722" s="775"/>
      <c r="J722" s="764"/>
      <c r="K722" s="689"/>
      <c r="L722" s="764"/>
    </row>
    <row r="723">
      <c r="A723" s="764"/>
      <c r="B723" s="775"/>
      <c r="C723" s="764"/>
      <c r="D723" s="764"/>
      <c r="E723" s="776"/>
      <c r="F723" s="687"/>
      <c r="G723" s="777"/>
      <c r="H723" s="687"/>
      <c r="I723" s="775"/>
      <c r="J723" s="764"/>
      <c r="K723" s="689"/>
      <c r="L723" s="764"/>
    </row>
    <row r="724">
      <c r="A724" s="764"/>
      <c r="B724" s="775"/>
      <c r="C724" s="764"/>
      <c r="D724" s="764"/>
      <c r="E724" s="776"/>
      <c r="F724" s="687"/>
      <c r="G724" s="777"/>
      <c r="H724" s="687"/>
      <c r="I724" s="775"/>
      <c r="J724" s="764"/>
      <c r="K724" s="689"/>
      <c r="L724" s="764"/>
    </row>
    <row r="725">
      <c r="A725" s="764"/>
      <c r="B725" s="775"/>
      <c r="C725" s="764"/>
      <c r="D725" s="764"/>
      <c r="E725" s="776"/>
      <c r="F725" s="687"/>
      <c r="G725" s="777"/>
      <c r="H725" s="687"/>
      <c r="I725" s="775"/>
      <c r="J725" s="764"/>
      <c r="K725" s="689"/>
      <c r="L725" s="764"/>
    </row>
    <row r="726">
      <c r="A726" s="764"/>
      <c r="B726" s="775"/>
      <c r="C726" s="764"/>
      <c r="D726" s="764"/>
      <c r="E726" s="776"/>
      <c r="F726" s="687"/>
      <c r="G726" s="777"/>
      <c r="H726" s="687"/>
      <c r="I726" s="775"/>
      <c r="J726" s="764"/>
      <c r="K726" s="689"/>
      <c r="L726" s="764"/>
    </row>
    <row r="727">
      <c r="A727" s="764"/>
      <c r="B727" s="775"/>
      <c r="C727" s="764"/>
      <c r="D727" s="764"/>
      <c r="E727" s="776"/>
      <c r="F727" s="687"/>
      <c r="G727" s="777"/>
      <c r="H727" s="687"/>
      <c r="I727" s="775"/>
      <c r="J727" s="764"/>
      <c r="K727" s="689"/>
      <c r="L727" s="764"/>
    </row>
    <row r="728">
      <c r="A728" s="764"/>
      <c r="B728" s="775"/>
      <c r="C728" s="764"/>
      <c r="D728" s="764"/>
      <c r="E728" s="776"/>
      <c r="F728" s="687"/>
      <c r="G728" s="777"/>
      <c r="H728" s="687"/>
      <c r="I728" s="775"/>
      <c r="J728" s="764"/>
      <c r="K728" s="689"/>
      <c r="L728" s="764"/>
    </row>
    <row r="729">
      <c r="A729" s="764"/>
      <c r="B729" s="775"/>
      <c r="C729" s="764"/>
      <c r="D729" s="764"/>
      <c r="E729" s="776"/>
      <c r="F729" s="687"/>
      <c r="G729" s="777"/>
      <c r="H729" s="687"/>
      <c r="I729" s="775"/>
      <c r="J729" s="764"/>
      <c r="K729" s="689"/>
      <c r="L729" s="764"/>
    </row>
    <row r="730">
      <c r="A730" s="764"/>
      <c r="B730" s="775"/>
      <c r="C730" s="764"/>
      <c r="D730" s="764"/>
      <c r="E730" s="776"/>
      <c r="F730" s="687"/>
      <c r="G730" s="777"/>
      <c r="H730" s="687"/>
      <c r="I730" s="775"/>
      <c r="J730" s="764"/>
      <c r="K730" s="689"/>
      <c r="L730" s="764"/>
    </row>
    <row r="731">
      <c r="A731" s="764"/>
      <c r="B731" s="775"/>
      <c r="C731" s="764"/>
      <c r="D731" s="764"/>
      <c r="E731" s="776"/>
      <c r="F731" s="687"/>
      <c r="G731" s="777"/>
      <c r="H731" s="687"/>
      <c r="I731" s="775"/>
      <c r="J731" s="764"/>
      <c r="K731" s="689"/>
      <c r="L731" s="764"/>
    </row>
    <row r="732">
      <c r="A732" s="764"/>
      <c r="B732" s="775"/>
      <c r="C732" s="764"/>
      <c r="D732" s="764"/>
      <c r="E732" s="776"/>
      <c r="F732" s="687"/>
      <c r="G732" s="777"/>
      <c r="H732" s="687"/>
      <c r="I732" s="775"/>
      <c r="J732" s="764"/>
      <c r="K732" s="689"/>
      <c r="L732" s="764"/>
    </row>
    <row r="733">
      <c r="A733" s="764"/>
      <c r="B733" s="775"/>
      <c r="C733" s="764"/>
      <c r="D733" s="764"/>
      <c r="E733" s="776"/>
      <c r="F733" s="687"/>
      <c r="G733" s="777"/>
      <c r="H733" s="687"/>
      <c r="I733" s="775"/>
      <c r="J733" s="764"/>
      <c r="K733" s="689"/>
      <c r="L733" s="764"/>
    </row>
    <row r="734">
      <c r="A734" s="764"/>
      <c r="B734" s="775"/>
      <c r="C734" s="764"/>
      <c r="D734" s="764"/>
      <c r="E734" s="776"/>
      <c r="F734" s="687"/>
      <c r="G734" s="777"/>
      <c r="H734" s="687"/>
      <c r="I734" s="775"/>
      <c r="J734" s="764"/>
      <c r="K734" s="689"/>
      <c r="L734" s="764"/>
    </row>
    <row r="735">
      <c r="A735" s="764"/>
      <c r="B735" s="775"/>
      <c r="C735" s="764"/>
      <c r="D735" s="764"/>
      <c r="E735" s="776"/>
      <c r="F735" s="687"/>
      <c r="G735" s="777"/>
      <c r="H735" s="687"/>
      <c r="I735" s="775"/>
      <c r="J735" s="764"/>
      <c r="K735" s="689"/>
      <c r="L735" s="764"/>
    </row>
    <row r="736">
      <c r="A736" s="764"/>
      <c r="B736" s="775"/>
      <c r="C736" s="764"/>
      <c r="D736" s="764"/>
      <c r="E736" s="776"/>
      <c r="F736" s="687"/>
      <c r="G736" s="777"/>
      <c r="H736" s="687"/>
      <c r="I736" s="775"/>
      <c r="J736" s="764"/>
      <c r="K736" s="689"/>
      <c r="L736" s="764"/>
    </row>
    <row r="737">
      <c r="A737" s="764"/>
      <c r="B737" s="775"/>
      <c r="C737" s="764"/>
      <c r="D737" s="764"/>
      <c r="E737" s="776"/>
      <c r="F737" s="687"/>
      <c r="G737" s="777"/>
      <c r="H737" s="687"/>
      <c r="I737" s="775"/>
      <c r="J737" s="764"/>
      <c r="K737" s="689"/>
      <c r="L737" s="764"/>
    </row>
    <row r="738">
      <c r="A738" s="764"/>
      <c r="B738" s="775"/>
      <c r="C738" s="764"/>
      <c r="D738" s="764"/>
      <c r="E738" s="776"/>
      <c r="F738" s="687"/>
      <c r="G738" s="777"/>
      <c r="H738" s="687"/>
      <c r="I738" s="775"/>
      <c r="J738" s="764"/>
      <c r="K738" s="689"/>
      <c r="L738" s="764"/>
    </row>
    <row r="739">
      <c r="A739" s="764"/>
      <c r="B739" s="775"/>
      <c r="C739" s="764"/>
      <c r="D739" s="764"/>
      <c r="E739" s="776"/>
      <c r="F739" s="687"/>
      <c r="G739" s="777"/>
      <c r="H739" s="687"/>
      <c r="I739" s="775"/>
      <c r="J739" s="764"/>
      <c r="K739" s="689"/>
      <c r="L739" s="764"/>
    </row>
    <row r="740">
      <c r="A740" s="764"/>
      <c r="B740" s="775"/>
      <c r="C740" s="764"/>
      <c r="D740" s="764"/>
      <c r="E740" s="776"/>
      <c r="F740" s="687"/>
      <c r="G740" s="777"/>
      <c r="H740" s="687"/>
      <c r="I740" s="775"/>
      <c r="J740" s="764"/>
      <c r="K740" s="689"/>
      <c r="L740" s="764"/>
    </row>
    <row r="741">
      <c r="A741" s="764"/>
      <c r="B741" s="775"/>
      <c r="C741" s="764"/>
      <c r="D741" s="764"/>
      <c r="E741" s="776"/>
      <c r="F741" s="687"/>
      <c r="G741" s="777"/>
      <c r="H741" s="687"/>
      <c r="I741" s="775"/>
      <c r="J741" s="764"/>
      <c r="K741" s="689"/>
      <c r="L741" s="764"/>
    </row>
    <row r="742">
      <c r="A742" s="764"/>
      <c r="B742" s="775"/>
      <c r="C742" s="764"/>
      <c r="D742" s="764"/>
      <c r="E742" s="776"/>
      <c r="F742" s="687"/>
      <c r="G742" s="777"/>
      <c r="H742" s="687"/>
      <c r="I742" s="775"/>
      <c r="J742" s="764"/>
      <c r="K742" s="689"/>
      <c r="L742" s="764"/>
    </row>
    <row r="743">
      <c r="A743" s="764"/>
      <c r="B743" s="775"/>
      <c r="C743" s="764"/>
      <c r="D743" s="764"/>
      <c r="E743" s="776"/>
      <c r="F743" s="687"/>
      <c r="G743" s="777"/>
      <c r="H743" s="687"/>
      <c r="I743" s="775"/>
      <c r="J743" s="764"/>
      <c r="K743" s="689"/>
      <c r="L743" s="764"/>
    </row>
    <row r="744">
      <c r="A744" s="764"/>
      <c r="B744" s="775"/>
      <c r="C744" s="764"/>
      <c r="D744" s="764"/>
      <c r="E744" s="776"/>
      <c r="F744" s="687"/>
      <c r="G744" s="777"/>
      <c r="H744" s="687"/>
      <c r="I744" s="775"/>
      <c r="J744" s="764"/>
      <c r="K744" s="689"/>
      <c r="L744" s="764"/>
    </row>
    <row r="745">
      <c r="A745" s="764"/>
      <c r="B745" s="775"/>
      <c r="C745" s="764"/>
      <c r="D745" s="764"/>
      <c r="E745" s="776"/>
      <c r="F745" s="687"/>
      <c r="G745" s="777"/>
      <c r="H745" s="687"/>
      <c r="I745" s="775"/>
      <c r="J745" s="764"/>
      <c r="K745" s="689"/>
      <c r="L745" s="764"/>
    </row>
    <row r="746">
      <c r="A746" s="764"/>
      <c r="B746" s="775"/>
      <c r="C746" s="764"/>
      <c r="D746" s="764"/>
      <c r="E746" s="776"/>
      <c r="F746" s="687"/>
      <c r="G746" s="777"/>
      <c r="H746" s="687"/>
      <c r="I746" s="775"/>
      <c r="J746" s="764"/>
      <c r="K746" s="689"/>
      <c r="L746" s="764"/>
    </row>
    <row r="747">
      <c r="A747" s="764"/>
      <c r="B747" s="775"/>
      <c r="C747" s="764"/>
      <c r="D747" s="764"/>
      <c r="E747" s="776"/>
      <c r="F747" s="687"/>
      <c r="G747" s="777"/>
      <c r="H747" s="687"/>
      <c r="I747" s="775"/>
      <c r="J747" s="764"/>
      <c r="K747" s="689"/>
      <c r="L747" s="764"/>
    </row>
    <row r="748">
      <c r="A748" s="764"/>
      <c r="B748" s="775"/>
      <c r="C748" s="764"/>
      <c r="D748" s="764"/>
      <c r="E748" s="776"/>
      <c r="F748" s="687"/>
      <c r="G748" s="777"/>
      <c r="H748" s="687"/>
      <c r="I748" s="775"/>
      <c r="J748" s="764"/>
      <c r="K748" s="689"/>
      <c r="L748" s="764"/>
    </row>
    <row r="749">
      <c r="A749" s="764"/>
      <c r="B749" s="775"/>
      <c r="C749" s="764"/>
      <c r="D749" s="764"/>
      <c r="E749" s="776"/>
      <c r="F749" s="687"/>
      <c r="G749" s="777"/>
      <c r="H749" s="687"/>
      <c r="I749" s="775"/>
      <c r="J749" s="764"/>
      <c r="K749" s="689"/>
      <c r="L749" s="764"/>
    </row>
    <row r="750">
      <c r="A750" s="764"/>
      <c r="B750" s="775"/>
      <c r="C750" s="764"/>
      <c r="D750" s="764"/>
      <c r="E750" s="776"/>
      <c r="F750" s="687"/>
      <c r="G750" s="777"/>
      <c r="H750" s="687"/>
      <c r="I750" s="775"/>
      <c r="J750" s="764"/>
      <c r="K750" s="689"/>
      <c r="L750" s="764"/>
    </row>
    <row r="751">
      <c r="A751" s="764"/>
      <c r="B751" s="775"/>
      <c r="C751" s="764"/>
      <c r="D751" s="764"/>
      <c r="E751" s="776"/>
      <c r="F751" s="687"/>
      <c r="G751" s="777"/>
      <c r="H751" s="687"/>
      <c r="I751" s="775"/>
      <c r="J751" s="764"/>
      <c r="K751" s="689"/>
      <c r="L751" s="764"/>
    </row>
    <row r="752">
      <c r="A752" s="764"/>
      <c r="B752" s="775"/>
      <c r="C752" s="764"/>
      <c r="D752" s="764"/>
      <c r="E752" s="776"/>
      <c r="F752" s="687"/>
      <c r="G752" s="777"/>
      <c r="H752" s="687"/>
      <c r="I752" s="775"/>
      <c r="J752" s="764"/>
      <c r="K752" s="689"/>
      <c r="L752" s="764"/>
    </row>
    <row r="753">
      <c r="A753" s="764"/>
      <c r="B753" s="775"/>
      <c r="C753" s="764"/>
      <c r="D753" s="764"/>
      <c r="E753" s="776"/>
      <c r="F753" s="687"/>
      <c r="G753" s="777"/>
      <c r="H753" s="687"/>
      <c r="I753" s="775"/>
      <c r="J753" s="764"/>
      <c r="K753" s="689"/>
      <c r="L753" s="764"/>
    </row>
    <row r="754">
      <c r="A754" s="764"/>
      <c r="B754" s="775"/>
      <c r="C754" s="764"/>
      <c r="D754" s="764"/>
      <c r="E754" s="776"/>
      <c r="F754" s="687"/>
      <c r="G754" s="777"/>
      <c r="H754" s="687"/>
      <c r="I754" s="775"/>
      <c r="J754" s="764"/>
      <c r="K754" s="689"/>
      <c r="L754" s="764"/>
    </row>
    <row r="755">
      <c r="A755" s="764"/>
      <c r="B755" s="775"/>
      <c r="C755" s="764"/>
      <c r="D755" s="764"/>
      <c r="E755" s="776"/>
      <c r="F755" s="687"/>
      <c r="G755" s="777"/>
      <c r="H755" s="687"/>
      <c r="I755" s="775"/>
      <c r="J755" s="764"/>
      <c r="K755" s="689"/>
      <c r="L755" s="764"/>
    </row>
    <row r="756">
      <c r="A756" s="764"/>
      <c r="B756" s="775"/>
      <c r="C756" s="764"/>
      <c r="D756" s="764"/>
      <c r="E756" s="776"/>
      <c r="F756" s="687"/>
      <c r="G756" s="777"/>
      <c r="H756" s="687"/>
      <c r="I756" s="775"/>
      <c r="J756" s="764"/>
      <c r="K756" s="689"/>
      <c r="L756" s="764"/>
    </row>
    <row r="757">
      <c r="A757" s="764"/>
      <c r="B757" s="775"/>
      <c r="C757" s="764"/>
      <c r="D757" s="764"/>
      <c r="E757" s="776"/>
      <c r="F757" s="687"/>
      <c r="G757" s="777"/>
      <c r="H757" s="687"/>
      <c r="I757" s="775"/>
      <c r="J757" s="764"/>
      <c r="K757" s="689"/>
      <c r="L757" s="764"/>
    </row>
    <row r="758">
      <c r="A758" s="764"/>
      <c r="B758" s="775"/>
      <c r="C758" s="764"/>
      <c r="D758" s="764"/>
      <c r="E758" s="776"/>
      <c r="F758" s="687"/>
      <c r="G758" s="777"/>
      <c r="H758" s="687"/>
      <c r="I758" s="775"/>
      <c r="J758" s="764"/>
      <c r="K758" s="689"/>
      <c r="L758" s="764"/>
    </row>
    <row r="759">
      <c r="A759" s="764"/>
      <c r="B759" s="775"/>
      <c r="C759" s="764"/>
      <c r="D759" s="764"/>
      <c r="E759" s="776"/>
      <c r="F759" s="687"/>
      <c r="G759" s="777"/>
      <c r="H759" s="687"/>
      <c r="I759" s="775"/>
      <c r="J759" s="764"/>
      <c r="K759" s="689"/>
      <c r="L759" s="764"/>
    </row>
    <row r="760">
      <c r="A760" s="764"/>
      <c r="B760" s="775"/>
      <c r="C760" s="764"/>
      <c r="D760" s="764"/>
      <c r="E760" s="776"/>
      <c r="F760" s="687"/>
      <c r="G760" s="777"/>
      <c r="H760" s="687"/>
      <c r="I760" s="775"/>
      <c r="J760" s="764"/>
      <c r="K760" s="689"/>
      <c r="L760" s="764"/>
    </row>
    <row r="761">
      <c r="A761" s="764"/>
      <c r="B761" s="775"/>
      <c r="C761" s="764"/>
      <c r="D761" s="764"/>
      <c r="E761" s="776"/>
      <c r="F761" s="687"/>
      <c r="G761" s="777"/>
      <c r="H761" s="687"/>
      <c r="I761" s="775"/>
      <c r="J761" s="764"/>
      <c r="K761" s="689"/>
      <c r="L761" s="764"/>
    </row>
    <row r="762">
      <c r="A762" s="764"/>
      <c r="B762" s="775"/>
      <c r="C762" s="764"/>
      <c r="D762" s="764"/>
      <c r="E762" s="776"/>
      <c r="F762" s="687"/>
      <c r="G762" s="777"/>
      <c r="H762" s="687"/>
      <c r="I762" s="775"/>
      <c r="J762" s="764"/>
      <c r="K762" s="689"/>
      <c r="L762" s="764"/>
    </row>
    <row r="763">
      <c r="A763" s="764"/>
      <c r="B763" s="775"/>
      <c r="C763" s="764"/>
      <c r="D763" s="764"/>
      <c r="E763" s="776"/>
      <c r="F763" s="687"/>
      <c r="G763" s="777"/>
      <c r="H763" s="687"/>
      <c r="I763" s="775"/>
      <c r="J763" s="764"/>
      <c r="K763" s="689"/>
      <c r="L763" s="764"/>
    </row>
    <row r="764">
      <c r="A764" s="764"/>
      <c r="B764" s="775"/>
      <c r="C764" s="764"/>
      <c r="D764" s="764"/>
      <c r="E764" s="776"/>
      <c r="F764" s="687"/>
      <c r="G764" s="777"/>
      <c r="H764" s="687"/>
      <c r="I764" s="775"/>
      <c r="J764" s="764"/>
      <c r="K764" s="689"/>
      <c r="L764" s="764"/>
    </row>
    <row r="765">
      <c r="A765" s="764"/>
      <c r="B765" s="775"/>
      <c r="C765" s="764"/>
      <c r="D765" s="764"/>
      <c r="E765" s="776"/>
      <c r="F765" s="687"/>
      <c r="G765" s="777"/>
      <c r="H765" s="687"/>
      <c r="I765" s="775"/>
      <c r="J765" s="764"/>
      <c r="K765" s="689"/>
      <c r="L765" s="764"/>
    </row>
    <row r="766">
      <c r="A766" s="764"/>
      <c r="B766" s="775"/>
      <c r="C766" s="764"/>
      <c r="D766" s="764"/>
      <c r="E766" s="776"/>
      <c r="F766" s="687"/>
      <c r="G766" s="777"/>
      <c r="H766" s="687"/>
      <c r="I766" s="775"/>
      <c r="J766" s="764"/>
      <c r="K766" s="689"/>
      <c r="L766" s="764"/>
    </row>
    <row r="767">
      <c r="A767" s="764"/>
      <c r="B767" s="775"/>
      <c r="C767" s="764"/>
      <c r="D767" s="764"/>
      <c r="E767" s="776"/>
      <c r="F767" s="687"/>
      <c r="G767" s="777"/>
      <c r="H767" s="687"/>
      <c r="I767" s="775"/>
      <c r="J767" s="764"/>
      <c r="K767" s="689"/>
      <c r="L767" s="764"/>
    </row>
    <row r="768">
      <c r="A768" s="764"/>
      <c r="B768" s="775"/>
      <c r="C768" s="764"/>
      <c r="D768" s="764"/>
      <c r="E768" s="776"/>
      <c r="F768" s="687"/>
      <c r="G768" s="777"/>
      <c r="H768" s="687"/>
      <c r="I768" s="775"/>
      <c r="J768" s="764"/>
      <c r="K768" s="689"/>
      <c r="L768" s="764"/>
    </row>
    <row r="769">
      <c r="A769" s="764"/>
      <c r="B769" s="775"/>
      <c r="C769" s="764"/>
      <c r="D769" s="764"/>
      <c r="E769" s="776"/>
      <c r="F769" s="687"/>
      <c r="G769" s="777"/>
      <c r="H769" s="687"/>
      <c r="I769" s="775"/>
      <c r="J769" s="764"/>
      <c r="K769" s="689"/>
      <c r="L769" s="764"/>
    </row>
    <row r="770">
      <c r="A770" s="764"/>
      <c r="B770" s="775"/>
      <c r="C770" s="764"/>
      <c r="D770" s="764"/>
      <c r="E770" s="776"/>
      <c r="F770" s="687"/>
      <c r="G770" s="777"/>
      <c r="H770" s="687"/>
      <c r="I770" s="775"/>
      <c r="J770" s="764"/>
      <c r="K770" s="689"/>
      <c r="L770" s="764"/>
    </row>
    <row r="771">
      <c r="A771" s="764"/>
      <c r="B771" s="775"/>
      <c r="C771" s="764"/>
      <c r="D771" s="764"/>
      <c r="E771" s="776"/>
      <c r="F771" s="687"/>
      <c r="G771" s="777"/>
      <c r="H771" s="687"/>
      <c r="I771" s="775"/>
      <c r="J771" s="764"/>
      <c r="K771" s="689"/>
      <c r="L771" s="764"/>
    </row>
    <row r="772">
      <c r="A772" s="764"/>
      <c r="B772" s="775"/>
      <c r="C772" s="764"/>
      <c r="D772" s="764"/>
      <c r="E772" s="776"/>
      <c r="F772" s="687"/>
      <c r="G772" s="777"/>
      <c r="H772" s="687"/>
      <c r="I772" s="775"/>
      <c r="J772" s="764"/>
      <c r="K772" s="689"/>
      <c r="L772" s="764"/>
    </row>
    <row r="773">
      <c r="A773" s="764"/>
      <c r="B773" s="775"/>
      <c r="C773" s="764"/>
      <c r="D773" s="764"/>
      <c r="E773" s="776"/>
      <c r="F773" s="687"/>
      <c r="G773" s="777"/>
      <c r="H773" s="687"/>
      <c r="I773" s="775"/>
      <c r="J773" s="764"/>
      <c r="K773" s="689"/>
      <c r="L773" s="764"/>
    </row>
    <row r="774">
      <c r="A774" s="764"/>
      <c r="B774" s="775"/>
      <c r="C774" s="764"/>
      <c r="D774" s="764"/>
      <c r="E774" s="776"/>
      <c r="F774" s="687"/>
      <c r="G774" s="777"/>
      <c r="H774" s="687"/>
      <c r="I774" s="775"/>
      <c r="J774" s="764"/>
      <c r="K774" s="689"/>
      <c r="L774" s="764"/>
    </row>
    <row r="775">
      <c r="A775" s="764"/>
      <c r="B775" s="775"/>
      <c r="C775" s="764"/>
      <c r="D775" s="764"/>
      <c r="E775" s="776"/>
      <c r="F775" s="687"/>
      <c r="G775" s="777"/>
      <c r="H775" s="687"/>
      <c r="I775" s="775"/>
      <c r="J775" s="764"/>
      <c r="K775" s="689"/>
      <c r="L775" s="764"/>
    </row>
    <row r="776">
      <c r="A776" s="764"/>
      <c r="B776" s="775"/>
      <c r="C776" s="764"/>
      <c r="D776" s="764"/>
      <c r="E776" s="776"/>
      <c r="F776" s="687"/>
      <c r="G776" s="777"/>
      <c r="H776" s="687"/>
      <c r="I776" s="775"/>
      <c r="J776" s="764"/>
      <c r="K776" s="689"/>
      <c r="L776" s="764"/>
    </row>
    <row r="777">
      <c r="A777" s="764"/>
      <c r="B777" s="775"/>
      <c r="C777" s="764"/>
      <c r="D777" s="764"/>
      <c r="E777" s="776"/>
      <c r="F777" s="687"/>
      <c r="G777" s="777"/>
      <c r="H777" s="687"/>
      <c r="I777" s="775"/>
      <c r="J777" s="764"/>
      <c r="K777" s="689"/>
      <c r="L777" s="764"/>
    </row>
    <row r="778">
      <c r="A778" s="764"/>
      <c r="B778" s="775"/>
      <c r="C778" s="764"/>
      <c r="D778" s="764"/>
      <c r="E778" s="776"/>
      <c r="F778" s="687"/>
      <c r="G778" s="777"/>
      <c r="H778" s="687"/>
      <c r="I778" s="775"/>
      <c r="J778" s="764"/>
      <c r="K778" s="689"/>
      <c r="L778" s="764"/>
    </row>
    <row r="779">
      <c r="A779" s="764"/>
      <c r="B779" s="775"/>
      <c r="C779" s="764"/>
      <c r="D779" s="764"/>
      <c r="E779" s="776"/>
      <c r="F779" s="687"/>
      <c r="G779" s="777"/>
      <c r="H779" s="687"/>
      <c r="I779" s="775"/>
      <c r="J779" s="764"/>
      <c r="K779" s="689"/>
      <c r="L779" s="764"/>
    </row>
    <row r="780">
      <c r="A780" s="764"/>
      <c r="B780" s="775"/>
      <c r="C780" s="764"/>
      <c r="D780" s="764"/>
      <c r="E780" s="776"/>
      <c r="F780" s="687"/>
      <c r="G780" s="777"/>
      <c r="H780" s="687"/>
      <c r="I780" s="775"/>
      <c r="J780" s="764"/>
      <c r="K780" s="689"/>
      <c r="L780" s="764"/>
    </row>
    <row r="781">
      <c r="A781" s="764"/>
      <c r="B781" s="775"/>
      <c r="C781" s="764"/>
      <c r="D781" s="764"/>
      <c r="E781" s="776"/>
      <c r="F781" s="687"/>
      <c r="G781" s="777"/>
      <c r="H781" s="687"/>
      <c r="I781" s="775"/>
      <c r="J781" s="764"/>
      <c r="K781" s="689"/>
      <c r="L781" s="764"/>
    </row>
    <row r="782">
      <c r="A782" s="764"/>
      <c r="B782" s="775"/>
      <c r="C782" s="764"/>
      <c r="D782" s="764"/>
      <c r="E782" s="776"/>
      <c r="F782" s="687"/>
      <c r="G782" s="777"/>
      <c r="H782" s="687"/>
      <c r="I782" s="775"/>
      <c r="J782" s="764"/>
      <c r="K782" s="689"/>
      <c r="L782" s="764"/>
    </row>
    <row r="783">
      <c r="A783" s="764"/>
      <c r="B783" s="775"/>
      <c r="C783" s="764"/>
      <c r="D783" s="764"/>
      <c r="E783" s="776"/>
      <c r="F783" s="687"/>
      <c r="G783" s="777"/>
      <c r="H783" s="687"/>
      <c r="I783" s="775"/>
      <c r="J783" s="764"/>
      <c r="K783" s="689"/>
      <c r="L783" s="764"/>
    </row>
    <row r="784">
      <c r="A784" s="764"/>
      <c r="B784" s="775"/>
      <c r="C784" s="764"/>
      <c r="D784" s="764"/>
      <c r="E784" s="776"/>
      <c r="F784" s="687"/>
      <c r="G784" s="777"/>
      <c r="H784" s="687"/>
      <c r="I784" s="775"/>
      <c r="J784" s="764"/>
      <c r="K784" s="689"/>
      <c r="L784" s="764"/>
    </row>
    <row r="785">
      <c r="A785" s="764"/>
      <c r="B785" s="775"/>
      <c r="C785" s="764"/>
      <c r="D785" s="764"/>
      <c r="E785" s="776"/>
      <c r="F785" s="687"/>
      <c r="G785" s="777"/>
      <c r="H785" s="687"/>
      <c r="I785" s="775"/>
      <c r="J785" s="764"/>
      <c r="K785" s="689"/>
      <c r="L785" s="764"/>
    </row>
    <row r="786">
      <c r="A786" s="764"/>
      <c r="B786" s="775"/>
      <c r="C786" s="764"/>
      <c r="D786" s="764"/>
      <c r="E786" s="776"/>
      <c r="F786" s="687"/>
      <c r="G786" s="777"/>
      <c r="H786" s="687"/>
      <c r="I786" s="775"/>
      <c r="J786" s="764"/>
      <c r="K786" s="689"/>
      <c r="L786" s="764"/>
    </row>
    <row r="787">
      <c r="A787" s="764"/>
      <c r="B787" s="775"/>
      <c r="C787" s="764"/>
      <c r="D787" s="764"/>
      <c r="E787" s="776"/>
      <c r="F787" s="687"/>
      <c r="G787" s="777"/>
      <c r="H787" s="687"/>
      <c r="I787" s="775"/>
      <c r="J787" s="764"/>
      <c r="K787" s="689"/>
      <c r="L787" s="764"/>
    </row>
    <row r="788">
      <c r="A788" s="764"/>
      <c r="B788" s="775"/>
      <c r="C788" s="764"/>
      <c r="D788" s="764"/>
      <c r="E788" s="776"/>
      <c r="F788" s="687"/>
      <c r="G788" s="777"/>
      <c r="H788" s="687"/>
      <c r="I788" s="775"/>
      <c r="J788" s="764"/>
      <c r="K788" s="689"/>
      <c r="L788" s="764"/>
    </row>
    <row r="789">
      <c r="A789" s="764"/>
      <c r="B789" s="775"/>
      <c r="C789" s="764"/>
      <c r="D789" s="764"/>
      <c r="E789" s="776"/>
      <c r="F789" s="687"/>
      <c r="G789" s="777"/>
      <c r="H789" s="687"/>
      <c r="I789" s="775"/>
      <c r="J789" s="764"/>
      <c r="K789" s="689"/>
      <c r="L789" s="764"/>
    </row>
    <row r="790">
      <c r="A790" s="764"/>
      <c r="B790" s="775"/>
      <c r="C790" s="764"/>
      <c r="D790" s="764"/>
      <c r="E790" s="776"/>
      <c r="F790" s="687"/>
      <c r="G790" s="777"/>
      <c r="H790" s="687"/>
      <c r="I790" s="775"/>
      <c r="J790" s="764"/>
      <c r="K790" s="689"/>
      <c r="L790" s="764"/>
    </row>
    <row r="791">
      <c r="A791" s="764"/>
      <c r="B791" s="775"/>
      <c r="C791" s="764"/>
      <c r="D791" s="764"/>
      <c r="E791" s="776"/>
      <c r="F791" s="687"/>
      <c r="G791" s="777"/>
      <c r="H791" s="687"/>
      <c r="I791" s="775"/>
      <c r="J791" s="764"/>
      <c r="K791" s="689"/>
      <c r="L791" s="764"/>
    </row>
    <row r="792">
      <c r="A792" s="764"/>
      <c r="B792" s="775"/>
      <c r="C792" s="764"/>
      <c r="D792" s="764"/>
      <c r="E792" s="776"/>
      <c r="F792" s="687"/>
      <c r="G792" s="777"/>
      <c r="H792" s="687"/>
      <c r="I792" s="775"/>
      <c r="J792" s="764"/>
      <c r="K792" s="689"/>
      <c r="L792" s="764"/>
    </row>
    <row r="793">
      <c r="A793" s="764"/>
      <c r="B793" s="775"/>
      <c r="C793" s="764"/>
      <c r="D793" s="764"/>
      <c r="E793" s="776"/>
      <c r="F793" s="687"/>
      <c r="G793" s="777"/>
      <c r="H793" s="687"/>
      <c r="I793" s="775"/>
      <c r="J793" s="764"/>
      <c r="K793" s="689"/>
      <c r="L793" s="764"/>
    </row>
    <row r="794">
      <c r="A794" s="764"/>
      <c r="B794" s="775"/>
      <c r="C794" s="764"/>
      <c r="D794" s="764"/>
      <c r="E794" s="776"/>
      <c r="F794" s="687"/>
      <c r="G794" s="777"/>
      <c r="H794" s="687"/>
      <c r="I794" s="775"/>
      <c r="J794" s="764"/>
      <c r="K794" s="689"/>
      <c r="L794" s="764"/>
    </row>
    <row r="795">
      <c r="A795" s="764"/>
      <c r="B795" s="775"/>
      <c r="C795" s="764"/>
      <c r="D795" s="764"/>
      <c r="E795" s="776"/>
      <c r="F795" s="687"/>
      <c r="G795" s="777"/>
      <c r="H795" s="687"/>
      <c r="I795" s="775"/>
      <c r="J795" s="764"/>
      <c r="K795" s="689"/>
      <c r="L795" s="764"/>
    </row>
    <row r="796">
      <c r="A796" s="764"/>
      <c r="B796" s="775"/>
      <c r="C796" s="764"/>
      <c r="D796" s="764"/>
      <c r="E796" s="776"/>
      <c r="F796" s="687"/>
      <c r="G796" s="777"/>
      <c r="H796" s="687"/>
      <c r="I796" s="775"/>
      <c r="J796" s="764"/>
      <c r="K796" s="689"/>
      <c r="L796" s="764"/>
    </row>
    <row r="797">
      <c r="A797" s="764"/>
      <c r="B797" s="775"/>
      <c r="C797" s="764"/>
      <c r="D797" s="764"/>
      <c r="E797" s="776"/>
      <c r="F797" s="687"/>
      <c r="G797" s="777"/>
      <c r="H797" s="687"/>
      <c r="I797" s="775"/>
      <c r="J797" s="764"/>
      <c r="K797" s="689"/>
      <c r="L797" s="764"/>
    </row>
    <row r="798">
      <c r="A798" s="764"/>
      <c r="B798" s="775"/>
      <c r="C798" s="764"/>
      <c r="D798" s="764"/>
      <c r="E798" s="776"/>
      <c r="F798" s="687"/>
      <c r="G798" s="777"/>
      <c r="H798" s="687"/>
      <c r="I798" s="775"/>
      <c r="J798" s="764"/>
      <c r="K798" s="689"/>
      <c r="L798" s="764"/>
    </row>
    <row r="799">
      <c r="A799" s="764"/>
      <c r="B799" s="775"/>
      <c r="C799" s="764"/>
      <c r="D799" s="764"/>
      <c r="E799" s="776"/>
      <c r="F799" s="687"/>
      <c r="G799" s="777"/>
      <c r="H799" s="687"/>
      <c r="I799" s="775"/>
      <c r="J799" s="764"/>
      <c r="K799" s="689"/>
      <c r="L799" s="764"/>
    </row>
    <row r="800">
      <c r="A800" s="764"/>
      <c r="B800" s="775"/>
      <c r="C800" s="764"/>
      <c r="D800" s="764"/>
      <c r="E800" s="776"/>
      <c r="F800" s="687"/>
      <c r="G800" s="777"/>
      <c r="H800" s="687"/>
      <c r="I800" s="775"/>
      <c r="J800" s="764"/>
      <c r="K800" s="689"/>
      <c r="L800" s="764"/>
    </row>
    <row r="801">
      <c r="A801" s="764"/>
      <c r="B801" s="775"/>
      <c r="C801" s="764"/>
      <c r="D801" s="764"/>
      <c r="E801" s="776"/>
      <c r="F801" s="687"/>
      <c r="G801" s="777"/>
      <c r="H801" s="687"/>
      <c r="I801" s="775"/>
      <c r="J801" s="764"/>
      <c r="K801" s="689"/>
      <c r="L801" s="764"/>
    </row>
    <row r="802">
      <c r="A802" s="764"/>
      <c r="B802" s="775"/>
      <c r="C802" s="764"/>
      <c r="D802" s="764"/>
      <c r="E802" s="776"/>
      <c r="F802" s="687"/>
      <c r="G802" s="777"/>
      <c r="H802" s="687"/>
      <c r="I802" s="775"/>
      <c r="J802" s="764"/>
      <c r="K802" s="689"/>
      <c r="L802" s="764"/>
    </row>
    <row r="803">
      <c r="A803" s="764"/>
      <c r="B803" s="775"/>
      <c r="C803" s="764"/>
      <c r="D803" s="764"/>
      <c r="E803" s="776"/>
      <c r="F803" s="687"/>
      <c r="G803" s="777"/>
      <c r="H803" s="687"/>
      <c r="I803" s="775"/>
      <c r="J803" s="764"/>
      <c r="K803" s="689"/>
      <c r="L803" s="764"/>
    </row>
    <row r="804">
      <c r="A804" s="764"/>
      <c r="B804" s="775"/>
      <c r="C804" s="764"/>
      <c r="D804" s="764"/>
      <c r="E804" s="776"/>
      <c r="F804" s="687"/>
      <c r="G804" s="777"/>
      <c r="H804" s="687"/>
      <c r="I804" s="775"/>
      <c r="J804" s="764"/>
      <c r="K804" s="689"/>
      <c r="L804" s="764"/>
    </row>
    <row r="805">
      <c r="A805" s="764"/>
      <c r="B805" s="775"/>
      <c r="C805" s="764"/>
      <c r="D805" s="764"/>
      <c r="E805" s="776"/>
      <c r="F805" s="687"/>
      <c r="G805" s="777"/>
      <c r="H805" s="687"/>
      <c r="I805" s="775"/>
      <c r="J805" s="764"/>
      <c r="K805" s="689"/>
      <c r="L805" s="764"/>
    </row>
    <row r="806">
      <c r="A806" s="764"/>
      <c r="B806" s="775"/>
      <c r="C806" s="764"/>
      <c r="D806" s="764"/>
      <c r="E806" s="776"/>
      <c r="F806" s="687"/>
      <c r="G806" s="777"/>
      <c r="H806" s="687"/>
      <c r="I806" s="775"/>
      <c r="J806" s="764"/>
      <c r="K806" s="689"/>
      <c r="L806" s="764"/>
    </row>
    <row r="807">
      <c r="A807" s="764"/>
      <c r="B807" s="775"/>
      <c r="C807" s="764"/>
      <c r="D807" s="764"/>
      <c r="E807" s="776"/>
      <c r="F807" s="687"/>
      <c r="G807" s="777"/>
      <c r="H807" s="687"/>
      <c r="I807" s="775"/>
      <c r="J807" s="764"/>
      <c r="K807" s="689"/>
      <c r="L807" s="764"/>
    </row>
    <row r="808">
      <c r="A808" s="764"/>
      <c r="B808" s="775"/>
      <c r="C808" s="764"/>
      <c r="D808" s="764"/>
      <c r="E808" s="776"/>
      <c r="F808" s="687"/>
      <c r="G808" s="777"/>
      <c r="H808" s="687"/>
      <c r="I808" s="775"/>
      <c r="J808" s="764"/>
      <c r="K808" s="689"/>
      <c r="L808" s="764"/>
    </row>
    <row r="809">
      <c r="A809" s="764"/>
      <c r="B809" s="775"/>
      <c r="C809" s="764"/>
      <c r="D809" s="764"/>
      <c r="E809" s="776"/>
      <c r="F809" s="687"/>
      <c r="G809" s="777"/>
      <c r="H809" s="687"/>
      <c r="I809" s="775"/>
      <c r="J809" s="764"/>
      <c r="K809" s="689"/>
      <c r="L809" s="764"/>
    </row>
    <row r="810">
      <c r="A810" s="764"/>
      <c r="B810" s="775"/>
      <c r="C810" s="764"/>
      <c r="D810" s="764"/>
      <c r="E810" s="776"/>
      <c r="F810" s="687"/>
      <c r="G810" s="777"/>
      <c r="H810" s="687"/>
      <c r="I810" s="775"/>
      <c r="J810" s="764"/>
      <c r="K810" s="689"/>
      <c r="L810" s="764"/>
    </row>
    <row r="811">
      <c r="A811" s="764"/>
      <c r="B811" s="775"/>
      <c r="C811" s="764"/>
      <c r="D811" s="764"/>
      <c r="E811" s="776"/>
      <c r="F811" s="687"/>
      <c r="G811" s="777"/>
      <c r="H811" s="687"/>
      <c r="I811" s="775"/>
      <c r="J811" s="764"/>
      <c r="K811" s="689"/>
      <c r="L811" s="764"/>
    </row>
    <row r="812">
      <c r="A812" s="764"/>
      <c r="B812" s="775"/>
      <c r="C812" s="764"/>
      <c r="D812" s="764"/>
      <c r="E812" s="776"/>
      <c r="F812" s="687"/>
      <c r="G812" s="777"/>
      <c r="H812" s="687"/>
      <c r="I812" s="775"/>
      <c r="J812" s="764"/>
      <c r="K812" s="689"/>
      <c r="L812" s="764"/>
    </row>
    <row r="813">
      <c r="A813" s="764"/>
      <c r="B813" s="775"/>
      <c r="C813" s="764"/>
      <c r="D813" s="764"/>
      <c r="E813" s="776"/>
      <c r="F813" s="687"/>
      <c r="G813" s="777"/>
      <c r="H813" s="687"/>
      <c r="I813" s="775"/>
      <c r="J813" s="764"/>
      <c r="K813" s="689"/>
      <c r="L813" s="764"/>
    </row>
    <row r="814">
      <c r="A814" s="764"/>
      <c r="B814" s="775"/>
      <c r="C814" s="764"/>
      <c r="D814" s="764"/>
      <c r="E814" s="776"/>
      <c r="F814" s="687"/>
      <c r="G814" s="777"/>
      <c r="H814" s="687"/>
      <c r="I814" s="775"/>
      <c r="J814" s="764"/>
      <c r="K814" s="689"/>
      <c r="L814" s="764"/>
    </row>
    <row r="815">
      <c r="A815" s="764"/>
      <c r="B815" s="775"/>
      <c r="C815" s="764"/>
      <c r="D815" s="764"/>
      <c r="E815" s="776"/>
      <c r="F815" s="687"/>
      <c r="G815" s="777"/>
      <c r="H815" s="687"/>
      <c r="I815" s="775"/>
      <c r="J815" s="764"/>
      <c r="K815" s="689"/>
      <c r="L815" s="764"/>
    </row>
    <row r="816">
      <c r="A816" s="764"/>
      <c r="B816" s="775"/>
      <c r="C816" s="764"/>
      <c r="D816" s="764"/>
      <c r="E816" s="776"/>
      <c r="F816" s="687"/>
      <c r="G816" s="777"/>
      <c r="H816" s="687"/>
      <c r="I816" s="775"/>
      <c r="J816" s="764"/>
      <c r="K816" s="689"/>
      <c r="L816" s="764"/>
    </row>
    <row r="817">
      <c r="A817" s="764"/>
      <c r="B817" s="775"/>
      <c r="C817" s="764"/>
      <c r="D817" s="764"/>
      <c r="E817" s="776"/>
      <c r="F817" s="687"/>
      <c r="G817" s="777"/>
      <c r="H817" s="687"/>
      <c r="I817" s="775"/>
      <c r="J817" s="764"/>
      <c r="K817" s="689"/>
      <c r="L817" s="764"/>
    </row>
    <row r="818">
      <c r="A818" s="764"/>
      <c r="B818" s="775"/>
      <c r="C818" s="764"/>
      <c r="D818" s="764"/>
      <c r="E818" s="776"/>
      <c r="F818" s="687"/>
      <c r="G818" s="777"/>
      <c r="H818" s="687"/>
      <c r="I818" s="775"/>
      <c r="J818" s="764"/>
      <c r="K818" s="689"/>
      <c r="L818" s="764"/>
    </row>
    <row r="819">
      <c r="A819" s="764"/>
      <c r="B819" s="775"/>
      <c r="C819" s="764"/>
      <c r="D819" s="764"/>
      <c r="E819" s="776"/>
      <c r="F819" s="687"/>
      <c r="G819" s="777"/>
      <c r="H819" s="687"/>
      <c r="I819" s="775"/>
      <c r="J819" s="764"/>
      <c r="K819" s="689"/>
      <c r="L819" s="764"/>
    </row>
    <row r="820">
      <c r="A820" s="764"/>
      <c r="B820" s="775"/>
      <c r="C820" s="764"/>
      <c r="D820" s="764"/>
      <c r="E820" s="776"/>
      <c r="F820" s="687"/>
      <c r="G820" s="777"/>
      <c r="H820" s="687"/>
      <c r="I820" s="775"/>
      <c r="J820" s="764"/>
      <c r="K820" s="689"/>
      <c r="L820" s="764"/>
    </row>
    <row r="821">
      <c r="A821" s="764"/>
      <c r="B821" s="775"/>
      <c r="C821" s="764"/>
      <c r="D821" s="764"/>
      <c r="E821" s="776"/>
      <c r="F821" s="687"/>
      <c r="G821" s="777"/>
      <c r="H821" s="687"/>
      <c r="I821" s="775"/>
      <c r="J821" s="764"/>
      <c r="K821" s="689"/>
      <c r="L821" s="764"/>
    </row>
    <row r="822">
      <c r="A822" s="764"/>
      <c r="B822" s="775"/>
      <c r="C822" s="764"/>
      <c r="D822" s="764"/>
      <c r="E822" s="776"/>
      <c r="F822" s="687"/>
      <c r="G822" s="777"/>
      <c r="H822" s="687"/>
      <c r="I822" s="775"/>
      <c r="J822" s="764"/>
      <c r="K822" s="689"/>
      <c r="L822" s="764"/>
    </row>
    <row r="823">
      <c r="A823" s="764"/>
      <c r="B823" s="775"/>
      <c r="C823" s="764"/>
      <c r="D823" s="764"/>
      <c r="E823" s="776"/>
      <c r="F823" s="687"/>
      <c r="G823" s="777"/>
      <c r="H823" s="687"/>
      <c r="I823" s="775"/>
      <c r="J823" s="764"/>
      <c r="K823" s="689"/>
      <c r="L823" s="764"/>
    </row>
    <row r="824">
      <c r="A824" s="764"/>
      <c r="B824" s="775"/>
      <c r="C824" s="764"/>
      <c r="D824" s="764"/>
      <c r="E824" s="776"/>
      <c r="F824" s="687"/>
      <c r="G824" s="777"/>
      <c r="H824" s="687"/>
      <c r="I824" s="775"/>
      <c r="J824" s="764"/>
      <c r="K824" s="689"/>
      <c r="L824" s="764"/>
    </row>
    <row r="825">
      <c r="A825" s="764"/>
      <c r="B825" s="775"/>
      <c r="C825" s="764"/>
      <c r="D825" s="764"/>
      <c r="E825" s="776"/>
      <c r="F825" s="687"/>
      <c r="G825" s="777"/>
      <c r="H825" s="687"/>
      <c r="I825" s="775"/>
      <c r="J825" s="764"/>
      <c r="K825" s="689"/>
      <c r="L825" s="764"/>
    </row>
    <row r="826">
      <c r="A826" s="764"/>
      <c r="B826" s="775"/>
      <c r="C826" s="764"/>
      <c r="D826" s="764"/>
      <c r="E826" s="776"/>
      <c r="F826" s="687"/>
      <c r="G826" s="777"/>
      <c r="H826" s="687"/>
      <c r="I826" s="775"/>
      <c r="J826" s="764"/>
      <c r="K826" s="689"/>
      <c r="L826" s="764"/>
    </row>
    <row r="827">
      <c r="A827" s="764"/>
      <c r="B827" s="775"/>
      <c r="C827" s="764"/>
      <c r="D827" s="764"/>
      <c r="E827" s="776"/>
      <c r="F827" s="687"/>
      <c r="G827" s="777"/>
      <c r="H827" s="687"/>
      <c r="I827" s="775"/>
      <c r="J827" s="764"/>
      <c r="K827" s="689"/>
      <c r="L827" s="764"/>
    </row>
    <row r="828">
      <c r="A828" s="764"/>
      <c r="B828" s="775"/>
      <c r="C828" s="764"/>
      <c r="D828" s="764"/>
      <c r="E828" s="776"/>
      <c r="F828" s="687"/>
      <c r="G828" s="777"/>
      <c r="H828" s="687"/>
      <c r="I828" s="775"/>
      <c r="J828" s="764"/>
      <c r="K828" s="689"/>
      <c r="L828" s="764"/>
    </row>
    <row r="829">
      <c r="A829" s="764"/>
      <c r="B829" s="775"/>
      <c r="C829" s="764"/>
      <c r="D829" s="764"/>
      <c r="E829" s="776"/>
      <c r="F829" s="687"/>
      <c r="G829" s="777"/>
      <c r="H829" s="687"/>
      <c r="I829" s="775"/>
      <c r="J829" s="764"/>
      <c r="K829" s="689"/>
      <c r="L829" s="764"/>
    </row>
    <row r="830">
      <c r="A830" s="764"/>
      <c r="B830" s="775"/>
      <c r="C830" s="764"/>
      <c r="D830" s="764"/>
      <c r="E830" s="776"/>
      <c r="F830" s="687"/>
      <c r="G830" s="777"/>
      <c r="H830" s="687"/>
      <c r="I830" s="775"/>
      <c r="J830" s="764"/>
      <c r="K830" s="689"/>
      <c r="L830" s="764"/>
    </row>
    <row r="831">
      <c r="A831" s="764"/>
      <c r="B831" s="775"/>
      <c r="C831" s="764"/>
      <c r="D831" s="764"/>
      <c r="E831" s="776"/>
      <c r="F831" s="687"/>
      <c r="G831" s="777"/>
      <c r="H831" s="687"/>
      <c r="I831" s="775"/>
      <c r="J831" s="764"/>
      <c r="K831" s="689"/>
      <c r="L831" s="764"/>
    </row>
    <row r="832">
      <c r="A832" s="764"/>
      <c r="B832" s="775"/>
      <c r="C832" s="764"/>
      <c r="D832" s="764"/>
      <c r="E832" s="776"/>
      <c r="F832" s="687"/>
      <c r="G832" s="777"/>
      <c r="H832" s="687"/>
      <c r="I832" s="775"/>
      <c r="J832" s="764"/>
      <c r="K832" s="689"/>
      <c r="L832" s="764"/>
    </row>
    <row r="833">
      <c r="A833" s="764"/>
      <c r="B833" s="775"/>
      <c r="C833" s="764"/>
      <c r="D833" s="764"/>
      <c r="E833" s="776"/>
      <c r="F833" s="687"/>
      <c r="G833" s="777"/>
      <c r="H833" s="687"/>
      <c r="I833" s="775"/>
      <c r="J833" s="764"/>
      <c r="K833" s="689"/>
      <c r="L833" s="764"/>
    </row>
    <row r="834">
      <c r="A834" s="764"/>
      <c r="B834" s="775"/>
      <c r="C834" s="764"/>
      <c r="D834" s="764"/>
      <c r="E834" s="776"/>
      <c r="F834" s="687"/>
      <c r="G834" s="777"/>
      <c r="H834" s="687"/>
      <c r="I834" s="775"/>
      <c r="J834" s="764"/>
      <c r="K834" s="689"/>
      <c r="L834" s="764"/>
    </row>
    <row r="835">
      <c r="A835" s="764"/>
      <c r="B835" s="775"/>
      <c r="C835" s="764"/>
      <c r="D835" s="764"/>
      <c r="E835" s="776"/>
      <c r="F835" s="687"/>
      <c r="G835" s="777"/>
      <c r="H835" s="687"/>
      <c r="I835" s="775"/>
      <c r="J835" s="764"/>
      <c r="K835" s="689"/>
      <c r="L835" s="764"/>
    </row>
    <row r="836">
      <c r="A836" s="764"/>
      <c r="B836" s="775"/>
      <c r="C836" s="764"/>
      <c r="D836" s="764"/>
      <c r="E836" s="776"/>
      <c r="F836" s="687"/>
      <c r="G836" s="777"/>
      <c r="H836" s="687"/>
      <c r="I836" s="775"/>
      <c r="J836" s="764"/>
      <c r="K836" s="689"/>
      <c r="L836" s="764"/>
    </row>
    <row r="837">
      <c r="A837" s="764"/>
      <c r="B837" s="775"/>
      <c r="C837" s="764"/>
      <c r="D837" s="764"/>
      <c r="E837" s="776"/>
      <c r="F837" s="687"/>
      <c r="G837" s="777"/>
      <c r="H837" s="687"/>
      <c r="I837" s="775"/>
      <c r="J837" s="764"/>
      <c r="K837" s="689"/>
      <c r="L837" s="764"/>
    </row>
    <row r="838">
      <c r="A838" s="764"/>
      <c r="B838" s="775"/>
      <c r="C838" s="764"/>
      <c r="D838" s="764"/>
      <c r="E838" s="776"/>
      <c r="F838" s="687"/>
      <c r="G838" s="777"/>
      <c r="H838" s="687"/>
      <c r="I838" s="775"/>
      <c r="J838" s="764"/>
      <c r="K838" s="689"/>
      <c r="L838" s="764"/>
    </row>
    <row r="839">
      <c r="A839" s="764"/>
      <c r="B839" s="775"/>
      <c r="C839" s="764"/>
      <c r="D839" s="764"/>
      <c r="E839" s="776"/>
      <c r="F839" s="687"/>
      <c r="G839" s="777"/>
      <c r="H839" s="687"/>
      <c r="I839" s="775"/>
      <c r="J839" s="764"/>
      <c r="K839" s="689"/>
      <c r="L839" s="764"/>
    </row>
    <row r="840">
      <c r="A840" s="764"/>
      <c r="B840" s="775"/>
      <c r="C840" s="764"/>
      <c r="D840" s="764"/>
      <c r="E840" s="776"/>
      <c r="F840" s="687"/>
      <c r="G840" s="777"/>
      <c r="H840" s="687"/>
      <c r="I840" s="775"/>
      <c r="J840" s="764"/>
      <c r="K840" s="689"/>
      <c r="L840" s="764"/>
    </row>
    <row r="841">
      <c r="A841" s="764"/>
      <c r="B841" s="775"/>
      <c r="C841" s="764"/>
      <c r="D841" s="764"/>
      <c r="E841" s="776"/>
      <c r="F841" s="687"/>
      <c r="G841" s="777"/>
      <c r="H841" s="687"/>
      <c r="I841" s="775"/>
      <c r="J841" s="764"/>
      <c r="K841" s="689"/>
      <c r="L841" s="764"/>
    </row>
    <row r="842">
      <c r="A842" s="764"/>
      <c r="B842" s="775"/>
      <c r="C842" s="764"/>
      <c r="D842" s="764"/>
      <c r="E842" s="776"/>
      <c r="F842" s="687"/>
      <c r="G842" s="777"/>
      <c r="H842" s="687"/>
      <c r="I842" s="775"/>
      <c r="J842" s="764"/>
      <c r="K842" s="689"/>
      <c r="L842" s="764"/>
    </row>
    <row r="843">
      <c r="A843" s="764"/>
      <c r="B843" s="775"/>
      <c r="C843" s="764"/>
      <c r="D843" s="764"/>
      <c r="E843" s="776"/>
      <c r="F843" s="687"/>
      <c r="G843" s="777"/>
      <c r="H843" s="687"/>
      <c r="I843" s="775"/>
      <c r="J843" s="764"/>
      <c r="K843" s="689"/>
      <c r="L843" s="764"/>
    </row>
    <row r="844">
      <c r="A844" s="764"/>
      <c r="B844" s="775"/>
      <c r="C844" s="764"/>
      <c r="D844" s="764"/>
      <c r="E844" s="776"/>
      <c r="F844" s="687"/>
      <c r="G844" s="777"/>
      <c r="H844" s="687"/>
      <c r="I844" s="775"/>
      <c r="J844" s="764"/>
      <c r="K844" s="689"/>
      <c r="L844" s="764"/>
    </row>
    <row r="845">
      <c r="A845" s="764"/>
      <c r="B845" s="775"/>
      <c r="C845" s="764"/>
      <c r="D845" s="764"/>
      <c r="E845" s="776"/>
      <c r="F845" s="687"/>
      <c r="G845" s="777"/>
      <c r="H845" s="687"/>
      <c r="I845" s="775"/>
      <c r="J845" s="764"/>
      <c r="K845" s="689"/>
      <c r="L845" s="764"/>
    </row>
    <row r="846">
      <c r="A846" s="764"/>
      <c r="B846" s="775"/>
      <c r="C846" s="764"/>
      <c r="D846" s="764"/>
      <c r="E846" s="776"/>
      <c r="F846" s="687"/>
      <c r="G846" s="777"/>
      <c r="H846" s="687"/>
      <c r="I846" s="775"/>
      <c r="J846" s="764"/>
      <c r="K846" s="689"/>
      <c r="L846" s="764"/>
    </row>
    <row r="847">
      <c r="A847" s="764"/>
      <c r="B847" s="775"/>
      <c r="C847" s="764"/>
      <c r="D847" s="764"/>
      <c r="E847" s="776"/>
      <c r="F847" s="687"/>
      <c r="G847" s="777"/>
      <c r="H847" s="687"/>
      <c r="I847" s="775"/>
      <c r="J847" s="764"/>
      <c r="K847" s="689"/>
      <c r="L847" s="764"/>
    </row>
    <row r="848">
      <c r="A848" s="764"/>
      <c r="B848" s="775"/>
      <c r="C848" s="764"/>
      <c r="D848" s="764"/>
      <c r="E848" s="776"/>
      <c r="F848" s="687"/>
      <c r="G848" s="777"/>
      <c r="H848" s="687"/>
      <c r="I848" s="775"/>
      <c r="J848" s="764"/>
      <c r="K848" s="689"/>
      <c r="L848" s="764"/>
    </row>
    <row r="849">
      <c r="A849" s="764"/>
      <c r="B849" s="775"/>
      <c r="C849" s="764"/>
      <c r="D849" s="764"/>
      <c r="E849" s="776"/>
      <c r="F849" s="687"/>
      <c r="G849" s="777"/>
      <c r="H849" s="687"/>
      <c r="I849" s="775"/>
      <c r="J849" s="764"/>
      <c r="K849" s="689"/>
      <c r="L849" s="764"/>
    </row>
    <row r="850">
      <c r="A850" s="764"/>
      <c r="B850" s="775"/>
      <c r="C850" s="764"/>
      <c r="D850" s="764"/>
      <c r="E850" s="776"/>
      <c r="F850" s="687"/>
      <c r="G850" s="777"/>
      <c r="H850" s="687"/>
      <c r="I850" s="775"/>
      <c r="J850" s="764"/>
      <c r="K850" s="689"/>
      <c r="L850" s="764"/>
    </row>
    <row r="851">
      <c r="A851" s="764"/>
      <c r="B851" s="775"/>
      <c r="C851" s="764"/>
      <c r="D851" s="764"/>
      <c r="E851" s="776"/>
      <c r="F851" s="687"/>
      <c r="G851" s="777"/>
      <c r="H851" s="687"/>
      <c r="I851" s="775"/>
      <c r="J851" s="764"/>
      <c r="K851" s="689"/>
      <c r="L851" s="764"/>
    </row>
    <row r="852">
      <c r="A852" s="764"/>
      <c r="B852" s="775"/>
      <c r="C852" s="764"/>
      <c r="D852" s="764"/>
      <c r="E852" s="776"/>
      <c r="F852" s="687"/>
      <c r="G852" s="777"/>
      <c r="H852" s="687"/>
      <c r="I852" s="775"/>
      <c r="J852" s="764"/>
      <c r="K852" s="689"/>
      <c r="L852" s="764"/>
    </row>
    <row r="853">
      <c r="A853" s="764"/>
      <c r="B853" s="775"/>
      <c r="C853" s="764"/>
      <c r="D853" s="764"/>
      <c r="E853" s="776"/>
      <c r="F853" s="687"/>
      <c r="G853" s="777"/>
      <c r="H853" s="687"/>
      <c r="I853" s="775"/>
      <c r="J853" s="764"/>
      <c r="K853" s="689"/>
      <c r="L853" s="764"/>
    </row>
    <row r="854">
      <c r="A854" s="764"/>
      <c r="B854" s="775"/>
      <c r="C854" s="764"/>
      <c r="D854" s="764"/>
      <c r="E854" s="776"/>
      <c r="F854" s="687"/>
      <c r="G854" s="777"/>
      <c r="H854" s="687"/>
      <c r="I854" s="775"/>
      <c r="J854" s="764"/>
      <c r="K854" s="689"/>
      <c r="L854" s="764"/>
    </row>
    <row r="855">
      <c r="A855" s="764"/>
      <c r="B855" s="775"/>
      <c r="C855" s="764"/>
      <c r="D855" s="764"/>
      <c r="E855" s="776"/>
      <c r="F855" s="687"/>
      <c r="G855" s="777"/>
      <c r="H855" s="687"/>
      <c r="I855" s="775"/>
      <c r="J855" s="764"/>
      <c r="K855" s="689"/>
      <c r="L855" s="764"/>
    </row>
    <row r="856">
      <c r="A856" s="764"/>
      <c r="B856" s="775"/>
      <c r="C856" s="764"/>
      <c r="D856" s="764"/>
      <c r="E856" s="776"/>
      <c r="F856" s="687"/>
      <c r="G856" s="777"/>
      <c r="H856" s="687"/>
      <c r="I856" s="775"/>
      <c r="J856" s="764"/>
      <c r="K856" s="689"/>
      <c r="L856" s="764"/>
    </row>
    <row r="857">
      <c r="A857" s="764"/>
      <c r="B857" s="775"/>
      <c r="C857" s="764"/>
      <c r="D857" s="764"/>
      <c r="E857" s="776"/>
      <c r="F857" s="687"/>
      <c r="G857" s="777"/>
      <c r="H857" s="687"/>
      <c r="I857" s="775"/>
      <c r="J857" s="764"/>
      <c r="K857" s="689"/>
      <c r="L857" s="764"/>
    </row>
    <row r="858">
      <c r="A858" s="764"/>
      <c r="B858" s="775"/>
      <c r="C858" s="764"/>
      <c r="D858" s="764"/>
      <c r="E858" s="776"/>
      <c r="F858" s="687"/>
      <c r="G858" s="777"/>
      <c r="H858" s="687"/>
      <c r="I858" s="775"/>
      <c r="J858" s="764"/>
      <c r="K858" s="689"/>
      <c r="L858" s="764"/>
    </row>
    <row r="859">
      <c r="A859" s="764"/>
      <c r="B859" s="775"/>
      <c r="C859" s="764"/>
      <c r="D859" s="764"/>
      <c r="E859" s="776"/>
      <c r="F859" s="687"/>
      <c r="G859" s="777"/>
      <c r="H859" s="687"/>
      <c r="I859" s="775"/>
      <c r="J859" s="764"/>
      <c r="K859" s="689"/>
      <c r="L859" s="764"/>
    </row>
    <row r="860">
      <c r="A860" s="764"/>
      <c r="B860" s="775"/>
      <c r="C860" s="764"/>
      <c r="D860" s="764"/>
      <c r="E860" s="776"/>
      <c r="F860" s="687"/>
      <c r="G860" s="777"/>
      <c r="H860" s="687"/>
      <c r="I860" s="775"/>
      <c r="J860" s="764"/>
      <c r="K860" s="689"/>
      <c r="L860" s="764"/>
    </row>
    <row r="861">
      <c r="A861" s="764"/>
      <c r="B861" s="775"/>
      <c r="C861" s="764"/>
      <c r="D861" s="764"/>
      <c r="E861" s="776"/>
      <c r="F861" s="687"/>
      <c r="G861" s="777"/>
      <c r="H861" s="687"/>
      <c r="I861" s="775"/>
      <c r="J861" s="764"/>
      <c r="K861" s="689"/>
      <c r="L861" s="764"/>
    </row>
    <row r="862">
      <c r="A862" s="764"/>
      <c r="B862" s="775"/>
      <c r="C862" s="764"/>
      <c r="D862" s="764"/>
      <c r="E862" s="776"/>
      <c r="F862" s="687"/>
      <c r="G862" s="777"/>
      <c r="H862" s="687"/>
      <c r="I862" s="775"/>
      <c r="J862" s="764"/>
      <c r="K862" s="689"/>
      <c r="L862" s="764"/>
    </row>
    <row r="863">
      <c r="A863" s="764"/>
      <c r="B863" s="775"/>
      <c r="C863" s="764"/>
      <c r="D863" s="764"/>
      <c r="E863" s="776"/>
      <c r="F863" s="687"/>
      <c r="G863" s="777"/>
      <c r="H863" s="687"/>
      <c r="I863" s="775"/>
      <c r="J863" s="764"/>
      <c r="K863" s="689"/>
      <c r="L863" s="764"/>
    </row>
    <row r="864">
      <c r="A864" s="764"/>
      <c r="B864" s="775"/>
      <c r="C864" s="764"/>
      <c r="D864" s="764"/>
      <c r="E864" s="776"/>
      <c r="F864" s="687"/>
      <c r="G864" s="777"/>
      <c r="H864" s="687"/>
      <c r="I864" s="775"/>
      <c r="J864" s="764"/>
      <c r="K864" s="689"/>
      <c r="L864" s="764"/>
    </row>
    <row r="865">
      <c r="A865" s="764"/>
      <c r="B865" s="775"/>
      <c r="C865" s="764"/>
      <c r="D865" s="764"/>
      <c r="E865" s="776"/>
      <c r="F865" s="687"/>
      <c r="G865" s="777"/>
      <c r="H865" s="687"/>
      <c r="I865" s="775"/>
      <c r="J865" s="764"/>
      <c r="K865" s="689"/>
      <c r="L865" s="764"/>
    </row>
    <row r="866">
      <c r="A866" s="764"/>
      <c r="B866" s="775"/>
      <c r="C866" s="764"/>
      <c r="D866" s="764"/>
      <c r="E866" s="776"/>
      <c r="F866" s="687"/>
      <c r="G866" s="777"/>
      <c r="H866" s="687"/>
      <c r="I866" s="775"/>
      <c r="J866" s="764"/>
      <c r="K866" s="689"/>
      <c r="L866" s="764"/>
    </row>
    <row r="867">
      <c r="A867" s="764"/>
      <c r="B867" s="775"/>
      <c r="C867" s="764"/>
      <c r="D867" s="764"/>
      <c r="E867" s="776"/>
      <c r="F867" s="687"/>
      <c r="G867" s="777"/>
      <c r="H867" s="687"/>
      <c r="I867" s="775"/>
      <c r="J867" s="764"/>
      <c r="K867" s="689"/>
      <c r="L867" s="764"/>
    </row>
    <row r="868">
      <c r="A868" s="764"/>
      <c r="B868" s="775"/>
      <c r="C868" s="764"/>
      <c r="D868" s="764"/>
      <c r="E868" s="776"/>
      <c r="F868" s="687"/>
      <c r="G868" s="777"/>
      <c r="H868" s="687"/>
      <c r="I868" s="775"/>
      <c r="J868" s="764"/>
      <c r="K868" s="689"/>
      <c r="L868" s="764"/>
    </row>
    <row r="869">
      <c r="A869" s="764"/>
      <c r="B869" s="775"/>
      <c r="C869" s="764"/>
      <c r="D869" s="764"/>
      <c r="E869" s="776"/>
      <c r="F869" s="687"/>
      <c r="G869" s="777"/>
      <c r="H869" s="687"/>
      <c r="I869" s="775"/>
      <c r="J869" s="764"/>
      <c r="K869" s="689"/>
      <c r="L869" s="764"/>
    </row>
    <row r="870">
      <c r="A870" s="764"/>
      <c r="B870" s="775"/>
      <c r="C870" s="764"/>
      <c r="D870" s="764"/>
      <c r="E870" s="776"/>
      <c r="F870" s="687"/>
      <c r="G870" s="777"/>
      <c r="H870" s="687"/>
      <c r="I870" s="775"/>
      <c r="J870" s="764"/>
      <c r="K870" s="689"/>
      <c r="L870" s="764"/>
    </row>
    <row r="871">
      <c r="A871" s="764"/>
      <c r="B871" s="775"/>
      <c r="C871" s="764"/>
      <c r="D871" s="764"/>
      <c r="E871" s="776"/>
      <c r="F871" s="687"/>
      <c r="G871" s="777"/>
      <c r="H871" s="687"/>
      <c r="I871" s="775"/>
      <c r="J871" s="764"/>
      <c r="K871" s="689"/>
      <c r="L871" s="764"/>
    </row>
    <row r="872">
      <c r="A872" s="764"/>
      <c r="B872" s="775"/>
      <c r="C872" s="764"/>
      <c r="D872" s="764"/>
      <c r="E872" s="776"/>
      <c r="F872" s="687"/>
      <c r="G872" s="777"/>
      <c r="H872" s="687"/>
      <c r="I872" s="775"/>
      <c r="J872" s="764"/>
      <c r="K872" s="689"/>
      <c r="L872" s="764"/>
    </row>
    <row r="873">
      <c r="A873" s="764"/>
      <c r="B873" s="775"/>
      <c r="C873" s="764"/>
      <c r="D873" s="764"/>
      <c r="E873" s="776"/>
      <c r="F873" s="687"/>
      <c r="G873" s="777"/>
      <c r="H873" s="687"/>
      <c r="I873" s="775"/>
      <c r="J873" s="764"/>
      <c r="K873" s="689"/>
      <c r="L873" s="764"/>
    </row>
    <row r="874">
      <c r="A874" s="764"/>
      <c r="B874" s="775"/>
      <c r="C874" s="764"/>
      <c r="D874" s="764"/>
      <c r="E874" s="776"/>
      <c r="F874" s="687"/>
      <c r="G874" s="777"/>
      <c r="H874" s="687"/>
      <c r="I874" s="775"/>
      <c r="J874" s="764"/>
      <c r="K874" s="689"/>
      <c r="L874" s="764"/>
    </row>
    <row r="875">
      <c r="A875" s="764"/>
      <c r="B875" s="775"/>
      <c r="C875" s="764"/>
      <c r="D875" s="764"/>
      <c r="E875" s="776"/>
      <c r="F875" s="687"/>
      <c r="G875" s="777"/>
      <c r="H875" s="687"/>
      <c r="I875" s="775"/>
      <c r="J875" s="764"/>
      <c r="K875" s="689"/>
      <c r="L875" s="764"/>
    </row>
    <row r="876">
      <c r="A876" s="764"/>
      <c r="B876" s="775"/>
      <c r="C876" s="764"/>
      <c r="D876" s="764"/>
      <c r="E876" s="776"/>
      <c r="F876" s="687"/>
      <c r="G876" s="777"/>
      <c r="H876" s="687"/>
      <c r="I876" s="775"/>
      <c r="J876" s="764"/>
      <c r="K876" s="689"/>
      <c r="L876" s="764"/>
    </row>
    <row r="877">
      <c r="A877" s="764"/>
      <c r="B877" s="775"/>
      <c r="C877" s="764"/>
      <c r="D877" s="764"/>
      <c r="E877" s="776"/>
      <c r="F877" s="687"/>
      <c r="G877" s="777"/>
      <c r="H877" s="687"/>
      <c r="I877" s="775"/>
      <c r="J877" s="764"/>
      <c r="K877" s="689"/>
      <c r="L877" s="764"/>
    </row>
    <row r="878">
      <c r="A878" s="764"/>
      <c r="B878" s="775"/>
      <c r="C878" s="764"/>
      <c r="D878" s="764"/>
      <c r="E878" s="776"/>
      <c r="F878" s="687"/>
      <c r="G878" s="777"/>
      <c r="H878" s="687"/>
      <c r="I878" s="775"/>
      <c r="J878" s="764"/>
      <c r="K878" s="689"/>
      <c r="L878" s="764"/>
    </row>
    <row r="879">
      <c r="A879" s="764"/>
      <c r="B879" s="775"/>
      <c r="C879" s="764"/>
      <c r="D879" s="764"/>
      <c r="E879" s="776"/>
      <c r="F879" s="687"/>
      <c r="G879" s="777"/>
      <c r="H879" s="687"/>
      <c r="I879" s="775"/>
      <c r="J879" s="764"/>
      <c r="K879" s="689"/>
      <c r="L879" s="764"/>
    </row>
    <row r="880">
      <c r="A880" s="764"/>
      <c r="B880" s="775"/>
      <c r="C880" s="764"/>
      <c r="D880" s="764"/>
      <c r="E880" s="776"/>
      <c r="F880" s="687"/>
      <c r="G880" s="777"/>
      <c r="H880" s="687"/>
      <c r="I880" s="775"/>
      <c r="J880" s="764"/>
      <c r="K880" s="689"/>
      <c r="L880" s="764"/>
    </row>
    <row r="881">
      <c r="A881" s="764"/>
      <c r="B881" s="775"/>
      <c r="C881" s="764"/>
      <c r="D881" s="764"/>
      <c r="E881" s="776"/>
      <c r="F881" s="687"/>
      <c r="G881" s="777"/>
      <c r="H881" s="687"/>
      <c r="I881" s="775"/>
      <c r="J881" s="764"/>
      <c r="K881" s="689"/>
      <c r="L881" s="764"/>
    </row>
    <row r="882">
      <c r="A882" s="764"/>
      <c r="B882" s="775"/>
      <c r="C882" s="764"/>
      <c r="D882" s="764"/>
      <c r="E882" s="776"/>
      <c r="F882" s="687"/>
      <c r="G882" s="777"/>
      <c r="H882" s="687"/>
      <c r="I882" s="775"/>
      <c r="J882" s="764"/>
      <c r="K882" s="689"/>
      <c r="L882" s="764"/>
    </row>
    <row r="883">
      <c r="A883" s="764"/>
      <c r="B883" s="775"/>
      <c r="C883" s="764"/>
      <c r="D883" s="764"/>
      <c r="E883" s="776"/>
      <c r="F883" s="687"/>
      <c r="G883" s="777"/>
      <c r="H883" s="687"/>
      <c r="I883" s="775"/>
      <c r="J883" s="764"/>
      <c r="K883" s="689"/>
      <c r="L883" s="764"/>
    </row>
    <row r="884">
      <c r="A884" s="764"/>
      <c r="B884" s="775"/>
      <c r="C884" s="764"/>
      <c r="D884" s="764"/>
      <c r="E884" s="776"/>
      <c r="F884" s="687"/>
      <c r="G884" s="777"/>
      <c r="H884" s="687"/>
      <c r="I884" s="775"/>
      <c r="J884" s="764"/>
      <c r="K884" s="689"/>
      <c r="L884" s="764"/>
    </row>
    <row r="885">
      <c r="A885" s="764"/>
      <c r="B885" s="775"/>
      <c r="C885" s="764"/>
      <c r="D885" s="764"/>
      <c r="E885" s="776"/>
      <c r="F885" s="687"/>
      <c r="G885" s="777"/>
      <c r="H885" s="687"/>
      <c r="I885" s="775"/>
      <c r="J885" s="764"/>
      <c r="K885" s="689"/>
      <c r="L885" s="764"/>
    </row>
    <row r="886">
      <c r="A886" s="764"/>
      <c r="B886" s="775"/>
      <c r="C886" s="764"/>
      <c r="D886" s="764"/>
      <c r="E886" s="776"/>
      <c r="F886" s="687"/>
      <c r="G886" s="777"/>
      <c r="H886" s="687"/>
      <c r="I886" s="775"/>
      <c r="J886" s="764"/>
      <c r="K886" s="689"/>
      <c r="L886" s="764"/>
    </row>
    <row r="887">
      <c r="A887" s="764"/>
      <c r="B887" s="775"/>
      <c r="C887" s="764"/>
      <c r="D887" s="764"/>
      <c r="E887" s="776"/>
      <c r="F887" s="687"/>
      <c r="G887" s="777"/>
      <c r="H887" s="687"/>
      <c r="I887" s="775"/>
      <c r="J887" s="764"/>
      <c r="K887" s="689"/>
      <c r="L887" s="764"/>
    </row>
    <row r="888">
      <c r="A888" s="764"/>
      <c r="B888" s="775"/>
      <c r="C888" s="764"/>
      <c r="D888" s="764"/>
      <c r="E888" s="776"/>
      <c r="F888" s="687"/>
      <c r="G888" s="777"/>
      <c r="H888" s="687"/>
      <c r="I888" s="775"/>
      <c r="J888" s="764"/>
      <c r="K888" s="689"/>
      <c r="L888" s="764"/>
    </row>
    <row r="889">
      <c r="A889" s="764"/>
      <c r="B889" s="775"/>
      <c r="C889" s="764"/>
      <c r="D889" s="764"/>
      <c r="E889" s="776"/>
      <c r="F889" s="687"/>
      <c r="G889" s="777"/>
      <c r="H889" s="687"/>
      <c r="I889" s="775"/>
      <c r="J889" s="764"/>
      <c r="K889" s="689"/>
      <c r="L889" s="764"/>
    </row>
    <row r="890">
      <c r="A890" s="764"/>
      <c r="B890" s="775"/>
      <c r="C890" s="764"/>
      <c r="D890" s="764"/>
      <c r="E890" s="776"/>
      <c r="F890" s="687"/>
      <c r="G890" s="777"/>
      <c r="H890" s="687"/>
      <c r="I890" s="775"/>
      <c r="J890" s="764"/>
      <c r="K890" s="689"/>
      <c r="L890" s="764"/>
    </row>
    <row r="891">
      <c r="A891" s="764"/>
      <c r="B891" s="775"/>
      <c r="C891" s="764"/>
      <c r="D891" s="764"/>
      <c r="E891" s="776"/>
      <c r="F891" s="687"/>
      <c r="G891" s="777"/>
      <c r="H891" s="687"/>
      <c r="I891" s="775"/>
      <c r="J891" s="764"/>
      <c r="K891" s="689"/>
      <c r="L891" s="764"/>
    </row>
    <row r="892">
      <c r="A892" s="764"/>
      <c r="B892" s="775"/>
      <c r="C892" s="764"/>
      <c r="D892" s="764"/>
      <c r="E892" s="776"/>
      <c r="F892" s="687"/>
      <c r="G892" s="777"/>
      <c r="H892" s="687"/>
      <c r="I892" s="775"/>
      <c r="J892" s="764"/>
      <c r="K892" s="689"/>
      <c r="L892" s="764"/>
    </row>
    <row r="893">
      <c r="A893" s="764"/>
      <c r="B893" s="775"/>
      <c r="C893" s="764"/>
      <c r="D893" s="764"/>
      <c r="E893" s="776"/>
      <c r="F893" s="687"/>
      <c r="G893" s="777"/>
      <c r="H893" s="687"/>
      <c r="I893" s="775"/>
      <c r="J893" s="764"/>
      <c r="K893" s="689"/>
      <c r="L893" s="764"/>
    </row>
    <row r="894">
      <c r="A894" s="764"/>
      <c r="B894" s="775"/>
      <c r="C894" s="764"/>
      <c r="D894" s="764"/>
      <c r="E894" s="776"/>
      <c r="F894" s="687"/>
      <c r="G894" s="777"/>
      <c r="H894" s="687"/>
      <c r="I894" s="775"/>
      <c r="J894" s="764"/>
      <c r="K894" s="689"/>
      <c r="L894" s="764"/>
    </row>
    <row r="895">
      <c r="A895" s="764"/>
      <c r="B895" s="775"/>
      <c r="C895" s="764"/>
      <c r="D895" s="764"/>
      <c r="E895" s="776"/>
      <c r="F895" s="687"/>
      <c r="G895" s="777"/>
      <c r="H895" s="687"/>
      <c r="I895" s="775"/>
      <c r="J895" s="764"/>
      <c r="K895" s="689"/>
      <c r="L895" s="764"/>
    </row>
    <row r="896">
      <c r="A896" s="764"/>
      <c r="B896" s="775"/>
      <c r="C896" s="764"/>
      <c r="D896" s="764"/>
      <c r="E896" s="776"/>
      <c r="F896" s="687"/>
      <c r="G896" s="777"/>
      <c r="H896" s="687"/>
      <c r="I896" s="775"/>
      <c r="J896" s="764"/>
      <c r="K896" s="689"/>
      <c r="L896" s="764"/>
    </row>
    <row r="897">
      <c r="A897" s="764"/>
      <c r="B897" s="775"/>
      <c r="C897" s="764"/>
      <c r="D897" s="764"/>
      <c r="E897" s="776"/>
      <c r="F897" s="687"/>
      <c r="G897" s="777"/>
      <c r="H897" s="687"/>
      <c r="I897" s="775"/>
      <c r="J897" s="764"/>
      <c r="K897" s="689"/>
      <c r="L897" s="764"/>
    </row>
    <row r="898">
      <c r="A898" s="764"/>
      <c r="B898" s="775"/>
      <c r="C898" s="764"/>
      <c r="D898" s="764"/>
      <c r="E898" s="776"/>
      <c r="F898" s="687"/>
      <c r="G898" s="777"/>
      <c r="H898" s="687"/>
      <c r="I898" s="775"/>
      <c r="J898" s="764"/>
      <c r="K898" s="689"/>
      <c r="L898" s="764"/>
    </row>
    <row r="899">
      <c r="A899" s="764"/>
      <c r="B899" s="775"/>
      <c r="C899" s="764"/>
      <c r="D899" s="764"/>
      <c r="E899" s="776"/>
      <c r="F899" s="687"/>
      <c r="G899" s="777"/>
      <c r="H899" s="687"/>
      <c r="I899" s="775"/>
      <c r="J899" s="764"/>
      <c r="K899" s="689"/>
      <c r="L899" s="764"/>
    </row>
    <row r="900">
      <c r="A900" s="764"/>
      <c r="B900" s="775"/>
      <c r="C900" s="764"/>
      <c r="D900" s="764"/>
      <c r="E900" s="776"/>
      <c r="F900" s="687"/>
      <c r="G900" s="777"/>
      <c r="H900" s="687"/>
      <c r="I900" s="775"/>
      <c r="J900" s="764"/>
      <c r="K900" s="689"/>
      <c r="L900" s="764"/>
    </row>
    <row r="901">
      <c r="A901" s="764"/>
      <c r="B901" s="775"/>
      <c r="C901" s="764"/>
      <c r="D901" s="764"/>
      <c r="E901" s="776"/>
      <c r="F901" s="687"/>
      <c r="G901" s="777"/>
      <c r="H901" s="687"/>
      <c r="I901" s="775"/>
      <c r="J901" s="764"/>
      <c r="K901" s="689"/>
      <c r="L901" s="764"/>
    </row>
    <row r="902">
      <c r="A902" s="764"/>
      <c r="B902" s="775"/>
      <c r="C902" s="764"/>
      <c r="D902" s="764"/>
      <c r="E902" s="776"/>
      <c r="F902" s="687"/>
      <c r="G902" s="777"/>
      <c r="H902" s="687"/>
      <c r="I902" s="775"/>
      <c r="J902" s="764"/>
      <c r="K902" s="689"/>
      <c r="L902" s="764"/>
    </row>
    <row r="903">
      <c r="A903" s="764"/>
      <c r="B903" s="775"/>
      <c r="C903" s="764"/>
      <c r="D903" s="764"/>
      <c r="E903" s="776"/>
      <c r="F903" s="687"/>
      <c r="G903" s="777"/>
      <c r="H903" s="687"/>
      <c r="I903" s="775"/>
      <c r="J903" s="764"/>
      <c r="K903" s="689"/>
      <c r="L903" s="764"/>
    </row>
    <row r="904">
      <c r="A904" s="764"/>
      <c r="B904" s="775"/>
      <c r="C904" s="764"/>
      <c r="D904" s="764"/>
      <c r="E904" s="776"/>
      <c r="F904" s="687"/>
      <c r="G904" s="777"/>
      <c r="H904" s="687"/>
      <c r="I904" s="775"/>
      <c r="J904" s="764"/>
      <c r="K904" s="689"/>
      <c r="L904" s="764"/>
    </row>
    <row r="905">
      <c r="A905" s="764"/>
      <c r="B905" s="775"/>
      <c r="C905" s="764"/>
      <c r="D905" s="764"/>
      <c r="E905" s="776"/>
      <c r="F905" s="687"/>
      <c r="G905" s="777"/>
      <c r="H905" s="687"/>
      <c r="I905" s="775"/>
      <c r="J905" s="764"/>
      <c r="K905" s="689"/>
      <c r="L905" s="764"/>
    </row>
    <row r="906">
      <c r="A906" s="764"/>
      <c r="B906" s="775"/>
      <c r="C906" s="764"/>
      <c r="D906" s="764"/>
      <c r="E906" s="776"/>
      <c r="F906" s="687"/>
      <c r="G906" s="777"/>
      <c r="H906" s="687"/>
      <c r="I906" s="775"/>
      <c r="J906" s="764"/>
      <c r="K906" s="689"/>
      <c r="L906" s="764"/>
    </row>
    <row r="907">
      <c r="A907" s="764"/>
      <c r="B907" s="775"/>
      <c r="C907" s="764"/>
      <c r="D907" s="764"/>
      <c r="E907" s="776"/>
      <c r="F907" s="687"/>
      <c r="G907" s="777"/>
      <c r="H907" s="687"/>
      <c r="I907" s="775"/>
      <c r="J907" s="764"/>
      <c r="K907" s="689"/>
      <c r="L907" s="764"/>
    </row>
    <row r="908">
      <c r="A908" s="764"/>
      <c r="B908" s="775"/>
      <c r="C908" s="764"/>
      <c r="D908" s="764"/>
      <c r="E908" s="776"/>
      <c r="F908" s="687"/>
      <c r="G908" s="777"/>
      <c r="H908" s="687"/>
      <c r="I908" s="775"/>
      <c r="J908" s="764"/>
      <c r="K908" s="689"/>
      <c r="L908" s="764"/>
    </row>
    <row r="909">
      <c r="A909" s="764"/>
      <c r="B909" s="775"/>
      <c r="C909" s="764"/>
      <c r="D909" s="764"/>
      <c r="E909" s="776"/>
      <c r="F909" s="687"/>
      <c r="G909" s="777"/>
      <c r="H909" s="687"/>
      <c r="I909" s="775"/>
      <c r="J909" s="764"/>
      <c r="K909" s="689"/>
      <c r="L909" s="764"/>
    </row>
    <row r="910">
      <c r="A910" s="764"/>
      <c r="B910" s="775"/>
      <c r="C910" s="764"/>
      <c r="D910" s="764"/>
      <c r="E910" s="776"/>
      <c r="F910" s="687"/>
      <c r="G910" s="777"/>
      <c r="H910" s="687"/>
      <c r="I910" s="775"/>
      <c r="J910" s="764"/>
      <c r="K910" s="689"/>
      <c r="L910" s="764"/>
    </row>
    <row r="911">
      <c r="A911" s="764"/>
      <c r="B911" s="775"/>
      <c r="C911" s="764"/>
      <c r="D911" s="764"/>
      <c r="E911" s="776"/>
      <c r="F911" s="687"/>
      <c r="G911" s="777"/>
      <c r="H911" s="687"/>
      <c r="I911" s="775"/>
      <c r="J911" s="764"/>
      <c r="K911" s="689"/>
      <c r="L911" s="764"/>
    </row>
    <row r="912">
      <c r="A912" s="764"/>
      <c r="B912" s="775"/>
      <c r="C912" s="764"/>
      <c r="D912" s="764"/>
      <c r="E912" s="776"/>
      <c r="F912" s="687"/>
      <c r="G912" s="777"/>
      <c r="H912" s="687"/>
      <c r="I912" s="775"/>
      <c r="J912" s="764"/>
      <c r="K912" s="689"/>
      <c r="L912" s="764"/>
    </row>
    <row r="913">
      <c r="A913" s="764"/>
      <c r="B913" s="775"/>
      <c r="C913" s="764"/>
      <c r="D913" s="764"/>
      <c r="E913" s="776"/>
      <c r="F913" s="687"/>
      <c r="G913" s="777"/>
      <c r="H913" s="687"/>
      <c r="I913" s="775"/>
      <c r="J913" s="764"/>
      <c r="K913" s="689"/>
      <c r="L913" s="764"/>
    </row>
    <row r="914">
      <c r="A914" s="764"/>
      <c r="B914" s="775"/>
      <c r="C914" s="764"/>
      <c r="D914" s="764"/>
      <c r="E914" s="776"/>
      <c r="F914" s="687"/>
      <c r="G914" s="777"/>
      <c r="H914" s="687"/>
      <c r="I914" s="775"/>
      <c r="J914" s="764"/>
      <c r="K914" s="689"/>
      <c r="L914" s="764"/>
    </row>
    <row r="915">
      <c r="A915" s="764"/>
      <c r="B915" s="775"/>
      <c r="C915" s="764"/>
      <c r="D915" s="764"/>
      <c r="E915" s="776"/>
      <c r="F915" s="687"/>
      <c r="G915" s="777"/>
      <c r="H915" s="687"/>
      <c r="I915" s="775"/>
      <c r="J915" s="764"/>
      <c r="K915" s="689"/>
      <c r="L915" s="764"/>
    </row>
    <row r="916">
      <c r="A916" s="764"/>
      <c r="B916" s="775"/>
      <c r="C916" s="764"/>
      <c r="D916" s="764"/>
      <c r="E916" s="776"/>
      <c r="F916" s="687"/>
      <c r="G916" s="777"/>
      <c r="H916" s="687"/>
      <c r="I916" s="775"/>
      <c r="J916" s="764"/>
      <c r="K916" s="689"/>
      <c r="L916" s="764"/>
    </row>
    <row r="917">
      <c r="A917" s="764"/>
      <c r="B917" s="775"/>
      <c r="C917" s="764"/>
      <c r="D917" s="764"/>
      <c r="E917" s="776"/>
      <c r="F917" s="687"/>
      <c r="G917" s="777"/>
      <c r="H917" s="687"/>
      <c r="I917" s="775"/>
      <c r="J917" s="764"/>
      <c r="K917" s="689"/>
      <c r="L917" s="764"/>
    </row>
    <row r="918">
      <c r="A918" s="764"/>
      <c r="B918" s="775"/>
      <c r="C918" s="764"/>
      <c r="D918" s="764"/>
      <c r="E918" s="776"/>
      <c r="F918" s="687"/>
      <c r="G918" s="777"/>
      <c r="H918" s="687"/>
      <c r="I918" s="775"/>
      <c r="J918" s="764"/>
      <c r="K918" s="689"/>
      <c r="L918" s="764"/>
    </row>
    <row r="919">
      <c r="A919" s="764"/>
      <c r="B919" s="775"/>
      <c r="C919" s="764"/>
      <c r="D919" s="764"/>
      <c r="E919" s="776"/>
      <c r="F919" s="687"/>
      <c r="G919" s="777"/>
      <c r="H919" s="687"/>
      <c r="I919" s="775"/>
      <c r="J919" s="764"/>
      <c r="K919" s="689"/>
      <c r="L919" s="764"/>
    </row>
    <row r="920">
      <c r="A920" s="764"/>
      <c r="B920" s="775"/>
      <c r="C920" s="764"/>
      <c r="D920" s="764"/>
      <c r="E920" s="776"/>
      <c r="F920" s="687"/>
      <c r="G920" s="777"/>
      <c r="H920" s="687"/>
      <c r="I920" s="775"/>
      <c r="J920" s="764"/>
      <c r="K920" s="689"/>
      <c r="L920" s="764"/>
    </row>
    <row r="921">
      <c r="A921" s="764"/>
      <c r="B921" s="775"/>
      <c r="C921" s="764"/>
      <c r="D921" s="764"/>
      <c r="E921" s="776"/>
      <c r="F921" s="687"/>
      <c r="G921" s="777"/>
      <c r="H921" s="687"/>
      <c r="I921" s="775"/>
      <c r="J921" s="764"/>
      <c r="K921" s="689"/>
      <c r="L921" s="764"/>
    </row>
    <row r="922">
      <c r="A922" s="764"/>
      <c r="B922" s="775"/>
      <c r="C922" s="764"/>
      <c r="D922" s="764"/>
      <c r="E922" s="776"/>
      <c r="F922" s="687"/>
      <c r="G922" s="777"/>
      <c r="H922" s="687"/>
      <c r="I922" s="775"/>
      <c r="J922" s="764"/>
      <c r="K922" s="689"/>
      <c r="L922" s="764"/>
    </row>
    <row r="923">
      <c r="A923" s="764"/>
      <c r="B923" s="775"/>
      <c r="C923" s="764"/>
      <c r="D923" s="764"/>
      <c r="E923" s="776"/>
      <c r="F923" s="687"/>
      <c r="G923" s="777"/>
      <c r="H923" s="687"/>
      <c r="I923" s="775"/>
      <c r="J923" s="764"/>
      <c r="K923" s="689"/>
      <c r="L923" s="764"/>
    </row>
    <row r="924">
      <c r="A924" s="764"/>
      <c r="B924" s="775"/>
      <c r="C924" s="764"/>
      <c r="D924" s="764"/>
      <c r="E924" s="776"/>
      <c r="F924" s="687"/>
      <c r="G924" s="777"/>
      <c r="H924" s="687"/>
      <c r="I924" s="775"/>
      <c r="J924" s="764"/>
      <c r="K924" s="689"/>
      <c r="L924" s="764"/>
    </row>
    <row r="925">
      <c r="A925" s="764"/>
      <c r="B925" s="775"/>
      <c r="C925" s="764"/>
      <c r="D925" s="764"/>
      <c r="E925" s="776"/>
      <c r="F925" s="687"/>
      <c r="G925" s="777"/>
      <c r="H925" s="687"/>
      <c r="I925" s="775"/>
      <c r="J925" s="764"/>
      <c r="K925" s="689"/>
      <c r="L925" s="764"/>
    </row>
    <row r="926">
      <c r="A926" s="764"/>
      <c r="B926" s="775"/>
      <c r="C926" s="764"/>
      <c r="D926" s="764"/>
      <c r="E926" s="776"/>
      <c r="F926" s="687"/>
      <c r="G926" s="777"/>
      <c r="H926" s="687"/>
      <c r="I926" s="775"/>
      <c r="J926" s="764"/>
      <c r="K926" s="689"/>
      <c r="L926" s="764"/>
    </row>
    <row r="927">
      <c r="A927" s="764"/>
      <c r="B927" s="775"/>
      <c r="C927" s="764"/>
      <c r="D927" s="764"/>
      <c r="E927" s="776"/>
      <c r="F927" s="687"/>
      <c r="G927" s="777"/>
      <c r="H927" s="687"/>
      <c r="I927" s="775"/>
      <c r="J927" s="764"/>
      <c r="K927" s="689"/>
      <c r="L927" s="764"/>
    </row>
    <row r="928">
      <c r="A928" s="764"/>
      <c r="B928" s="775"/>
      <c r="C928" s="764"/>
      <c r="D928" s="764"/>
      <c r="E928" s="776"/>
      <c r="F928" s="687"/>
      <c r="G928" s="777"/>
      <c r="H928" s="687"/>
      <c r="I928" s="775"/>
      <c r="J928" s="764"/>
      <c r="K928" s="689"/>
      <c r="L928" s="764"/>
    </row>
    <row r="929">
      <c r="A929" s="764"/>
      <c r="B929" s="775"/>
      <c r="C929" s="764"/>
      <c r="D929" s="764"/>
      <c r="E929" s="776"/>
      <c r="F929" s="687"/>
      <c r="G929" s="777"/>
      <c r="H929" s="687"/>
      <c r="I929" s="775"/>
      <c r="J929" s="764"/>
      <c r="K929" s="689"/>
      <c r="L929" s="764"/>
    </row>
    <row r="930">
      <c r="A930" s="764"/>
      <c r="B930" s="775"/>
      <c r="C930" s="764"/>
      <c r="D930" s="764"/>
      <c r="E930" s="776"/>
      <c r="F930" s="687"/>
      <c r="G930" s="777"/>
      <c r="H930" s="687"/>
      <c r="I930" s="775"/>
      <c r="J930" s="764"/>
      <c r="K930" s="689"/>
      <c r="L930" s="764"/>
    </row>
    <row r="931">
      <c r="A931" s="764"/>
      <c r="B931" s="775"/>
      <c r="C931" s="764"/>
      <c r="D931" s="764"/>
      <c r="E931" s="776"/>
      <c r="F931" s="687"/>
      <c r="G931" s="777"/>
      <c r="H931" s="687"/>
      <c r="I931" s="775"/>
      <c r="J931" s="764"/>
      <c r="K931" s="689"/>
      <c r="L931" s="764"/>
    </row>
    <row r="932">
      <c r="A932" s="764"/>
      <c r="B932" s="775"/>
      <c r="C932" s="764"/>
      <c r="D932" s="764"/>
      <c r="E932" s="776"/>
      <c r="F932" s="687"/>
      <c r="G932" s="777"/>
      <c r="H932" s="687"/>
      <c r="I932" s="775"/>
      <c r="J932" s="764"/>
      <c r="K932" s="689"/>
      <c r="L932" s="764"/>
    </row>
    <row r="933">
      <c r="A933" s="764"/>
      <c r="B933" s="775"/>
      <c r="C933" s="764"/>
      <c r="D933" s="764"/>
      <c r="E933" s="776"/>
      <c r="F933" s="687"/>
      <c r="G933" s="777"/>
      <c r="H933" s="687"/>
      <c r="I933" s="775"/>
      <c r="J933" s="764"/>
      <c r="K933" s="689"/>
      <c r="L933" s="764"/>
    </row>
    <row r="934">
      <c r="A934" s="764"/>
      <c r="B934" s="775"/>
      <c r="C934" s="764"/>
      <c r="D934" s="764"/>
      <c r="E934" s="776"/>
      <c r="F934" s="687"/>
      <c r="G934" s="777"/>
      <c r="H934" s="687"/>
      <c r="I934" s="775"/>
      <c r="J934" s="764"/>
      <c r="K934" s="689"/>
      <c r="L934" s="764"/>
    </row>
    <row r="935">
      <c r="A935" s="764"/>
      <c r="B935" s="775"/>
      <c r="C935" s="764"/>
      <c r="D935" s="764"/>
      <c r="E935" s="776"/>
      <c r="F935" s="687"/>
      <c r="G935" s="777"/>
      <c r="H935" s="687"/>
      <c r="I935" s="775"/>
      <c r="J935" s="764"/>
      <c r="K935" s="689"/>
      <c r="L935" s="764"/>
    </row>
    <row r="936">
      <c r="A936" s="764"/>
      <c r="B936" s="775"/>
      <c r="C936" s="764"/>
      <c r="D936" s="764"/>
      <c r="E936" s="776"/>
      <c r="F936" s="687"/>
      <c r="G936" s="777"/>
      <c r="H936" s="687"/>
      <c r="I936" s="775"/>
      <c r="J936" s="764"/>
      <c r="K936" s="689"/>
      <c r="L936" s="764"/>
    </row>
    <row r="937">
      <c r="A937" s="764"/>
      <c r="B937" s="775"/>
      <c r="C937" s="764"/>
      <c r="D937" s="764"/>
      <c r="E937" s="776"/>
      <c r="F937" s="687"/>
      <c r="G937" s="777"/>
      <c r="H937" s="687"/>
      <c r="I937" s="775"/>
      <c r="J937" s="764"/>
      <c r="K937" s="689"/>
      <c r="L937" s="764"/>
    </row>
    <row r="938">
      <c r="A938" s="764"/>
      <c r="B938" s="775"/>
      <c r="C938" s="764"/>
      <c r="D938" s="764"/>
      <c r="E938" s="776"/>
      <c r="F938" s="687"/>
      <c r="G938" s="777"/>
      <c r="H938" s="687"/>
      <c r="I938" s="775"/>
      <c r="J938" s="764"/>
      <c r="K938" s="689"/>
      <c r="L938" s="764"/>
    </row>
    <row r="939">
      <c r="A939" s="764"/>
      <c r="B939" s="775"/>
      <c r="C939" s="764"/>
      <c r="D939" s="764"/>
      <c r="E939" s="776"/>
      <c r="F939" s="687"/>
      <c r="G939" s="777"/>
      <c r="H939" s="687"/>
      <c r="I939" s="775"/>
      <c r="J939" s="764"/>
      <c r="K939" s="689"/>
      <c r="L939" s="764"/>
    </row>
    <row r="940">
      <c r="A940" s="764"/>
      <c r="B940" s="775"/>
      <c r="C940" s="764"/>
      <c r="D940" s="764"/>
      <c r="E940" s="776"/>
      <c r="F940" s="687"/>
      <c r="G940" s="777"/>
      <c r="H940" s="687"/>
      <c r="I940" s="775"/>
      <c r="J940" s="764"/>
      <c r="K940" s="689"/>
      <c r="L940" s="764"/>
    </row>
    <row r="941">
      <c r="A941" s="764"/>
      <c r="B941" s="775"/>
      <c r="C941" s="764"/>
      <c r="D941" s="764"/>
      <c r="E941" s="776"/>
      <c r="F941" s="687"/>
      <c r="G941" s="777"/>
      <c r="H941" s="687"/>
      <c r="I941" s="775"/>
      <c r="J941" s="764"/>
      <c r="K941" s="689"/>
      <c r="L941" s="764"/>
    </row>
    <row r="942">
      <c r="A942" s="764"/>
      <c r="B942" s="775"/>
      <c r="C942" s="764"/>
      <c r="D942" s="764"/>
      <c r="E942" s="776"/>
      <c r="F942" s="687"/>
      <c r="G942" s="777"/>
      <c r="H942" s="687"/>
      <c r="I942" s="775"/>
      <c r="J942" s="764"/>
      <c r="K942" s="689"/>
      <c r="L942" s="764"/>
    </row>
    <row r="943">
      <c r="A943" s="764"/>
      <c r="B943" s="775"/>
      <c r="C943" s="764"/>
      <c r="D943" s="764"/>
      <c r="E943" s="776"/>
      <c r="F943" s="687"/>
      <c r="G943" s="777"/>
      <c r="H943" s="687"/>
      <c r="I943" s="775"/>
      <c r="J943" s="764"/>
      <c r="K943" s="689"/>
      <c r="L943" s="764"/>
    </row>
    <row r="944">
      <c r="A944" s="764"/>
      <c r="B944" s="775"/>
      <c r="C944" s="764"/>
      <c r="D944" s="764"/>
      <c r="E944" s="776"/>
      <c r="F944" s="687"/>
      <c r="G944" s="777"/>
      <c r="H944" s="687"/>
      <c r="I944" s="775"/>
      <c r="J944" s="764"/>
      <c r="K944" s="689"/>
      <c r="L944" s="764"/>
    </row>
    <row r="945">
      <c r="A945" s="764"/>
      <c r="B945" s="775"/>
      <c r="C945" s="764"/>
      <c r="D945" s="764"/>
      <c r="E945" s="776"/>
      <c r="F945" s="687"/>
      <c r="G945" s="777"/>
      <c r="H945" s="687"/>
      <c r="I945" s="775"/>
      <c r="J945" s="764"/>
      <c r="K945" s="689"/>
      <c r="L945" s="764"/>
    </row>
    <row r="946">
      <c r="A946" s="764"/>
      <c r="B946" s="775"/>
      <c r="C946" s="764"/>
      <c r="D946" s="764"/>
      <c r="E946" s="776"/>
      <c r="F946" s="687"/>
      <c r="G946" s="777"/>
      <c r="H946" s="687"/>
      <c r="I946" s="775"/>
      <c r="J946" s="764"/>
      <c r="K946" s="689"/>
      <c r="L946" s="764"/>
    </row>
    <row r="947">
      <c r="A947" s="764"/>
      <c r="B947" s="775"/>
      <c r="C947" s="764"/>
      <c r="D947" s="764"/>
      <c r="E947" s="776"/>
      <c r="F947" s="687"/>
      <c r="G947" s="777"/>
      <c r="H947" s="687"/>
      <c r="I947" s="775"/>
      <c r="J947" s="764"/>
      <c r="K947" s="689"/>
      <c r="L947" s="764"/>
    </row>
    <row r="948">
      <c r="A948" s="764"/>
      <c r="B948" s="775"/>
      <c r="C948" s="764"/>
      <c r="D948" s="764"/>
      <c r="E948" s="776"/>
      <c r="F948" s="687"/>
      <c r="G948" s="777"/>
      <c r="H948" s="687"/>
      <c r="I948" s="775"/>
      <c r="J948" s="764"/>
      <c r="K948" s="689"/>
      <c r="L948" s="764"/>
    </row>
    <row r="949">
      <c r="A949" s="764"/>
      <c r="B949" s="775"/>
      <c r="C949" s="764"/>
      <c r="D949" s="764"/>
      <c r="E949" s="776"/>
      <c r="F949" s="687"/>
      <c r="G949" s="777"/>
      <c r="H949" s="687"/>
      <c r="I949" s="775"/>
      <c r="J949" s="764"/>
      <c r="K949" s="689"/>
      <c r="L949" s="764"/>
    </row>
    <row r="950">
      <c r="A950" s="764"/>
      <c r="B950" s="775"/>
      <c r="C950" s="764"/>
      <c r="D950" s="764"/>
      <c r="E950" s="776"/>
      <c r="F950" s="687"/>
      <c r="G950" s="777"/>
      <c r="H950" s="687"/>
      <c r="I950" s="775"/>
      <c r="J950" s="764"/>
      <c r="K950" s="689"/>
      <c r="L950" s="764"/>
    </row>
    <row r="951">
      <c r="A951" s="764"/>
      <c r="B951" s="775"/>
      <c r="C951" s="764"/>
      <c r="D951" s="764"/>
      <c r="E951" s="776"/>
      <c r="F951" s="687"/>
      <c r="G951" s="777"/>
      <c r="H951" s="687"/>
      <c r="I951" s="775"/>
      <c r="J951" s="764"/>
      <c r="K951" s="689"/>
      <c r="L951" s="764"/>
    </row>
    <row r="952">
      <c r="A952" s="764"/>
      <c r="B952" s="775"/>
      <c r="C952" s="764"/>
      <c r="D952" s="764"/>
      <c r="E952" s="776"/>
      <c r="F952" s="687"/>
      <c r="G952" s="777"/>
      <c r="H952" s="687"/>
      <c r="I952" s="775"/>
      <c r="J952" s="764"/>
      <c r="K952" s="689"/>
      <c r="L952" s="764"/>
    </row>
    <row r="953">
      <c r="A953" s="764"/>
      <c r="B953" s="775"/>
      <c r="C953" s="764"/>
      <c r="D953" s="764"/>
      <c r="E953" s="776"/>
      <c r="F953" s="687"/>
      <c r="G953" s="777"/>
      <c r="H953" s="687"/>
      <c r="I953" s="775"/>
      <c r="J953" s="764"/>
      <c r="K953" s="689"/>
      <c r="L953" s="764"/>
    </row>
    <row r="954">
      <c r="A954" s="764"/>
      <c r="B954" s="775"/>
      <c r="C954" s="764"/>
      <c r="D954" s="764"/>
      <c r="E954" s="776"/>
      <c r="F954" s="687"/>
      <c r="G954" s="777"/>
      <c r="H954" s="687"/>
      <c r="I954" s="775"/>
      <c r="J954" s="764"/>
      <c r="K954" s="689"/>
      <c r="L954" s="764"/>
    </row>
    <row r="955">
      <c r="A955" s="764"/>
      <c r="B955" s="775"/>
      <c r="C955" s="764"/>
      <c r="D955" s="764"/>
      <c r="E955" s="776"/>
      <c r="F955" s="687"/>
      <c r="G955" s="777"/>
      <c r="H955" s="687"/>
      <c r="I955" s="775"/>
      <c r="J955" s="764"/>
      <c r="K955" s="689"/>
      <c r="L955" s="764"/>
    </row>
    <row r="956">
      <c r="A956" s="764"/>
      <c r="B956" s="775"/>
      <c r="C956" s="764"/>
      <c r="D956" s="764"/>
      <c r="E956" s="776"/>
      <c r="F956" s="687"/>
      <c r="G956" s="777"/>
      <c r="H956" s="687"/>
      <c r="I956" s="775"/>
      <c r="J956" s="764"/>
      <c r="K956" s="689"/>
      <c r="L956" s="764"/>
    </row>
    <row r="957">
      <c r="A957" s="764"/>
      <c r="B957" s="775"/>
      <c r="C957" s="764"/>
      <c r="D957" s="764"/>
      <c r="E957" s="776"/>
      <c r="F957" s="687"/>
      <c r="G957" s="777"/>
      <c r="H957" s="687"/>
      <c r="I957" s="775"/>
      <c r="J957" s="764"/>
      <c r="K957" s="689"/>
      <c r="L957" s="764"/>
    </row>
    <row r="958">
      <c r="A958" s="764"/>
      <c r="B958" s="775"/>
      <c r="C958" s="764"/>
      <c r="D958" s="764"/>
      <c r="E958" s="776"/>
      <c r="F958" s="687"/>
      <c r="G958" s="777"/>
      <c r="H958" s="687"/>
      <c r="I958" s="775"/>
      <c r="J958" s="764"/>
      <c r="K958" s="689"/>
      <c r="L958" s="764"/>
    </row>
    <row r="959">
      <c r="A959" s="764"/>
      <c r="B959" s="775"/>
      <c r="C959" s="764"/>
      <c r="D959" s="764"/>
      <c r="E959" s="776"/>
      <c r="F959" s="687"/>
      <c r="G959" s="777"/>
      <c r="H959" s="687"/>
      <c r="I959" s="775"/>
      <c r="J959" s="764"/>
      <c r="K959" s="689"/>
      <c r="L959" s="764"/>
    </row>
    <row r="960">
      <c r="A960" s="764"/>
      <c r="B960" s="775"/>
      <c r="C960" s="764"/>
      <c r="D960" s="764"/>
      <c r="E960" s="776"/>
      <c r="F960" s="687"/>
      <c r="G960" s="777"/>
      <c r="H960" s="687"/>
      <c r="I960" s="775"/>
      <c r="J960" s="764"/>
      <c r="K960" s="689"/>
      <c r="L960" s="764"/>
    </row>
    <row r="961">
      <c r="A961" s="764"/>
      <c r="B961" s="775"/>
      <c r="C961" s="764"/>
      <c r="D961" s="764"/>
      <c r="E961" s="776"/>
      <c r="F961" s="687"/>
      <c r="G961" s="777"/>
      <c r="H961" s="687"/>
      <c r="I961" s="775"/>
      <c r="J961" s="764"/>
      <c r="K961" s="689"/>
      <c r="L961" s="764"/>
    </row>
    <row r="962">
      <c r="A962" s="764"/>
      <c r="B962" s="775"/>
      <c r="C962" s="764"/>
      <c r="D962" s="764"/>
      <c r="E962" s="776"/>
      <c r="F962" s="687"/>
      <c r="G962" s="777"/>
      <c r="H962" s="687"/>
      <c r="I962" s="775"/>
      <c r="J962" s="764"/>
      <c r="K962" s="689"/>
      <c r="L962" s="764"/>
    </row>
    <row r="963">
      <c r="A963" s="764"/>
      <c r="B963" s="775"/>
      <c r="C963" s="764"/>
      <c r="D963" s="764"/>
      <c r="E963" s="776"/>
      <c r="F963" s="687"/>
      <c r="G963" s="777"/>
      <c r="H963" s="687"/>
      <c r="I963" s="775"/>
      <c r="J963" s="764"/>
      <c r="K963" s="689"/>
      <c r="L963" s="764"/>
    </row>
    <row r="964">
      <c r="A964" s="764"/>
      <c r="B964" s="775"/>
      <c r="C964" s="764"/>
      <c r="D964" s="764"/>
      <c r="E964" s="776"/>
      <c r="F964" s="687"/>
      <c r="G964" s="777"/>
      <c r="H964" s="687"/>
      <c r="I964" s="775"/>
      <c r="J964" s="764"/>
      <c r="K964" s="689"/>
      <c r="L964" s="764"/>
    </row>
    <row r="965">
      <c r="A965" s="764"/>
      <c r="B965" s="775"/>
      <c r="C965" s="764"/>
      <c r="D965" s="764"/>
      <c r="E965" s="776"/>
      <c r="F965" s="687"/>
      <c r="G965" s="777"/>
      <c r="H965" s="687"/>
      <c r="I965" s="775"/>
      <c r="J965" s="764"/>
      <c r="K965" s="689"/>
      <c r="L965" s="764"/>
    </row>
    <row r="966">
      <c r="A966" s="764"/>
      <c r="B966" s="775"/>
      <c r="C966" s="764"/>
      <c r="D966" s="764"/>
      <c r="E966" s="776"/>
      <c r="F966" s="687"/>
      <c r="G966" s="777"/>
      <c r="H966" s="687"/>
      <c r="I966" s="775"/>
      <c r="J966" s="764"/>
      <c r="K966" s="689"/>
      <c r="L966" s="764"/>
    </row>
    <row r="967">
      <c r="A967" s="764"/>
      <c r="B967" s="775"/>
      <c r="C967" s="764"/>
      <c r="D967" s="764"/>
      <c r="E967" s="776"/>
      <c r="F967" s="687"/>
      <c r="G967" s="777"/>
      <c r="H967" s="687"/>
      <c r="I967" s="775"/>
      <c r="J967" s="764"/>
      <c r="K967" s="689"/>
      <c r="L967" s="764"/>
    </row>
    <row r="968">
      <c r="A968" s="764"/>
      <c r="B968" s="775"/>
      <c r="C968" s="764"/>
      <c r="D968" s="764"/>
      <c r="E968" s="776"/>
      <c r="F968" s="687"/>
      <c r="G968" s="777"/>
      <c r="H968" s="687"/>
      <c r="I968" s="775"/>
      <c r="J968" s="764"/>
      <c r="K968" s="689"/>
      <c r="L968" s="764"/>
    </row>
    <row r="969">
      <c r="A969" s="764"/>
      <c r="B969" s="775"/>
      <c r="C969" s="764"/>
      <c r="D969" s="764"/>
      <c r="E969" s="776"/>
      <c r="F969" s="687"/>
      <c r="G969" s="777"/>
      <c r="H969" s="687"/>
      <c r="I969" s="775"/>
      <c r="J969" s="764"/>
      <c r="K969" s="689"/>
      <c r="L969" s="764"/>
    </row>
    <row r="970">
      <c r="A970" s="764"/>
      <c r="B970" s="775"/>
      <c r="C970" s="764"/>
      <c r="D970" s="764"/>
      <c r="E970" s="776"/>
      <c r="F970" s="687"/>
      <c r="G970" s="777"/>
      <c r="H970" s="687"/>
      <c r="I970" s="775"/>
      <c r="J970" s="764"/>
      <c r="K970" s="689"/>
      <c r="L970" s="764"/>
    </row>
    <row r="971">
      <c r="A971" s="764"/>
      <c r="B971" s="775"/>
      <c r="C971" s="764"/>
      <c r="D971" s="764"/>
      <c r="E971" s="776"/>
      <c r="F971" s="687"/>
      <c r="G971" s="777"/>
      <c r="H971" s="687"/>
      <c r="I971" s="775"/>
      <c r="J971" s="764"/>
      <c r="K971" s="689"/>
      <c r="L971" s="764"/>
    </row>
    <row r="972">
      <c r="A972" s="764"/>
      <c r="B972" s="775"/>
      <c r="C972" s="764"/>
      <c r="D972" s="764"/>
      <c r="E972" s="776"/>
      <c r="F972" s="687"/>
      <c r="G972" s="777"/>
      <c r="H972" s="687"/>
      <c r="I972" s="775"/>
      <c r="J972" s="764"/>
      <c r="K972" s="689"/>
      <c r="L972" s="764"/>
    </row>
    <row r="973">
      <c r="A973" s="764"/>
      <c r="B973" s="775"/>
      <c r="C973" s="764"/>
      <c r="D973" s="764"/>
      <c r="E973" s="776"/>
      <c r="F973" s="687"/>
      <c r="G973" s="777"/>
      <c r="H973" s="687"/>
      <c r="I973" s="775"/>
      <c r="J973" s="764"/>
      <c r="K973" s="689"/>
      <c r="L973" s="764"/>
    </row>
    <row r="974">
      <c r="A974" s="764"/>
      <c r="B974" s="775"/>
      <c r="C974" s="764"/>
      <c r="D974" s="764"/>
      <c r="E974" s="776"/>
      <c r="F974" s="687"/>
      <c r="G974" s="777"/>
      <c r="H974" s="687"/>
      <c r="I974" s="775"/>
      <c r="J974" s="764"/>
      <c r="K974" s="689"/>
      <c r="L974" s="764"/>
    </row>
    <row r="975">
      <c r="A975" s="764"/>
      <c r="B975" s="775"/>
      <c r="C975" s="764"/>
      <c r="D975" s="764"/>
      <c r="E975" s="776"/>
      <c r="F975" s="687"/>
      <c r="G975" s="777"/>
      <c r="H975" s="687"/>
      <c r="I975" s="775"/>
      <c r="J975" s="764"/>
      <c r="K975" s="689"/>
      <c r="L975" s="764"/>
    </row>
    <row r="976">
      <c r="A976" s="764"/>
      <c r="B976" s="775"/>
      <c r="C976" s="764"/>
      <c r="D976" s="764"/>
      <c r="E976" s="776"/>
      <c r="F976" s="687"/>
      <c r="G976" s="777"/>
      <c r="H976" s="687"/>
      <c r="I976" s="775"/>
      <c r="J976" s="764"/>
      <c r="K976" s="689"/>
      <c r="L976" s="764"/>
    </row>
    <row r="977">
      <c r="A977" s="764"/>
      <c r="B977" s="775"/>
      <c r="C977" s="764"/>
      <c r="D977" s="764"/>
      <c r="E977" s="776"/>
      <c r="F977" s="687"/>
      <c r="G977" s="777"/>
      <c r="H977" s="687"/>
      <c r="I977" s="775"/>
      <c r="J977" s="764"/>
      <c r="K977" s="689"/>
      <c r="L977" s="764"/>
    </row>
    <row r="978">
      <c r="A978" s="764"/>
      <c r="B978" s="775"/>
      <c r="C978" s="764"/>
      <c r="D978" s="764"/>
      <c r="E978" s="776"/>
      <c r="F978" s="687"/>
      <c r="G978" s="777"/>
      <c r="H978" s="687"/>
      <c r="I978" s="775"/>
      <c r="J978" s="764"/>
      <c r="K978" s="689"/>
      <c r="L978" s="764"/>
    </row>
    <row r="979">
      <c r="A979" s="764"/>
      <c r="B979" s="775"/>
      <c r="C979" s="764"/>
      <c r="D979" s="764"/>
      <c r="E979" s="776"/>
      <c r="F979" s="687"/>
      <c r="G979" s="777"/>
      <c r="H979" s="687"/>
      <c r="I979" s="775"/>
      <c r="J979" s="764"/>
      <c r="K979" s="689"/>
      <c r="L979" s="764"/>
    </row>
    <row r="980">
      <c r="A980" s="764"/>
      <c r="B980" s="775"/>
      <c r="C980" s="764"/>
      <c r="D980" s="764"/>
      <c r="E980" s="776"/>
      <c r="F980" s="687"/>
      <c r="G980" s="777"/>
      <c r="H980" s="687"/>
      <c r="I980" s="775"/>
      <c r="J980" s="764"/>
      <c r="K980" s="689"/>
      <c r="L980" s="764"/>
    </row>
    <row r="981">
      <c r="A981" s="764"/>
      <c r="B981" s="775"/>
      <c r="C981" s="764"/>
      <c r="D981" s="764"/>
      <c r="E981" s="776"/>
      <c r="F981" s="687"/>
      <c r="G981" s="777"/>
      <c r="H981" s="687"/>
      <c r="I981" s="775"/>
      <c r="J981" s="764"/>
      <c r="K981" s="689"/>
      <c r="L981" s="764"/>
    </row>
    <row r="982">
      <c r="A982" s="764"/>
      <c r="B982" s="775"/>
      <c r="C982" s="764"/>
      <c r="D982" s="764"/>
      <c r="E982" s="776"/>
      <c r="F982" s="687"/>
      <c r="G982" s="777"/>
      <c r="H982" s="687"/>
      <c r="I982" s="775"/>
      <c r="J982" s="764"/>
      <c r="K982" s="689"/>
      <c r="L982" s="764"/>
    </row>
    <row r="983">
      <c r="A983" s="764"/>
      <c r="B983" s="775"/>
      <c r="C983" s="764"/>
      <c r="D983" s="764"/>
      <c r="E983" s="776"/>
      <c r="F983" s="687"/>
      <c r="G983" s="777"/>
      <c r="H983" s="687"/>
      <c r="I983" s="775"/>
      <c r="J983" s="764"/>
      <c r="K983" s="689"/>
      <c r="L983" s="764"/>
    </row>
    <row r="984">
      <c r="A984" s="764"/>
      <c r="B984" s="775"/>
      <c r="C984" s="764"/>
      <c r="D984" s="764"/>
      <c r="E984" s="776"/>
      <c r="F984" s="687"/>
      <c r="G984" s="777"/>
      <c r="H984" s="687"/>
      <c r="I984" s="775"/>
      <c r="J984" s="764"/>
      <c r="K984" s="689"/>
      <c r="L984" s="764"/>
    </row>
    <row r="985">
      <c r="A985" s="764"/>
      <c r="B985" s="775"/>
      <c r="C985" s="764"/>
      <c r="D985" s="764"/>
      <c r="E985" s="776"/>
      <c r="F985" s="687"/>
      <c r="G985" s="777"/>
      <c r="H985" s="687"/>
      <c r="I985" s="775"/>
      <c r="J985" s="764"/>
      <c r="K985" s="689"/>
      <c r="L985" s="764"/>
    </row>
    <row r="986">
      <c r="A986" s="764"/>
      <c r="B986" s="775"/>
      <c r="C986" s="764"/>
      <c r="D986" s="764"/>
      <c r="E986" s="776"/>
      <c r="F986" s="687"/>
      <c r="G986" s="777"/>
      <c r="H986" s="687"/>
      <c r="I986" s="775"/>
      <c r="J986" s="764"/>
      <c r="K986" s="689"/>
      <c r="L986" s="764"/>
    </row>
    <row r="987">
      <c r="A987" s="764"/>
      <c r="B987" s="775"/>
      <c r="C987" s="764"/>
      <c r="D987" s="764"/>
      <c r="E987" s="776"/>
      <c r="F987" s="687"/>
      <c r="G987" s="777"/>
      <c r="H987" s="687"/>
      <c r="I987" s="775"/>
      <c r="J987" s="764"/>
      <c r="K987" s="689"/>
      <c r="L987" s="764"/>
    </row>
    <row r="988">
      <c r="A988" s="764"/>
      <c r="B988" s="775"/>
      <c r="C988" s="764"/>
      <c r="D988" s="764"/>
      <c r="E988" s="776"/>
      <c r="F988" s="687"/>
      <c r="G988" s="777"/>
      <c r="H988" s="687"/>
      <c r="I988" s="775"/>
      <c r="J988" s="764"/>
      <c r="K988" s="689"/>
      <c r="L988" s="764"/>
    </row>
    <row r="989">
      <c r="A989" s="764"/>
      <c r="B989" s="775"/>
      <c r="C989" s="764"/>
      <c r="D989" s="764"/>
      <c r="E989" s="776"/>
      <c r="F989" s="687"/>
      <c r="G989" s="777"/>
      <c r="H989" s="687"/>
      <c r="I989" s="775"/>
      <c r="J989" s="764"/>
      <c r="K989" s="689"/>
      <c r="L989" s="764"/>
    </row>
    <row r="990">
      <c r="A990" s="764"/>
      <c r="B990" s="775"/>
      <c r="C990" s="764"/>
      <c r="D990" s="764"/>
      <c r="E990" s="776"/>
      <c r="F990" s="687"/>
      <c r="G990" s="777"/>
      <c r="H990" s="687"/>
      <c r="I990" s="775"/>
      <c r="J990" s="764"/>
      <c r="K990" s="689"/>
      <c r="L990" s="764"/>
    </row>
    <row r="991">
      <c r="A991" s="764"/>
      <c r="B991" s="775"/>
      <c r="C991" s="764"/>
      <c r="D991" s="764"/>
      <c r="E991" s="776"/>
      <c r="F991" s="687"/>
      <c r="G991" s="777"/>
      <c r="H991" s="687"/>
      <c r="I991" s="775"/>
      <c r="J991" s="764"/>
      <c r="K991" s="689"/>
      <c r="L991" s="764"/>
    </row>
    <row r="992">
      <c r="A992" s="764"/>
      <c r="B992" s="775"/>
      <c r="C992" s="764"/>
      <c r="D992" s="764"/>
      <c r="E992" s="776"/>
      <c r="F992" s="687"/>
      <c r="G992" s="777"/>
      <c r="H992" s="687"/>
      <c r="I992" s="775"/>
      <c r="J992" s="764"/>
      <c r="K992" s="689"/>
      <c r="L992" s="764"/>
    </row>
    <row r="993">
      <c r="A993" s="764"/>
      <c r="B993" s="775"/>
      <c r="C993" s="764"/>
      <c r="D993" s="764"/>
      <c r="E993" s="776"/>
      <c r="F993" s="687"/>
      <c r="G993" s="777"/>
      <c r="H993" s="687"/>
      <c r="I993" s="775"/>
      <c r="J993" s="764"/>
      <c r="K993" s="689"/>
      <c r="L993" s="764"/>
    </row>
    <row r="994">
      <c r="A994" s="764"/>
      <c r="B994" s="775"/>
      <c r="C994" s="764"/>
      <c r="D994" s="764"/>
      <c r="E994" s="776"/>
      <c r="F994" s="687"/>
      <c r="G994" s="777"/>
      <c r="H994" s="687"/>
      <c r="I994" s="775"/>
      <c r="J994" s="764"/>
      <c r="K994" s="689"/>
      <c r="L994" s="764"/>
    </row>
    <row r="995">
      <c r="A995" s="764"/>
      <c r="B995" s="775"/>
      <c r="C995" s="764"/>
      <c r="D995" s="764"/>
      <c r="E995" s="776"/>
      <c r="F995" s="687"/>
      <c r="G995" s="777"/>
      <c r="H995" s="687"/>
      <c r="I995" s="775"/>
      <c r="J995" s="764"/>
      <c r="K995" s="689"/>
      <c r="L995" s="764"/>
    </row>
    <row r="996">
      <c r="A996" s="764"/>
      <c r="B996" s="775"/>
      <c r="C996" s="764"/>
      <c r="D996" s="764"/>
      <c r="E996" s="776"/>
      <c r="F996" s="687"/>
      <c r="G996" s="777"/>
      <c r="H996" s="687"/>
      <c r="I996" s="775"/>
      <c r="J996" s="764"/>
      <c r="K996" s="689"/>
      <c r="L996" s="764"/>
    </row>
    <row r="997">
      <c r="A997" s="764"/>
      <c r="B997" s="775"/>
      <c r="C997" s="764"/>
      <c r="D997" s="764"/>
      <c r="E997" s="776"/>
      <c r="F997" s="687"/>
      <c r="G997" s="777"/>
      <c r="H997" s="687"/>
      <c r="I997" s="775"/>
      <c r="J997" s="764"/>
      <c r="K997" s="689"/>
      <c r="L997" s="764"/>
    </row>
    <row r="998">
      <c r="A998" s="764"/>
      <c r="B998" s="775"/>
      <c r="C998" s="764"/>
      <c r="D998" s="764"/>
      <c r="E998" s="776"/>
      <c r="F998" s="687"/>
      <c r="G998" s="777"/>
      <c r="H998" s="687"/>
      <c r="I998" s="775"/>
      <c r="J998" s="764"/>
      <c r="K998" s="689"/>
      <c r="L998" s="764"/>
    </row>
    <row r="999">
      <c r="A999" s="764"/>
      <c r="B999" s="775"/>
      <c r="C999" s="764"/>
      <c r="D999" s="764"/>
      <c r="E999" s="776"/>
      <c r="F999" s="687"/>
      <c r="G999" s="777"/>
      <c r="H999" s="687"/>
      <c r="I999" s="775"/>
      <c r="J999" s="764"/>
      <c r="K999" s="689"/>
      <c r="L999" s="764"/>
    </row>
    <row r="1000">
      <c r="A1000" s="764"/>
      <c r="B1000" s="775"/>
      <c r="C1000" s="764"/>
      <c r="D1000" s="764"/>
      <c r="E1000" s="776"/>
      <c r="F1000" s="687"/>
      <c r="G1000" s="777"/>
      <c r="H1000" s="687"/>
      <c r="I1000" s="775"/>
      <c r="J1000" s="764"/>
      <c r="K1000" s="689"/>
      <c r="L1000" s="764"/>
    </row>
    <row r="1001">
      <c r="A1001" s="764"/>
      <c r="B1001" s="775"/>
      <c r="C1001" s="764"/>
      <c r="D1001" s="764"/>
      <c r="E1001" s="776"/>
      <c r="F1001" s="687"/>
      <c r="G1001" s="777"/>
      <c r="H1001" s="687"/>
      <c r="I1001" s="775"/>
      <c r="J1001" s="764"/>
      <c r="K1001" s="689"/>
      <c r="L1001" s="764"/>
    </row>
    <row r="1002">
      <c r="A1002" s="764"/>
      <c r="B1002" s="775"/>
      <c r="C1002" s="764"/>
      <c r="D1002" s="764"/>
      <c r="E1002" s="778"/>
      <c r="F1002" s="764"/>
      <c r="G1002" s="775"/>
      <c r="H1002" s="764"/>
      <c r="I1002" s="775"/>
      <c r="J1002" s="764"/>
      <c r="K1002" s="779"/>
      <c r="L1002" s="764"/>
    </row>
  </sheetData>
  <mergeCells count="11">
    <mergeCell ref="A83:A119"/>
    <mergeCell ref="A121:A137"/>
    <mergeCell ref="A139:A156"/>
    <mergeCell ref="A158:A221"/>
    <mergeCell ref="A1:E1"/>
    <mergeCell ref="I1:J1"/>
    <mergeCell ref="L1:L2"/>
    <mergeCell ref="A3:A23"/>
    <mergeCell ref="A25:A44"/>
    <mergeCell ref="A46:A54"/>
    <mergeCell ref="A56:A81"/>
  </mergeCells>
  <conditionalFormatting sqref="C126:D126 C128:D128 C134:D135 C139:D139 C147:D147 C149:D149 C161:D175 C177:D178 C180:D184 C188:D188 C193:D193 C195:D195 C197:D199 C203:D204 C208:D211 C221:D221">
    <cfRule type="containsText" dxfId="2" priority="1" operator="containsText" text="SO">
      <formula>NOT(ISERROR(SEARCH(("SO"),(C126))))</formula>
    </cfRule>
  </conditionalFormatting>
  <conditionalFormatting sqref="C126:D126 C128:D128 C134:D135 C139:D139 C147:D147 C149:D149 C161:D175 C177:D178 C180:D184 C188:D188 C193:D193 C195:D195 C197:D199 C203:D204 C208:D211 C221:D221">
    <cfRule type="containsText" dxfId="3" priority="2" operator="containsText" text="tegen">
      <formula>NOT(ISERROR(SEARCH(("tegen"),(C126))))</formula>
    </cfRule>
  </conditionalFormatting>
  <conditionalFormatting sqref="C126:D126 C128:D128 C134:D135 C139:D139 C147:D147 C149:D149 C161:D175 C177:D178 C180:D184 C188:D188 C193:D193 C195:D195 C197:D199 C203:D204 C208:D211 C221:D221">
    <cfRule type="containsText" dxfId="4" priority="3" operator="containsText" text="voor">
      <formula>NOT(ISERROR(SEARCH(("voor"),(C126))))</formula>
    </cfRule>
  </conditionalFormatting>
  <conditionalFormatting sqref="C126:D126 C128:D128 C134:D135 C139:D139 C147:D147 C149:D149 C161:D175 C177:D178 C180:D184 C188:D188 C193:D193 C195:D195 C197:D199 C203:D204 C208:D211 C221:D221">
    <cfRule type="cellIs" dxfId="5" priority="4" operator="equal">
      <formula>"NG"</formula>
    </cfRule>
  </conditionalFormatting>
  <conditionalFormatting sqref="C126:D126 C128:D128 C134:D135 C139:D139 C147:D147 C149:D149 C161:D175 C177:D178 C180:D184 C188:D188 C193:D193 C195:D195 C197:D199 C203:D204 C208:D211 C221:D221">
    <cfRule type="containsText" dxfId="6" priority="5" operator="containsText" text="NVT">
      <formula>NOT(ISERROR(SEARCH(("NVT"),(C126))))</formula>
    </cfRule>
  </conditionalFormatting>
  <conditionalFormatting sqref="C28:D28 C31:D31 C34:D34 C43:D43 D47 C62:D62 C97:D97 C156:D156">
    <cfRule type="containsText" dxfId="0" priority="6" operator="containsText" text="voor">
      <formula>NOT(ISERROR(SEARCH(("voor"),(C28))))</formula>
    </cfRule>
  </conditionalFormatting>
  <conditionalFormatting sqref="C28:D28 C31:D31 C34:D34 C43:D43 D47 C62:D62 C97:D97 C156:D156">
    <cfRule type="containsText" dxfId="1" priority="7" operator="containsText" text="tegen">
      <formula>NOT(ISERROR(SEARCH(("tegen"),(C28))))</formula>
    </cfRule>
  </conditionalFormatting>
  <conditionalFormatting sqref="G1:G1002">
    <cfRule type="containsText" dxfId="31" priority="8" operator="containsText" text="Aangenomen">
      <formula>NOT(ISERROR(SEARCH(("Aangenomen"),(G1))))</formula>
    </cfRule>
  </conditionalFormatting>
  <conditionalFormatting sqref="G1:G1002">
    <cfRule type="containsText" dxfId="32" priority="9" operator="containsText" text="Afgewezen">
      <formula>NOT(ISERROR(SEARCH(("Afgewezen"),(G1))))</formula>
    </cfRule>
  </conditionalFormatting>
  <conditionalFormatting sqref="G1:G1002">
    <cfRule type="containsText" dxfId="33" priority="10" operator="containsText" text="In afwachting">
      <formula>NOT(ISERROR(SEARCH(("In afwachting"),(G1))))</formula>
    </cfRule>
  </conditionalFormatting>
  <conditionalFormatting sqref="J1:J119 J121:J1002 G154 I192">
    <cfRule type="containsText" dxfId="34" priority="11" operator="containsText" text="Nee">
      <formula>NOT(ISERROR(SEARCH(("Nee"),(J1))))</formula>
    </cfRule>
  </conditionalFormatting>
  <conditionalFormatting sqref="J1:J119 J121:J1002 G154 I192">
    <cfRule type="containsText" dxfId="35" priority="12" operator="containsText" text="Ja">
      <formula>NOT(ISERROR(SEARCH(("Ja"),(J1))))</formula>
    </cfRule>
  </conditionalFormatting>
  <conditionalFormatting sqref="J1:J119 J121:J1002 G154 I192">
    <cfRule type="containsText" dxfId="6" priority="13" operator="containsText" text="NVT">
      <formula>NOT(ISERROR(SEARCH(("NVT"),(J1))))</formula>
    </cfRule>
  </conditionalFormatting>
  <hyperlinks>
    <hyperlink r:id="rId2" ref="E159"/>
    <hyperlink r:id="rId3" ref="E160"/>
    <hyperlink r:id="rId4" ref="E161"/>
    <hyperlink r:id="rId5" ref="E162"/>
    <hyperlink r:id="rId6" ref="E163"/>
    <hyperlink r:id="rId7" ref="E164"/>
    <hyperlink r:id="rId8" ref="E165"/>
    <hyperlink r:id="rId9" ref="E166"/>
    <hyperlink r:id="rId10" ref="E167"/>
    <hyperlink r:id="rId11" ref="E168"/>
    <hyperlink r:id="rId12" ref="E169"/>
    <hyperlink r:id="rId13" ref="E170"/>
    <hyperlink r:id="rId14" ref="E171"/>
    <hyperlink r:id="rId15" ref="E172"/>
    <hyperlink r:id="rId16" ref="E173"/>
    <hyperlink r:id="rId17" ref="E174"/>
    <hyperlink r:id="rId18" ref="E175"/>
    <hyperlink r:id="rId19" ref="E176"/>
    <hyperlink r:id="rId20" ref="E177"/>
    <hyperlink r:id="rId21" ref="E178"/>
    <hyperlink r:id="rId22" ref="E186"/>
    <hyperlink r:id="rId23" ref="E187"/>
    <hyperlink r:id="rId24" ref="E188"/>
    <hyperlink r:id="rId25" ref="E189"/>
    <hyperlink r:id="rId26" ref="E190"/>
    <hyperlink r:id="rId27" ref="E191"/>
    <hyperlink r:id="rId28" ref="E192"/>
    <hyperlink r:id="rId29" ref="E193"/>
    <hyperlink r:id="rId30" ref="E194"/>
    <hyperlink r:id="rId31" ref="E195"/>
    <hyperlink r:id="rId32" ref="E196"/>
    <hyperlink r:id="rId33" ref="E197"/>
    <hyperlink r:id="rId34" ref="E198"/>
    <hyperlink r:id="rId35" ref="E199"/>
    <hyperlink r:id="rId36" ref="E200"/>
    <hyperlink r:id="rId37" ref="E201"/>
    <hyperlink r:id="rId38" ref="E202"/>
    <hyperlink r:id="rId39" ref="E203"/>
    <hyperlink r:id="rId40" ref="E204"/>
    <hyperlink r:id="rId41" ref="E205"/>
    <hyperlink r:id="rId42" ref="E206"/>
    <hyperlink r:id="rId43" ref="E207"/>
    <hyperlink r:id="rId44" ref="E212"/>
  </hyperlinks>
  <drawing r:id="rId45"/>
  <legacyDrawing r:id="rId46"/>
</worksheet>
</file>