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3"/>
    <sheet state="visible" name="TK Stemoverzicht" sheetId="2" r:id="rId4"/>
    <sheet state="visible" name="EK Stemoverzicht" sheetId="3" r:id="rId5"/>
    <sheet state="visible" name="Moties" sheetId="4" r:id="rId6"/>
    <sheet state="visible" name="Wetsvoorstellen" sheetId="5" r:id="rId7"/>
    <sheet state="visible" name="Amendementen" sheetId="6" r:id="rId8"/>
    <sheet state="visible" name="Koninklijke Besluiten" sheetId="7" r:id="rId9"/>
    <sheet state="visible" name="Debatten &amp; Kamervragen" sheetId="8" r:id="rId10"/>
    <sheet state="visible" name="Kamerstukken" sheetId="9" r:id="rId11"/>
    <sheet state="visible" name="TK Stemoverzicht (Pre-Verkiezin" sheetId="10" r:id="rId12"/>
    <sheet state="visible" name="EK Stemoverzicht (Pre-Verkiezin" sheetId="11" r:id="rId13"/>
    <sheet state="visible" name="Activiteitensheet" sheetId="12" r:id="rId14"/>
    <sheet state="hidden" name="Verzoeken Aangenomen Motie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76">
      <text>
        <t xml:space="preserve">Mede ingediend door GROEN</t>
      </text>
    </comment>
    <comment authorId="0" ref="C277">
      <text>
        <t xml:space="preserve">Mede ingediend door VVD</t>
      </text>
    </comment>
    <comment authorId="0" ref="C278">
      <text>
        <t xml:space="preserve">Mede ingediend door LPU</t>
      </text>
    </comment>
    <comment authorId="0" ref="C280">
      <text>
        <t xml:space="preserve">Mede ingediend door CU en VVD</t>
      </text>
    </comment>
    <comment authorId="0" ref="C283">
      <text>
        <t xml:space="preserve">Mede ingediend door FVD</t>
      </text>
    </comment>
    <comment authorId="0" ref="C284">
      <text>
        <t xml:space="preserve">Mede ingediend door CU, GROEN en VVD</t>
      </text>
    </comment>
    <comment authorId="0" ref="C285">
      <text>
        <t xml:space="preserve">Mede ingediend door FVD</t>
      </text>
    </comment>
    <comment authorId="0" ref="C286">
      <text>
        <t xml:space="preserve">Mede ingediend door FVD</t>
      </text>
    </comment>
    <comment authorId="0" ref="C287">
      <text>
        <t xml:space="preserve">Mede ingediend door FVD</t>
      </text>
    </comment>
    <comment authorId="0" ref="C290">
      <text>
        <t xml:space="preserve">Mede ingediend door CU en FVD</t>
      </text>
    </comment>
    <comment authorId="0" ref="C304">
      <text>
        <t xml:space="preserve">Mede ingediend door VVD</t>
      </text>
    </comment>
    <comment authorId="0" ref="C305">
      <text>
        <t xml:space="preserve">Mede ingediend door SDAP</t>
      </text>
    </comment>
    <comment authorId="0" ref="C308">
      <text>
        <t xml:space="preserve">Mede ingediend door RPN en D66</t>
      </text>
    </comment>
    <comment authorId="0" ref="C313">
      <text>
        <t xml:space="preserve">Mede ingediend door SDAP</t>
      </text>
    </comment>
    <comment authorId="0" ref="C315">
      <text>
        <t xml:space="preserve">Mede ingediend door D66 en CU</t>
      </text>
    </comment>
    <comment authorId="0" ref="C316">
      <text>
        <t xml:space="preserve">Mede ingediend door D66</t>
      </text>
    </comment>
    <comment authorId="0" ref="C318">
      <text>
        <t xml:space="preserve">Mede ingediend door FvD en VVD</t>
      </text>
    </comment>
    <comment authorId="0" ref="C319">
      <text>
        <t xml:space="preserve">Mede ingediend door SDAP</t>
      </text>
    </comment>
    <comment authorId="0" ref="C320">
      <text>
        <t xml:space="preserve">Mede ingediend door RPN</t>
      </text>
    </comment>
    <comment authorId="0" ref="C321">
      <text>
        <t xml:space="preserve">Mede ingediend door SDAP</t>
      </text>
    </comment>
    <comment authorId="0" ref="C322">
      <text>
        <t xml:space="preserve">Mede ingediend door SDAP, RPN en GROEN</t>
      </text>
    </comment>
    <comment authorId="0" ref="C323">
      <text>
        <t xml:space="preserve">Mede ingediend door RPN en D66</t>
      </text>
    </comment>
    <comment authorId="0" ref="C326">
      <text>
        <t xml:space="preserve">Mede ingediend door VVD, SDAP, RPN. CU, FVD en GROEN</t>
      </text>
    </comment>
    <comment authorId="0" ref="C327">
      <text>
        <t xml:space="preserve">Mede ingediend door SDAP en RPN</t>
      </text>
    </comment>
    <comment authorId="0" ref="C328">
      <text>
        <t xml:space="preserve">Mede ingediend door D66 en FVD</t>
      </text>
    </comment>
    <comment authorId="0" ref="C329">
      <text>
        <t xml:space="preserve">Mede ingediend door D66</t>
      </text>
    </comment>
    <comment authorId="0" ref="C331">
      <text>
        <t xml:space="preserve">Mede ingediend door RPN</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"Ind-Ing" = Individueel Ingediend, dus los van de partij.</t>
      </text>
    </comment>
    <comment authorId="0" ref="C35">
      <text>
        <t xml:space="preserve">Bij uitzondering kreeg de RMTK Raad toestemming een kamerstuk in te dienen.</t>
      </text>
    </comment>
    <comment authorId="0" ref="C109">
      <text>
        <t xml:space="preserve">Mede ingediend door GROEN, D66 en Lijst Th8</t>
      </text>
    </comment>
    <comment authorId="0" ref="C110">
      <text>
        <t xml:space="preserve">Mede ingediend door GROEN, D66 en Lijst Th8</t>
      </text>
    </comment>
    <comment authorId="0" ref="C112">
      <text>
        <t xml:space="preserve">Mede ingediend door GROEN, D66 en Lijst Th8</t>
      </text>
    </comment>
    <comment authorId="0" ref="C134">
      <text>
        <t xml:space="preserve">Met steun van GROEN</t>
      </text>
    </comment>
  </commentList>
</comments>
</file>

<file path=xl/comments3.xml><?xml version="1.0" encoding="utf-8"?>
<comments xmlns:r="http://schemas.openxmlformats.org/officeDocument/2006/relationships" xmlns="http://schemas.openxmlformats.org/spreadsheetml/2006/main">
  <authors>
    <author/>
  </authors>
  <commentList>
    <comment authorId="0" ref="D1">
      <text>
        <t xml:space="preserve">"Ind-Ing" = Individueel Ingediend, dus los van de partij.</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"Ind-Ing" = Individueel Ingediend, dus los van de partij.</t>
      </text>
    </comment>
    <comment authorId="0" ref="C87">
      <text>
        <t xml:space="preserve">Mede ingediend door VVD en RPN</t>
      </text>
    </comment>
  </commentList>
</comments>
</file>

<file path=xl/comments5.xml><?xml version="1.0" encoding="utf-8"?>
<comments xmlns:r="http://schemas.openxmlformats.org/officeDocument/2006/relationships" xmlns="http://schemas.openxmlformats.org/spreadsheetml/2006/main">
  <authors>
    <author/>
  </authors>
  <commentList>
    <comment authorId="0" ref="B28">
      <text>
        <t xml:space="preserve">Had als KV gepost moeten worden</t>
      </text>
    </comment>
    <comment authorId="0" ref="B52">
      <text>
        <t xml:space="preserve">Had als KV gepost moeten worden</t>
      </text>
    </comment>
  </commentList>
</comments>
</file>

<file path=xl/comments6.xml><?xml version="1.0" encoding="utf-8"?>
<comments xmlns:r="http://schemas.openxmlformats.org/officeDocument/2006/relationships" xmlns="http://schemas.openxmlformats.org/spreadsheetml/2006/main">
  <authors>
    <author/>
  </authors>
  <commentList>
    <comment authorId="0" ref="G313">
      <text>
        <t xml:space="preserve">Wegens een administratieve fout zijn er 2 wetten aangemerkt als W0058. De defensienota is vanaf heden W0058, en de Wet ter Erkenning van de Nederlandse Gebarentaal W0058*</t>
      </text>
    </comment>
    <comment authorId="0" ref="H331">
      <text>
        <t xml:space="preserve">Wegens absentie stem gemachtigd.
</t>
      </text>
    </comment>
    <comment authorId="0" ref="I331">
      <text>
        <t xml:space="preserve">Wegens absentie stem gemachtigd.
</t>
      </text>
    </comment>
    <comment authorId="0" ref="J331">
      <text>
        <t xml:space="preserve">Wegens absentie stem gemachtigd.
</t>
      </text>
    </comment>
    <comment authorId="0" ref="K331">
      <text>
        <t xml:space="preserve">Wegens absentie stem gemachtigd.
</t>
      </text>
    </comment>
    <comment authorId="0" ref="L331">
      <text>
        <t xml:space="preserve">Wegens absentie stem gemachtigd.
</t>
      </text>
    </comment>
    <comment authorId="0" ref="M331">
      <text>
        <t xml:space="preserve">Wegens absentie stem gemachtigd.
</t>
      </text>
    </comment>
    <comment authorId="0" ref="N331">
      <text>
        <t xml:space="preserve">Wegens absentie stem gemachtigd.
</t>
      </text>
    </comment>
    <comment authorId="0" ref="O331">
      <text>
        <t xml:space="preserve">Wegens absentie stem gemachtigd.
</t>
      </text>
    </comment>
    <comment authorId="0" ref="H339">
      <text>
        <t xml:space="preserve">te laat gestemd
</t>
      </text>
    </comment>
    <comment authorId="0" ref="I339">
      <text>
        <t xml:space="preserve">te laat gestemd
</t>
      </text>
    </comment>
    <comment authorId="0" ref="J339">
      <text>
        <t xml:space="preserve">te laat gestemd
</t>
      </text>
    </comment>
    <comment authorId="0" ref="K339">
      <text>
        <t xml:space="preserve">te laat gestemd
</t>
      </text>
    </comment>
    <comment authorId="0" ref="L339">
      <text>
        <t xml:space="preserve">te laat gestemd
</t>
      </text>
    </comment>
    <comment authorId="0" ref="M339">
      <text>
        <t xml:space="preserve">te laat gestemd
</t>
      </text>
    </comment>
    <comment authorId="0" ref="N339">
      <text>
        <t xml:space="preserve">te laat gestemd
</t>
      </text>
    </comment>
    <comment authorId="0" ref="O339">
      <text>
        <t xml:space="preserve">te laat gestemd
</t>
      </text>
    </comment>
    <comment authorId="0" ref="AE368">
      <text>
        <t xml:space="preserve">Stem uitgebracht door /u/OKELEUK namens het lid wegens afwezigheid van genoemd lid.</t>
      </text>
    </comment>
    <comment authorId="0" ref="AF368">
      <text>
        <t xml:space="preserve">Stem uitgebracht door /u/OKELEUK namens het lid wegens afwezigheid van genoemd lid.</t>
      </text>
    </comment>
    <comment authorId="0" ref="AG368">
      <text>
        <t xml:space="preserve">Stem uitgebracht door /u/OKELEUK namens het lid wegens afwezigheid van genoemd lid.</t>
      </text>
    </comment>
    <comment authorId="0" ref="AE408">
      <text>
        <t xml:space="preserve">Stem uitgebracht door /u/OKELEUK namens het lid wegens afwezigheid van genoemd lid.</t>
      </text>
    </comment>
    <comment authorId="0" ref="AF408">
      <text>
        <t xml:space="preserve">Stem uitgebracht door /u/OKELEUK namens het lid wegens afwezigheid van genoemd lid.</t>
      </text>
    </comment>
    <comment authorId="0" ref="AG408">
      <text>
        <t xml:space="preserve">Stem uitgebracht door /u/OKELEUK namens het lid wegens afwezigheid van genoemd lid.</t>
      </text>
    </comment>
    <comment authorId="0" ref="AL416">
      <text>
        <t xml:space="preserve">Te laat gestemd.</t>
      </text>
    </comment>
    <comment authorId="0" ref="AM416">
      <text>
        <t xml:space="preserve">Te laat gestemd.</t>
      </text>
    </comment>
    <comment authorId="0" ref="AN416">
      <text>
        <t xml:space="preserve">Te laat gestemd.</t>
      </text>
    </comment>
    <comment authorId="0" ref="AO416">
      <text>
        <t xml:space="preserve">Te laat gestemd.</t>
      </text>
    </comment>
    <comment authorId="0" ref="AP416">
      <text>
        <t xml:space="preserve">Te laat gestemd.</t>
      </text>
    </comment>
    <comment authorId="0" ref="C447">
      <text>
        <t xml:space="preserve">PVV verliet de coalitie in begin maart</t>
      </text>
    </comment>
    <comment authorId="0" ref="C448">
      <text>
        <t xml:space="preserve">PVV verliet de coalitie in begin maart</t>
      </text>
    </comment>
    <comment authorId="0" ref="C449">
      <text>
        <t xml:space="preserve">PVV verliet de coalitie in begin maart</t>
      </text>
    </comment>
    <comment authorId="0" ref="A476">
      <text>
        <t xml:space="preserve">PVV verliet de coalitie in begin maart</t>
      </text>
    </comment>
    <comment authorId="0" ref="C488">
      <text>
        <t xml:space="preserve">PVV verliet de coalitie in begin maart</t>
      </text>
    </comment>
    <comment authorId="0" ref="C489">
      <text>
        <t xml:space="preserve">PVV verliet de coalitie in begin maart</t>
      </text>
    </comment>
    <comment authorId="0" ref="C490">
      <text>
        <t xml:space="preserve">PVV verliet de coalitie in begin maart</t>
      </text>
    </comment>
  </commentList>
</comments>
</file>

<file path=xl/comments7.xml><?xml version="1.0" encoding="utf-8"?>
<comments xmlns:r="http://schemas.openxmlformats.org/officeDocument/2006/relationships" xmlns="http://schemas.openxmlformats.org/spreadsheetml/2006/main">
  <authors>
    <author/>
  </authors>
  <commentList>
    <comment authorId="0" ref="L152">
      <text>
        <t xml:space="preserve">Foutief tot stemming gebracht</t>
      </text>
    </comment>
    <comment authorId="0" ref="O152">
      <text>
        <t xml:space="preserve">Verworpen op basis van het ERVM</t>
      </text>
    </comment>
    <comment authorId="0" ref="P152">
      <text>
        <t xml:space="preserve">Verworpen op basis van het ERVM</t>
      </text>
    </comment>
    <comment authorId="0" ref="C243">
      <text>
        <t xml:space="preserve">PVV verliet de coalitie in begin maart</t>
      </text>
    </comment>
  </commentList>
</comments>
</file>

<file path=xl/comments8.xml><?xml version="1.0" encoding="utf-8"?>
<comments xmlns:r="http://schemas.openxmlformats.org/officeDocument/2006/relationships" xmlns="http://schemas.openxmlformats.org/spreadsheetml/2006/main">
  <authors>
    <author/>
  </authors>
  <commentList>
    <comment authorId="0" ref="I2">
      <text>
        <t xml:space="preserve">Aangenomen</t>
      </text>
    </comment>
    <comment authorId="0" ref="J2">
      <text>
        <t xml:space="preserve">Aangenomen</t>
      </text>
    </comment>
  </commentList>
</comments>
</file>

<file path=xl/sharedStrings.xml><?xml version="1.0" encoding="utf-8"?>
<sst xmlns="http://schemas.openxmlformats.org/spreadsheetml/2006/main" count="18137" uniqueCount="1396">
  <si>
    <t>/r/RMTK</t>
  </si>
  <si>
    <t>Reddit Model Tweede Kamer</t>
  </si>
  <si>
    <t>Stemoverzichten</t>
  </si>
  <si>
    <t>Actieve partijen in de Tweede Kamer en daarbuiten</t>
  </si>
  <si>
    <t>Partijprogramma's
actieve partijen</t>
  </si>
  <si>
    <t>Huidige Regering</t>
  </si>
  <si>
    <t>Overige Informatie</t>
  </si>
  <si>
    <t>Partij</t>
  </si>
  <si>
    <t>Afkorting</t>
  </si>
  <si>
    <t>Zetels</t>
  </si>
  <si>
    <t>Interimregering-jespertjee</t>
  </si>
  <si>
    <t>Volkspartij voor Vrijheid en Democratie</t>
  </si>
  <si>
    <t>VVD</t>
  </si>
  <si>
    <t>(VVD-D66-CU) + FVD</t>
  </si>
  <si>
    <t>Sociaal-Democratische Arbeiderspartij</t>
  </si>
  <si>
    <t>SDAP</t>
  </si>
  <si>
    <t>Kamerstukken</t>
  </si>
  <si>
    <t>Republikeinse Partij Nederland</t>
  </si>
  <si>
    <t>RPN</t>
  </si>
  <si>
    <t>Geschiedenis</t>
  </si>
  <si>
    <t>Democraten 66</t>
  </si>
  <si>
    <t>D66</t>
  </si>
  <si>
    <t>Forum voor Democratie</t>
  </si>
  <si>
    <t>FVD</t>
  </si>
  <si>
    <t>ChristenUnie</t>
  </si>
  <si>
    <t>CU</t>
  </si>
  <si>
    <t>Overige Subreddits</t>
  </si>
  <si>
    <t>Katholieke Volkspartij</t>
  </si>
  <si>
    <t>KVP</t>
  </si>
  <si>
    <t>-</t>
  </si>
  <si>
    <t>Verkiezing VII</t>
  </si>
  <si>
    <t xml:space="preserve">     Stemoverzicht Tweede Kamer der Staten-Generaal</t>
  </si>
  <si>
    <r>
      <t xml:space="preserve">Interimregering-jespertjee
</t>
    </r>
    <r>
      <rPr>
        <i/>
      </rPr>
      <t>(VVD-D66-CU) + FVD</t>
    </r>
  </si>
  <si>
    <t>Coalitie</t>
  </si>
  <si>
    <t>Kamerlid</t>
  </si>
  <si>
    <t>Coalitie
(15)</t>
  </si>
  <si>
    <t>VVD
(6)</t>
  </si>
  <si>
    <t>LTIstarcraft</t>
  </si>
  <si>
    <t>Alpha_C</t>
  </si>
  <si>
    <t>SprUtch</t>
  </si>
  <si>
    <t>AnnaOurLittleAlice</t>
  </si>
  <si>
    <t>Jurryaany</t>
  </si>
  <si>
    <t>unicorninabottle</t>
  </si>
  <si>
    <t>D66
(4)</t>
  </si>
  <si>
    <t>123Ricardo210</t>
  </si>
  <si>
    <t>Gingerpolarbear</t>
  </si>
  <si>
    <t>tbd</t>
  </si>
  <si>
    <t>mark1802</t>
  </si>
  <si>
    <t>FVD
(3)</t>
  </si>
  <si>
    <t>dagelijksestijl</t>
  </si>
  <si>
    <t>tomdeaardappel</t>
  </si>
  <si>
    <t>Yukub</t>
  </si>
  <si>
    <t>CU
(3)</t>
  </si>
  <si>
    <t>Ploefke</t>
  </si>
  <si>
    <t>Sick_as_frick</t>
  </si>
  <si>
    <t>Gibcake</t>
  </si>
  <si>
    <t>Oppositie
(10)</t>
  </si>
  <si>
    <t>SDAP
(5)</t>
  </si>
  <si>
    <t>7Hielke</t>
  </si>
  <si>
    <t>Klaex</t>
  </si>
  <si>
    <t>Nederman95</t>
  </si>
  <si>
    <t>Keijeman</t>
  </si>
  <si>
    <t>uniqueusername404</t>
  </si>
  <si>
    <t>RPN
(4)</t>
  </si>
  <si>
    <t>Der_Kohl</t>
  </si>
  <si>
    <t>-___-_</t>
  </si>
  <si>
    <t>Th8</t>
  </si>
  <si>
    <t>MrJoey98</t>
  </si>
  <si>
    <t>Statistieken</t>
  </si>
  <si>
    <t>Voor</t>
  </si>
  <si>
    <t>Tegen</t>
  </si>
  <si>
    <t>Stem Onthouden (SO)</t>
  </si>
  <si>
    <t>Niet Gestemd (NG)</t>
  </si>
  <si>
    <t>Totaal</t>
  </si>
  <si>
    <t>Opkomst</t>
  </si>
  <si>
    <t>Opkomst (%)</t>
  </si>
  <si>
    <r>
      <t xml:space="preserve">Kabinet Vylander-IV
</t>
    </r>
    <r>
      <rPr>
        <i/>
      </rPr>
      <t>(VVD-D66-CU) + FVD</t>
    </r>
  </si>
  <si>
    <t>M0314</t>
  </si>
  <si>
    <t>M0315</t>
  </si>
  <si>
    <t>M0316</t>
  </si>
  <si>
    <t>M0317</t>
  </si>
  <si>
    <t>M0318</t>
  </si>
  <si>
    <t>M0319</t>
  </si>
  <si>
    <t>W0127</t>
  </si>
  <si>
    <t>M0320</t>
  </si>
  <si>
    <t>M0321</t>
  </si>
  <si>
    <t>M0322</t>
  </si>
  <si>
    <t>M0323</t>
  </si>
  <si>
    <t>M0324</t>
  </si>
  <si>
    <t>M0225</t>
  </si>
  <si>
    <t>M0326</t>
  </si>
  <si>
    <t>W0128</t>
  </si>
  <si>
    <t>W0125</t>
  </si>
  <si>
    <t>M0327</t>
  </si>
  <si>
    <t>M0328</t>
  </si>
  <si>
    <t>M0329</t>
  </si>
  <si>
    <t>M0330</t>
  </si>
  <si>
    <t>M0331</t>
  </si>
  <si>
    <t>M0332</t>
  </si>
  <si>
    <t>SO</t>
  </si>
  <si>
    <t>NG</t>
  </si>
  <si>
    <t>NVT</t>
  </si>
  <si>
    <t>UnqiueUsername404</t>
  </si>
  <si>
    <t>UnselfconsciousTeff</t>
  </si>
  <si>
    <t xml:space="preserve">SecretaryOfEducation        </t>
  </si>
  <si>
    <t>Balsag43</t>
  </si>
  <si>
    <t>Nickmanbear</t>
  </si>
  <si>
    <t>GROEN</t>
  </si>
  <si>
    <t>Kabinet Vylander-III
(VVD-D66-CU) + RPN</t>
  </si>
  <si>
    <t>M0295</t>
  </si>
  <si>
    <t>M0296</t>
  </si>
  <si>
    <t>M0297</t>
  </si>
  <si>
    <t>M0298</t>
  </si>
  <si>
    <t>M0299</t>
  </si>
  <si>
    <t>M0300</t>
  </si>
  <si>
    <t>M0301</t>
  </si>
  <si>
    <t>M0302</t>
  </si>
  <si>
    <t>M0303</t>
  </si>
  <si>
    <t>M0304</t>
  </si>
  <si>
    <t>M0305</t>
  </si>
  <si>
    <t>M0306</t>
  </si>
  <si>
    <t>M0307</t>
  </si>
  <si>
    <t>M0308</t>
  </si>
  <si>
    <t>W0124</t>
  </si>
  <si>
    <t>M0309</t>
  </si>
  <si>
    <t>M0310</t>
  </si>
  <si>
    <t>M0311</t>
  </si>
  <si>
    <t>M0312</t>
  </si>
  <si>
    <t>M0313</t>
  </si>
  <si>
    <t>W0125-I</t>
  </si>
  <si>
    <t>W0126</t>
  </si>
  <si>
    <t>D66
(3)</t>
  </si>
  <si>
    <t>Blackdutchie</t>
  </si>
  <si>
    <t>RPN
(3)</t>
  </si>
  <si>
    <t>GR
(2)</t>
  </si>
  <si>
    <t>Mark1802</t>
  </si>
  <si>
    <t>Klik HIER voor resultaten Tweede Kamer pre-verkiezing VII</t>
  </si>
  <si>
    <t>Verkiezing VI</t>
  </si>
  <si>
    <t>Stemoverzicht Eerste Kamer der Staten-Generaal</t>
  </si>
  <si>
    <t>Kabinet Vylander-IV
(VVD-D66-CU) + FVD</t>
  </si>
  <si>
    <t>Coalitie
(4)</t>
  </si>
  <si>
    <t>blackdutchie</t>
  </si>
  <si>
    <t>Avinator</t>
  </si>
  <si>
    <t>Oppositie
(4)</t>
  </si>
  <si>
    <t xml:space="preserve">7Hielke        </t>
  </si>
  <si>
    <t>koopabro</t>
  </si>
  <si>
    <t>Imperator_Pastollini</t>
  </si>
  <si>
    <r>
      <t xml:space="preserve">Kabinet Vylander-IV
</t>
    </r>
    <r>
      <rPr>
        <i/>
      </rPr>
      <t>(VVD-D66-CU) + FVD</t>
    </r>
  </si>
  <si>
    <t>keijeman</t>
  </si>
  <si>
    <t>GR</t>
  </si>
  <si>
    <t>Stemoverzicht
Eerste Kamer 
der Staten-Generaal</t>
  </si>
  <si>
    <t>Klik HIER voor resultaten Eerste Kamer Pre-verkiezing VII</t>
  </si>
  <si>
    <t>Regering</t>
  </si>
  <si>
    <t>Motie nr.</t>
  </si>
  <si>
    <t>Namens Partij?</t>
  </si>
  <si>
    <r>
      <t xml:space="preserve">Titel </t>
    </r>
    <r>
      <rPr>
        <i/>
      </rPr>
      <t>(Treurnis/Afkeur/Wantrouwen dikgedrukt)</t>
    </r>
  </si>
  <si>
    <t>Resultaat</t>
  </si>
  <si>
    <t>Reactie van
Kabinet</t>
  </si>
  <si>
    <t>Opmerkingen</t>
  </si>
  <si>
    <t>Kabinet-Mitorr</t>
  </si>
  <si>
    <t>M0001</t>
  </si>
  <si>
    <t>SP</t>
  </si>
  <si>
    <t>Verworpen</t>
  </si>
  <si>
    <t>X</t>
  </si>
  <si>
    <t>M0002</t>
  </si>
  <si>
    <t>Onafh.</t>
  </si>
  <si>
    <t>Aangenomen</t>
  </si>
  <si>
    <t>M0003</t>
  </si>
  <si>
    <t>PvdA</t>
  </si>
  <si>
    <t>M0004</t>
  </si>
  <si>
    <t>Ingetrokken</t>
  </si>
  <si>
    <t>M0005</t>
  </si>
  <si>
    <t>M0006</t>
  </si>
  <si>
    <t>M0007</t>
  </si>
  <si>
    <t>PVV</t>
  </si>
  <si>
    <t>M0008</t>
  </si>
  <si>
    <t>M0009</t>
  </si>
  <si>
    <t>CPN</t>
  </si>
  <si>
    <t>M0010</t>
  </si>
  <si>
    <t>M0010a</t>
  </si>
  <si>
    <t>Motie betreffende de verkoop van ABN AMRO</t>
  </si>
  <si>
    <t>Motie onvindbaar in archieven.</t>
  </si>
  <si>
    <t>M0011</t>
  </si>
  <si>
    <r>
      <t>Motie van Wantrouwen j</t>
    </r>
    <r>
      <rPr>
        <i/>
      </rPr>
      <t>e</t>
    </r>
    <r>
      <t>gens de Minister van Defensie</t>
    </r>
  </si>
  <si>
    <t>Minister afgetreden voor stemming; Motie onvindbaar in archieven.</t>
  </si>
  <si>
    <t>M0012</t>
  </si>
  <si>
    <t>M0013</t>
  </si>
  <si>
    <t>CDA</t>
  </si>
  <si>
    <t>Mogelijk tweede lezing</t>
  </si>
  <si>
    <t>M0014</t>
  </si>
  <si>
    <t>M0015</t>
  </si>
  <si>
    <t>M0016</t>
  </si>
  <si>
    <t>M0017</t>
  </si>
  <si>
    <t>M0018</t>
  </si>
  <si>
    <t>M0019</t>
  </si>
  <si>
    <t>M0020</t>
  </si>
  <si>
    <t>Regering afgetreden voor stemming</t>
  </si>
  <si>
    <t>Interim Th8</t>
  </si>
  <si>
    <t>M0021</t>
  </si>
  <si>
    <t>M0022</t>
  </si>
  <si>
    <t>GL</t>
  </si>
  <si>
    <t>M0023</t>
  </si>
  <si>
    <t>Kabinet-Th8</t>
  </si>
  <si>
    <t>M0024</t>
  </si>
  <si>
    <t>M0025</t>
  </si>
  <si>
    <t>M0026</t>
  </si>
  <si>
    <t>M0027</t>
  </si>
  <si>
    <t>M0028</t>
  </si>
  <si>
    <t>M0029</t>
  </si>
  <si>
    <t>M0030</t>
  </si>
  <si>
    <t>M0031</t>
  </si>
  <si>
    <t>Tweede lezing van Motie 22</t>
  </si>
  <si>
    <t>M0032</t>
  </si>
  <si>
    <t>M0033</t>
  </si>
  <si>
    <t>M0034</t>
  </si>
  <si>
    <t>MPN</t>
  </si>
  <si>
    <t>M0035</t>
  </si>
  <si>
    <t>Mede-ingediend door MPN</t>
  </si>
  <si>
    <t>M0036</t>
  </si>
  <si>
    <t>M0037</t>
  </si>
  <si>
    <t>Mede-ingediend door D66</t>
  </si>
  <si>
    <t>M0038</t>
  </si>
  <si>
    <t>M0039</t>
  </si>
  <si>
    <t>M0040</t>
  </si>
  <si>
    <t>M0041</t>
  </si>
  <si>
    <t>Staat verkeerd op RMTK onder M0040; MinDef is afgetreden voor stemming</t>
  </si>
  <si>
    <t>M0042</t>
  </si>
  <si>
    <t>S&amp;V</t>
  </si>
  <si>
    <t>M0043</t>
  </si>
  <si>
    <t>M0044</t>
  </si>
  <si>
    <t>MinDef is afgetreden voor stemming</t>
  </si>
  <si>
    <t>M0045</t>
  </si>
  <si>
    <t>M0046</t>
  </si>
  <si>
    <t>LPF</t>
  </si>
  <si>
    <t>M0047</t>
  </si>
  <si>
    <t>M0048</t>
  </si>
  <si>
    <t>M0049</t>
  </si>
  <si>
    <t>M0050</t>
  </si>
  <si>
    <t>M0051</t>
  </si>
  <si>
    <t>M0052</t>
  </si>
  <si>
    <t>Kabinet-MTFD I</t>
  </si>
  <si>
    <t>M0053</t>
  </si>
  <si>
    <t>M0054</t>
  </si>
  <si>
    <t>Kabinet-MTFD II</t>
  </si>
  <si>
    <t>M0055</t>
  </si>
  <si>
    <t>M0056</t>
  </si>
  <si>
    <t>M0057</t>
  </si>
  <si>
    <t>M0058</t>
  </si>
  <si>
    <t>M0059</t>
  </si>
  <si>
    <t>M0060</t>
  </si>
  <si>
    <t>M0061</t>
  </si>
  <si>
    <t>Motie tot strengere CBR-controles</t>
  </si>
  <si>
    <t>M0062</t>
  </si>
  <si>
    <t>Motie tot vervanging renteaftrek door een uniforme forfaitaire vermogensaftrek</t>
  </si>
  <si>
    <t>M0063</t>
  </si>
  <si>
    <t>M0064</t>
  </si>
  <si>
    <t>M0065</t>
  </si>
  <si>
    <t>Motie tot het verbeteren van de ouderenzorg</t>
  </si>
  <si>
    <t>M0066</t>
  </si>
  <si>
    <t>Motie tot het wijzigen van de inkomstenbelasting</t>
  </si>
  <si>
    <t>M0067</t>
  </si>
  <si>
    <t>Motie tot strafbaarstelling van autobezit</t>
  </si>
  <si>
    <t>M0068</t>
  </si>
  <si>
    <t>DNL</t>
  </si>
  <si>
    <t>Motie tot voetbalclubs te laten betalen voor politie-inzet</t>
  </si>
  <si>
    <t>M0069</t>
  </si>
  <si>
    <t>Motie tot onderzoek om een systeem zoals het Amerikaanse Federal Work-Study Program in te voeren</t>
  </si>
  <si>
    <t>M0070</t>
  </si>
  <si>
    <t>Motie betreffende mensenrechten en ontwikkelingssamenwerking</t>
  </si>
  <si>
    <t>M0071</t>
  </si>
  <si>
    <t>Motie betreffende vergoeding niet-gebruikte studenten OV</t>
  </si>
  <si>
    <t>M0072</t>
  </si>
  <si>
    <t>Motie betreffende de opening van een defensiebasis op Curaçao</t>
  </si>
  <si>
    <t>M0073</t>
  </si>
  <si>
    <t>M0074</t>
  </si>
  <si>
    <t>M0075</t>
  </si>
  <si>
    <t>M0076</t>
  </si>
  <si>
    <t>M0080</t>
  </si>
  <si>
    <t>Administratief staat de motie genummerd als M0080, echter is de motie eerder geplaatst dan moties M0077-0079 wegens de status van Motie van Wantrouwen.</t>
  </si>
  <si>
    <t>M0077</t>
  </si>
  <si>
    <t>M0078</t>
  </si>
  <si>
    <t>Minister is bij labinetsverandering afgetreden.</t>
  </si>
  <si>
    <t>M0079</t>
  </si>
  <si>
    <t>Kabinet afgetreden voordat de stemming plaats kon vinden.</t>
  </si>
  <si>
    <t>M0081</t>
  </si>
  <si>
    <t>Staat verkeerd op RMTK onder M0079.</t>
  </si>
  <si>
    <t>M0082</t>
  </si>
  <si>
    <t>Staat verkeerd op RMTK onder M0080.</t>
  </si>
  <si>
    <t>Kabinet-MTFD III</t>
  </si>
  <si>
    <t>M0083</t>
  </si>
  <si>
    <t>PSP</t>
  </si>
  <si>
    <t>M0084</t>
  </si>
  <si>
    <t>M0085</t>
  </si>
  <si>
    <t>M0086</t>
  </si>
  <si>
    <t>M0087</t>
  </si>
  <si>
    <t>M0088</t>
  </si>
  <si>
    <t>M0089</t>
  </si>
  <si>
    <t>M0090</t>
  </si>
  <si>
    <t>M0091</t>
  </si>
  <si>
    <t>M0092</t>
  </si>
  <si>
    <t>M0093</t>
  </si>
  <si>
    <t>M0094</t>
  </si>
  <si>
    <t>M0095</t>
  </si>
  <si>
    <t>M0096</t>
  </si>
  <si>
    <t>M0097</t>
  </si>
  <si>
    <t>M0098</t>
  </si>
  <si>
    <t>M0099</t>
  </si>
  <si>
    <t>M0100</t>
  </si>
  <si>
    <t>M0101</t>
  </si>
  <si>
    <t>M0102</t>
  </si>
  <si>
    <t>M0103</t>
  </si>
  <si>
    <t>M0104</t>
  </si>
  <si>
    <t>M0105</t>
  </si>
  <si>
    <t>M0106</t>
  </si>
  <si>
    <t>M0107</t>
  </si>
  <si>
    <t>M0108</t>
  </si>
  <si>
    <t>M0109</t>
  </si>
  <si>
    <t>M0110</t>
  </si>
  <si>
    <t>M0111</t>
  </si>
  <si>
    <t>M0112</t>
  </si>
  <si>
    <t>M0113</t>
  </si>
  <si>
    <t>M0114</t>
  </si>
  <si>
    <t>M0115</t>
  </si>
  <si>
    <t>M0116</t>
  </si>
  <si>
    <t>M0117</t>
  </si>
  <si>
    <t>M0118</t>
  </si>
  <si>
    <t>Onafh</t>
  </si>
  <si>
    <t>Kabinet-MTFD IV</t>
  </si>
  <si>
    <t>M0119</t>
  </si>
  <si>
    <t>M0120</t>
  </si>
  <si>
    <t>M0121</t>
  </si>
  <si>
    <t>M0122</t>
  </si>
  <si>
    <t>M0123</t>
  </si>
  <si>
    <t>Motie is ingetrokken door de indiener</t>
  </si>
  <si>
    <t>M0124</t>
  </si>
  <si>
    <t>M0125</t>
  </si>
  <si>
    <t>M0126</t>
  </si>
  <si>
    <t>GPN</t>
  </si>
  <si>
    <t>M0127</t>
  </si>
  <si>
    <t>M0128</t>
  </si>
  <si>
    <t>M0129</t>
  </si>
  <si>
    <t>M0130</t>
  </si>
  <si>
    <t>M0131</t>
  </si>
  <si>
    <t>M0132</t>
  </si>
  <si>
    <t>M0133</t>
  </si>
  <si>
    <t>M0134</t>
  </si>
  <si>
    <t>M0135</t>
  </si>
  <si>
    <t>M0136</t>
  </si>
  <si>
    <t>Motie tot terugtrekken kabinetsplannen versneld verlengen A13/16</t>
  </si>
  <si>
    <t>M0137</t>
  </si>
  <si>
    <t>Motie van Treurnis jegens de Minister van Defensie</t>
  </si>
  <si>
    <t>M0138</t>
  </si>
  <si>
    <t>Motie van Afkeuring jegens de Minister van Buitenlandse Zaken</t>
  </si>
  <si>
    <t>M0139</t>
  </si>
  <si>
    <t>Motie tot betere bescherming klokkenluiders</t>
  </si>
  <si>
    <t>M0140</t>
  </si>
  <si>
    <t>Motie tot actieplan fietsparkeerplekken</t>
  </si>
  <si>
    <t>M0141</t>
  </si>
  <si>
    <t>M0142</t>
  </si>
  <si>
    <t>Kabinet-Vylander</t>
  </si>
  <si>
    <t>M0143</t>
  </si>
  <si>
    <t>M0144</t>
  </si>
  <si>
    <t>M0145</t>
  </si>
  <si>
    <t>M0146</t>
  </si>
  <si>
    <t>M0147</t>
  </si>
  <si>
    <t>M0148</t>
  </si>
  <si>
    <t>M0149</t>
  </si>
  <si>
    <t>M0150</t>
  </si>
  <si>
    <t>M0151</t>
  </si>
  <si>
    <t>M0152</t>
  </si>
  <si>
    <t>M0153</t>
  </si>
  <si>
    <t>M0154</t>
  </si>
  <si>
    <t>M0155</t>
  </si>
  <si>
    <t>M0156</t>
  </si>
  <si>
    <t>M0157</t>
  </si>
  <si>
    <t>M0158</t>
  </si>
  <si>
    <t>M0159</t>
  </si>
  <si>
    <t>M0160</t>
  </si>
  <si>
    <t>M0161</t>
  </si>
  <si>
    <t>M0162</t>
  </si>
  <si>
    <t>M0163</t>
  </si>
  <si>
    <t>M0164</t>
  </si>
  <si>
    <t>M0165</t>
  </si>
  <si>
    <t>M0166</t>
  </si>
  <si>
    <t>M0167</t>
  </si>
  <si>
    <t>M0168</t>
  </si>
  <si>
    <t>M0169</t>
  </si>
  <si>
    <t>M0170</t>
  </si>
  <si>
    <t>M0171</t>
  </si>
  <si>
    <t>Kabinet-MrJoey98</t>
  </si>
  <si>
    <t>M0172</t>
  </si>
  <si>
    <t>M0173</t>
  </si>
  <si>
    <t>M0174</t>
  </si>
  <si>
    <t>Minister afgetreden voordat de stemming plaats kon vinden.</t>
  </si>
  <si>
    <t>M0175</t>
  </si>
  <si>
    <t>M0176</t>
  </si>
  <si>
    <t>M0177</t>
  </si>
  <si>
    <t>M0178</t>
  </si>
  <si>
    <t>M0179</t>
  </si>
  <si>
    <t>M0180</t>
  </si>
  <si>
    <t>M0181</t>
  </si>
  <si>
    <t>M0182</t>
  </si>
  <si>
    <t>M0183</t>
  </si>
  <si>
    <t>M0184</t>
  </si>
  <si>
    <t>M0185</t>
  </si>
  <si>
    <t>M0186</t>
  </si>
  <si>
    <t>M0187</t>
  </si>
  <si>
    <t>M0188</t>
  </si>
  <si>
    <t>M0189</t>
  </si>
  <si>
    <t>M0190</t>
  </si>
  <si>
    <t>SVN</t>
  </si>
  <si>
    <t>M0190a</t>
  </si>
  <si>
    <t>Motie van Wantrouwen jegens het Presidium</t>
  </si>
  <si>
    <t>Door interne verwerkingsfout twee moties 190 geplaatst; Presidium afgetreden.</t>
  </si>
  <si>
    <t>M0191</t>
  </si>
  <si>
    <t>M0192</t>
  </si>
  <si>
    <t>M0193</t>
  </si>
  <si>
    <t>M0194</t>
  </si>
  <si>
    <t>M0195</t>
  </si>
  <si>
    <t>M0196</t>
  </si>
  <si>
    <t>M0197</t>
  </si>
  <si>
    <t>M0198</t>
  </si>
  <si>
    <t>M0199</t>
  </si>
  <si>
    <t>M0200</t>
  </si>
  <si>
    <t>M0201</t>
  </si>
  <si>
    <t>M0202</t>
  </si>
  <si>
    <t>M0203</t>
  </si>
  <si>
    <t>M0204</t>
  </si>
  <si>
    <t>M0205</t>
  </si>
  <si>
    <t>M0206</t>
  </si>
  <si>
    <t>M0207</t>
  </si>
  <si>
    <t>Motie van Afkeuring jegens het kabinet</t>
  </si>
  <si>
    <t>Kabinet-TheJelleyFish</t>
  </si>
  <si>
    <t>M0208</t>
  </si>
  <si>
    <t>Motie van Treurnis jegens de Minister van Buitenlandse Zaken</t>
  </si>
  <si>
    <t>M0209</t>
  </si>
  <si>
    <t>M0210</t>
  </si>
  <si>
    <t>LPU</t>
  </si>
  <si>
    <t>M0211</t>
  </si>
  <si>
    <t>M0212</t>
  </si>
  <si>
    <t>M0213</t>
  </si>
  <si>
    <t>Nooit ingediend</t>
  </si>
  <si>
    <t>M0214</t>
  </si>
  <si>
    <t>Motie betreffende vrijheid van beweging EU</t>
  </si>
  <si>
    <t>M0215</t>
  </si>
  <si>
    <t>Motie betreffende toevoeging capibara aan de positieflijst (huisdieren)</t>
  </si>
  <si>
    <t>M0216</t>
  </si>
  <si>
    <t>Motie tegen het referendum over de EU</t>
  </si>
  <si>
    <t>M0216a</t>
  </si>
  <si>
    <t>Motie van Wantrouwen jegens lid van het kabinet</t>
  </si>
  <si>
    <t>Door een interne verwerkingsfout zijn twee moties 216 geplaatst. Minister afgetreden voor stemming.</t>
  </si>
  <si>
    <t>M0217</t>
  </si>
  <si>
    <t>Motie tot sancties tegen staten die uitgeprocedeerde asielzoekers weigeren terug te nemen</t>
  </si>
  <si>
    <t>M0218</t>
  </si>
  <si>
    <t>Motie tot bescherming van historische Nederlandse secheepvaart</t>
  </si>
  <si>
    <t>M0219</t>
  </si>
  <si>
    <t>Motie gezond eten op school</t>
  </si>
  <si>
    <t>M0220</t>
  </si>
  <si>
    <t>Motie tot bedekken overheidsgebouwen met zonnepanelen</t>
  </si>
  <si>
    <t>M0221</t>
  </si>
  <si>
    <t>Motie van Wantrouwen jegens de regering</t>
  </si>
  <si>
    <t>M0222</t>
  </si>
  <si>
    <t>Motie van Afkeuring jegens de Minister van Defensie en Veiligheid</t>
  </si>
  <si>
    <t>M0223</t>
  </si>
  <si>
    <t>Motie van Treurnis jegens het Presidium</t>
  </si>
  <si>
    <t>Presidium gevallen, voorzitter ad interim /u/roenmane aangesteld, nieuwe voorzittersverkiezingen uitgeschreven,</t>
  </si>
  <si>
    <t>M0224</t>
  </si>
  <si>
    <t>Motie om het Democratiseringsplan uitgelegd in het Memorandum van Overeenstemming met Zweden</t>
  </si>
  <si>
    <t>Motie tot waarborgen van de medische isotopenproductie te Petten</t>
  </si>
  <si>
    <t>M0226</t>
  </si>
  <si>
    <t>Motie tot aanpak administratiekosten verhuur</t>
  </si>
  <si>
    <t>M0227</t>
  </si>
  <si>
    <t>Motie van Afkeuring jegens de Secretaris-Generaal</t>
  </si>
  <si>
    <t>M0228</t>
  </si>
  <si>
    <t>Motie tot het mogelijk maken van vrijwillige contributie aan de staatskas</t>
  </si>
  <si>
    <t>M0229</t>
  </si>
  <si>
    <t>Motie tot het verhogen van de NPO-subsidie</t>
  </si>
  <si>
    <t>M0230</t>
  </si>
  <si>
    <t>Motie tot het onderzoeken van de mogelijkheden qua spoorinfra in Oost-Brabant</t>
  </si>
  <si>
    <t>M0231</t>
  </si>
  <si>
    <t>Motie tot stimuleren Nederlandse cultuur</t>
  </si>
  <si>
    <t>Kabinet-Quintionus I</t>
  </si>
  <si>
    <t>M0232</t>
  </si>
  <si>
    <t>Motie tot vergroting Centraal Plan Bureau</t>
  </si>
  <si>
    <t>M0233</t>
  </si>
  <si>
    <t>Motie tot vastleggen voorrangspositie Linkse Economen bij ambtsfuncties in het Ministerie van Economische Zaken en Financiën</t>
  </si>
  <si>
    <t>M0234</t>
  </si>
  <si>
    <t>Motie tot Steunen van de Bolivariaanse Republiek van Venezuela.</t>
  </si>
  <si>
    <t>M0235</t>
  </si>
  <si>
    <t>Motie tot aanvraag Lidmaatschap bij de Bolivariaanse Alliantie voor de Volkeren van Ons Amerika (ALBA)</t>
  </si>
  <si>
    <t>M0236</t>
  </si>
  <si>
    <t>M0236: Motie tot Onteigening van de Rijken om het volk te voeden</t>
  </si>
  <si>
    <t>M0237</t>
  </si>
  <si>
    <t>Motie tot afschaffen collegegeld</t>
  </si>
  <si>
    <t>M0238</t>
  </si>
  <si>
    <t>Motie tot het opnemen van minimaal 30.000 vluchtelingen per jaar</t>
  </si>
  <si>
    <t>M0239</t>
  </si>
  <si>
    <t>Motie tot intensievere samenwerking omtrent veeteeltverbod</t>
  </si>
  <si>
    <t>Niet uitgevoerd</t>
  </si>
  <si>
    <t>M0240</t>
  </si>
  <si>
    <t>Motie tot een algeheel verbod op gemaskerd protesteren</t>
  </si>
  <si>
    <t>M0241</t>
  </si>
  <si>
    <t>Motie tot het oprichten van een preclearancefaciliteit op Schiphol</t>
  </si>
  <si>
    <t>M0242</t>
  </si>
  <si>
    <t>Motie tot creatie steunfonds voor het steunen van linkse buitenlandse revoluties</t>
  </si>
  <si>
    <t>M0243</t>
  </si>
  <si>
    <t>Motie tot het starten naar onderzoek buitenlandse invloeden binnen de LPU</t>
  </si>
  <si>
    <t>Kabinet-Quintionus II</t>
  </si>
  <si>
    <t>M0244</t>
  </si>
  <si>
    <t>Motie tot intrekken ANBI-status van vakbonden</t>
  </si>
  <si>
    <t>M0245</t>
  </si>
  <si>
    <t>Motie participatie levensbeschouwende instanties</t>
  </si>
  <si>
    <t>M0246</t>
  </si>
  <si>
    <t>Motie toestaan meerouderschap</t>
  </si>
  <si>
    <t>M0247</t>
  </si>
  <si>
    <t>Motie tot het waarborgen van een opt-out uit de "ever closer union"</t>
  </si>
  <si>
    <t>M0248</t>
  </si>
  <si>
    <t>Motie tot het liberaliseren van de markt voor kabelinternet</t>
  </si>
  <si>
    <t>M0249</t>
  </si>
  <si>
    <t>Motie tot sluiten kolencentrales</t>
  </si>
  <si>
    <t>In uitvoering</t>
  </si>
  <si>
    <t>M0250</t>
  </si>
  <si>
    <t>Motie tot oprichting Woningfonds</t>
  </si>
  <si>
    <t>M0251</t>
  </si>
  <si>
    <t>Motie tot toelaten Huwelijkstherapie in het basispakket</t>
  </si>
  <si>
    <t>M0252</t>
  </si>
  <si>
    <t>M0253</t>
  </si>
  <si>
    <t>Uitgevoerd</t>
  </si>
  <si>
    <t>M0254</t>
  </si>
  <si>
    <t>Motie tot nationalisering NAM</t>
  </si>
  <si>
    <t>M0255</t>
  </si>
  <si>
    <t>M0256</t>
  </si>
  <si>
    <t>M0257</t>
  </si>
  <si>
    <t>Motie tot het niet buitensporig laten stijgen van de uitkeringen</t>
  </si>
  <si>
    <t>M0258</t>
  </si>
  <si>
    <t>M0259</t>
  </si>
  <si>
    <t>M0260</t>
  </si>
  <si>
    <t>Motie tot het genderneutraal maken van alle overheidscommunicatie</t>
  </si>
  <si>
    <t>M0261</t>
  </si>
  <si>
    <t>Motie van Afkeuring jegens de Minister-President</t>
  </si>
  <si>
    <t>Niet langer van toepassing door val van Kabinet</t>
  </si>
  <si>
    <t>M0262</t>
  </si>
  <si>
    <t>Motie tot het zichtbaar maken van de Nederlandse vlag in het Parlement</t>
  </si>
  <si>
    <t>Aan Presidium</t>
  </si>
  <si>
    <t>M0263</t>
  </si>
  <si>
    <t>Motie tot creatie toezicht en regelgeving op de repurchase agreement-markt</t>
  </si>
  <si>
    <t>M0264</t>
  </si>
  <si>
    <t>Motie tot helpen Rijksmusea</t>
  </si>
  <si>
    <t>M0265</t>
  </si>
  <si>
    <t>Motie tot strafbaar stellen souteneurschap</t>
  </si>
  <si>
    <t>M0266</t>
  </si>
  <si>
    <t>Motie tot kwaliteitsverbetering seksueel onderwijs</t>
  </si>
  <si>
    <t>M0267</t>
  </si>
  <si>
    <t>Motie tot het wettelijk gelijk stellen van beschonken rijden aan poging tot doodslag</t>
  </si>
  <si>
    <t>Kabinet-Quintionus III</t>
  </si>
  <si>
    <t>M0268</t>
  </si>
  <si>
    <t>M0269</t>
  </si>
  <si>
    <t>M0270</t>
  </si>
  <si>
    <t>M0271</t>
  </si>
  <si>
    <t>M0272</t>
  </si>
  <si>
    <t>M0273</t>
  </si>
  <si>
    <t>Motie tot concreet maken van het innovatiefonds De Kamer</t>
  </si>
  <si>
    <t>M0274</t>
  </si>
  <si>
    <t>Motie tot openbaarstelling Handelsregister</t>
  </si>
  <si>
    <t>M0275</t>
  </si>
  <si>
    <t>M0276</t>
  </si>
  <si>
    <t>M0277</t>
  </si>
  <si>
    <t>M0278</t>
  </si>
  <si>
    <t>M0279</t>
  </si>
  <si>
    <t>M0280</t>
  </si>
  <si>
    <t>M0281</t>
  </si>
  <si>
    <t>M0282</t>
  </si>
  <si>
    <t>M0283</t>
  </si>
  <si>
    <t>Kabinet afgetreden</t>
  </si>
  <si>
    <t>M0284</t>
  </si>
  <si>
    <t>Kabinet-Vylander II</t>
  </si>
  <si>
    <t>M0285</t>
  </si>
  <si>
    <t>M0286</t>
  </si>
  <si>
    <t>M0287</t>
  </si>
  <si>
    <t>M0288</t>
  </si>
  <si>
    <t>Had aangeduid als M0288 moeten zijn</t>
  </si>
  <si>
    <t>M0289</t>
  </si>
  <si>
    <t>M0290</t>
  </si>
  <si>
    <t>M0291</t>
  </si>
  <si>
    <t>M0292</t>
  </si>
  <si>
    <t>M0293</t>
  </si>
  <si>
    <t>M0294</t>
  </si>
  <si>
    <t>TH8</t>
  </si>
  <si>
    <t>Kabinet-Vylander III</t>
  </si>
  <si>
    <t>Staat aangeduid als M0308</t>
  </si>
  <si>
    <t>Staat aangeduid als M0400</t>
  </si>
  <si>
    <t>Kabinet-Vylander IV</t>
  </si>
  <si>
    <t>M0325</t>
  </si>
  <si>
    <t>Had aangeduid moeten zijn als M0327</t>
  </si>
  <si>
    <t>Had aangeduid moeten zijn als M0328</t>
  </si>
  <si>
    <t>Had aangeduid moeten zijn als M0329</t>
  </si>
  <si>
    <t>Had aangeduid moeten zijn als M0330</t>
  </si>
  <si>
    <t>Had aangeduid moeten zijn als M0331</t>
  </si>
  <si>
    <t>M0333</t>
  </si>
  <si>
    <t>In afwachting</t>
  </si>
  <si>
    <t>Intrim-jespertjee</t>
  </si>
  <si>
    <t>M0334</t>
  </si>
  <si>
    <t>M0335</t>
  </si>
  <si>
    <t>M0336</t>
  </si>
  <si>
    <t>M0337</t>
  </si>
  <si>
    <t>M0338</t>
  </si>
  <si>
    <t>M0339</t>
  </si>
  <si>
    <t>M0340</t>
  </si>
  <si>
    <t>Wetsvoorstel nr.</t>
  </si>
  <si>
    <r>
      <t xml:space="preserve">Titel </t>
    </r>
    <r>
      <rPr>
        <i/>
      </rPr>
      <t>(grondwetswijzigingen dikgedrukt)</t>
    </r>
  </si>
  <si>
    <t>Eerste Lezing</t>
  </si>
  <si>
    <t>Tweede Lezing</t>
  </si>
  <si>
    <t>Van</t>
  </si>
  <si>
    <t>Tot</t>
  </si>
  <si>
    <t>W0001</t>
  </si>
  <si>
    <t>03-07-2015</t>
  </si>
  <si>
    <t>W0002</t>
  </si>
  <si>
    <t>13-07-2015</t>
  </si>
  <si>
    <t>W0003</t>
  </si>
  <si>
    <t>30-07-2015</t>
  </si>
  <si>
    <t>W0004</t>
  </si>
  <si>
    <t>08-08-2015</t>
  </si>
  <si>
    <t>Buiten werking</t>
  </si>
  <si>
    <t>Geamendeerd door W0037</t>
  </si>
  <si>
    <t>W0005</t>
  </si>
  <si>
    <t>13-08-2015</t>
  </si>
  <si>
    <t>W0006</t>
  </si>
  <si>
    <t>15-08-2015</t>
  </si>
  <si>
    <t>Buiten werking gesteld door Sec-Gen</t>
  </si>
  <si>
    <t>W0007</t>
  </si>
  <si>
    <t>31-08-2015</t>
  </si>
  <si>
    <t>W0008</t>
  </si>
  <si>
    <t>16-09-2015</t>
  </si>
  <si>
    <t>19-09-2015</t>
  </si>
  <si>
    <t>W0009</t>
  </si>
  <si>
    <t>21-09-2015</t>
  </si>
  <si>
    <t>k</t>
  </si>
  <si>
    <t>Er zijn geen wetsvoorstellen ingediend in deze periode</t>
  </si>
  <si>
    <t>W0010</t>
  </si>
  <si>
    <t>W0011</t>
  </si>
  <si>
    <t>W0012</t>
  </si>
  <si>
    <t>W0013</t>
  </si>
  <si>
    <t>Amendement toegevoegd</t>
  </si>
  <si>
    <t>W0014</t>
  </si>
  <si>
    <t>Zie W0045</t>
  </si>
  <si>
    <t>W0015</t>
  </si>
  <si>
    <t>Amendement tevens afgewezen</t>
  </si>
  <si>
    <t>W0016</t>
  </si>
  <si>
    <t>W0017</t>
  </si>
  <si>
    <t>W0018</t>
  </si>
  <si>
    <t>Staat verkeerd op RMTK onder W0017</t>
  </si>
  <si>
    <t>W0019</t>
  </si>
  <si>
    <t>W0020</t>
  </si>
  <si>
    <t>W0021</t>
  </si>
  <si>
    <t>W0022</t>
  </si>
  <si>
    <t>Amendement Aangenomen</t>
  </si>
  <si>
    <t>W0023</t>
  </si>
  <si>
    <t>W0024</t>
  </si>
  <si>
    <t>W0025</t>
  </si>
  <si>
    <t>Zie W0055</t>
  </si>
  <si>
    <t>W0026</t>
  </si>
  <si>
    <t>W0027</t>
  </si>
  <si>
    <t>W0028</t>
  </si>
  <si>
    <t>W0029</t>
  </si>
  <si>
    <t>W0030</t>
  </si>
  <si>
    <t>W0031</t>
  </si>
  <si>
    <t>Wetsvoorstel tot afschaffing Covenant onbedwelmd slachten volgens religieuze riten.</t>
  </si>
  <si>
    <t>W0032</t>
  </si>
  <si>
    <t>Raad</t>
  </si>
  <si>
    <t>Wetswijziging Wet op Adeldom</t>
  </si>
  <si>
    <t>W0033</t>
  </si>
  <si>
    <t>W0034</t>
  </si>
  <si>
    <t>W0035</t>
  </si>
  <si>
    <t>W0036</t>
  </si>
  <si>
    <t>W0037</t>
  </si>
  <si>
    <t>Geamendeerd door W0073-1</t>
  </si>
  <si>
    <t>W0038</t>
  </si>
  <si>
    <t>W0039</t>
  </si>
  <si>
    <t>Grondwetswijziging benodigde steun Secretaris-Generaal</t>
  </si>
  <si>
    <t>W0040</t>
  </si>
  <si>
    <t>W0041</t>
  </si>
  <si>
    <t>W0042</t>
  </si>
  <si>
    <t>W0043</t>
  </si>
  <si>
    <t>Burger</t>
  </si>
  <si>
    <t>W0044</t>
  </si>
  <si>
    <t>W0045</t>
  </si>
  <si>
    <t>W0046</t>
  </si>
  <si>
    <t>W0047</t>
  </si>
  <si>
    <t>W0048</t>
  </si>
  <si>
    <t>W0049</t>
  </si>
  <si>
    <t>W0050</t>
  </si>
  <si>
    <t>W0051</t>
  </si>
  <si>
    <t>W0052</t>
  </si>
  <si>
    <t>W0053</t>
  </si>
  <si>
    <t>W0054</t>
  </si>
  <si>
    <t>W0055</t>
  </si>
  <si>
    <t>W0056</t>
  </si>
  <si>
    <t>W0057</t>
  </si>
  <si>
    <t>W0058</t>
  </si>
  <si>
    <t>W0058*</t>
  </si>
  <si>
    <t>W0059</t>
  </si>
  <si>
    <t>W0060</t>
  </si>
  <si>
    <t>W0061</t>
  </si>
  <si>
    <t>W0062</t>
  </si>
  <si>
    <t>W0063</t>
  </si>
  <si>
    <t>W0064</t>
  </si>
  <si>
    <t>W0065</t>
  </si>
  <si>
    <t>W0066</t>
  </si>
  <si>
    <t>W0067</t>
  </si>
  <si>
    <t>W0068</t>
  </si>
  <si>
    <t>W0069</t>
  </si>
  <si>
    <t>Door Sec-Gen buiten werking gesteld. Tevens geamendeerd, zie W0069-I. Tevens nooit door EK gekomen.</t>
  </si>
  <si>
    <t>W0070</t>
  </si>
  <si>
    <t>W0071</t>
  </si>
  <si>
    <t>W0072</t>
  </si>
  <si>
    <t>W0073</t>
  </si>
  <si>
    <t>W0074</t>
  </si>
  <si>
    <t>W0075</t>
  </si>
  <si>
    <t>W0076</t>
  </si>
  <si>
    <t>Strijdig met Europese verdragen, ingetrokken door Presidium</t>
  </si>
  <si>
    <t>W0077</t>
  </si>
  <si>
    <t>W0078</t>
  </si>
  <si>
    <t>W0079</t>
  </si>
  <si>
    <t>W0080</t>
  </si>
  <si>
    <t>W0081</t>
  </si>
  <si>
    <t>W0082</t>
  </si>
  <si>
    <t>W0083</t>
  </si>
  <si>
    <t>W0084</t>
  </si>
  <si>
    <t>Minister Onderwijs kan niet langer per KB diagnostische toetsen aanpassen</t>
  </si>
  <si>
    <t>W0085</t>
  </si>
  <si>
    <t>W0086</t>
  </si>
  <si>
    <t>W0087</t>
  </si>
  <si>
    <t>W0088</t>
  </si>
  <si>
    <t>W0089</t>
  </si>
  <si>
    <t>W0090</t>
  </si>
  <si>
    <t>W0091</t>
  </si>
  <si>
    <t>W0092</t>
  </si>
  <si>
    <t>Wet tot toestaan eenmalig referendum van het lidmaatschap van de Europese Unie 2017</t>
  </si>
  <si>
    <t>Door minister ingetrokken</t>
  </si>
  <si>
    <t>W0093</t>
  </si>
  <si>
    <t>Wet afschaffen dienstplicht 2017</t>
  </si>
  <si>
    <t>W0094</t>
  </si>
  <si>
    <t>Wet tot wijziging Rijkswet op het Nederlanderschap in verband met wijzigingen in het verlies van het Nederlanderschap</t>
  </si>
  <si>
    <t>W0095</t>
  </si>
  <si>
    <t>W0096</t>
  </si>
  <si>
    <t>Wet Afschaffing Rekentoets Voortgezet Onderwijs</t>
  </si>
  <si>
    <t>W0097</t>
  </si>
  <si>
    <t>Wet beloningsbeleid financiële ondernemingen</t>
  </si>
  <si>
    <t>Zijn aanpassingen aan gebracht en zij als W0097-I en W0097-II in stemming geweest, deze zijn verworpen door de tweede-kamer.</t>
  </si>
  <si>
    <t>W0098</t>
  </si>
  <si>
    <t>Wet eerlijke boekenprijzen</t>
  </si>
  <si>
    <t>W0099</t>
  </si>
  <si>
    <t>Wetsvoorstel omtrent administratiekosten bij opstellen Huurcontract</t>
  </si>
  <si>
    <t>W0100</t>
  </si>
  <si>
    <t>Wetsvoorstel tot Redelijke Bemiddeling bij Woninghuur en Woningaanschaf</t>
  </si>
  <si>
    <t>W0101</t>
  </si>
  <si>
    <t>Wet administratieve detentie</t>
  </si>
  <si>
    <t>W0102</t>
  </si>
  <si>
    <t>Wet sancties Venezuela</t>
  </si>
  <si>
    <t>W0103</t>
  </si>
  <si>
    <t>Wet tot herziening milieuzones</t>
  </si>
  <si>
    <t>W0104</t>
  </si>
  <si>
    <t>Wet gedeeltelijk verbod gezichtsbedekkende kleding</t>
  </si>
  <si>
    <t>W0105</t>
  </si>
  <si>
    <t>Wet wijziging defensiefonds</t>
  </si>
  <si>
    <t>verworpen</t>
  </si>
  <si>
    <t>W0106</t>
  </si>
  <si>
    <t>Wet tot verwerping Wet tot wijziging Vreemdelingenwet 2000</t>
  </si>
  <si>
    <t>W0107</t>
  </si>
  <si>
    <t>Wetswijziging tot invoering van een onafhankelijke bindende toets voorafgaand aan de inzet van bijzondere bevoegdheden jegens journalisten.</t>
  </si>
  <si>
    <t>W0108</t>
  </si>
  <si>
    <t>Wet tot verwerping Wet tot wijziging Rijkswet op het Nederlanderschap 2017</t>
  </si>
  <si>
    <t>W0109</t>
  </si>
  <si>
    <t>Grondwetswijziging tot deconstitutionalisering van de benoeming van de commissaris van de Koning</t>
  </si>
  <si>
    <t>W0110</t>
  </si>
  <si>
    <t>Wet Verkeersgeschiktheid Ouderen</t>
  </si>
  <si>
    <t>W0111</t>
  </si>
  <si>
    <t>Wetswijziging ter verruiming van de Winkeltijdenwet</t>
  </si>
  <si>
    <t>W0112</t>
  </si>
  <si>
    <t>Intrekkingswet Zondagswet</t>
  </si>
  <si>
    <t>W0113</t>
  </si>
  <si>
    <t>Wet tot wijziging Begrotingswet 2017 om tot een verval van het Cooperatiefonds te komen</t>
  </si>
  <si>
    <t>W0114</t>
  </si>
  <si>
    <t>Wetswijziging tot toestaan polyamorisch partnerschap</t>
  </si>
  <si>
    <t>W0115</t>
  </si>
  <si>
    <t>Wetswijziging ter afschaffing van de thuiskopieheffing</t>
  </si>
  <si>
    <t>W0116</t>
  </si>
  <si>
    <t>Wet Versterking van de Educatieve Recherche</t>
  </si>
  <si>
    <t>Wetsvoorstel
nr.</t>
  </si>
  <si>
    <t>Namens 
Partij</t>
  </si>
  <si>
    <t>Titel (grondwetswijzigingen dikgedrukt)</t>
  </si>
  <si>
    <t>Andere
lezing nr.</t>
  </si>
  <si>
    <t>Resultaat:</t>
  </si>
  <si>
    <t>TK</t>
  </si>
  <si>
    <t>EK</t>
  </si>
  <si>
    <t>Aantekeningen:</t>
  </si>
  <si>
    <t>W0117</t>
  </si>
  <si>
    <t>W0118</t>
  </si>
  <si>
    <t>W0119</t>
  </si>
  <si>
    <t>W0120</t>
  </si>
  <si>
    <t>W0121</t>
  </si>
  <si>
    <t>W0122</t>
  </si>
  <si>
    <t>W0123</t>
  </si>
  <si>
    <t>Staat aangeduid als W0126</t>
  </si>
  <si>
    <t>W0129</t>
  </si>
  <si>
    <t>Interim-jespertjee</t>
  </si>
  <si>
    <t>W0130</t>
  </si>
  <si>
    <t>W0131</t>
  </si>
  <si>
    <t>W0132</t>
  </si>
  <si>
    <t>W0133</t>
  </si>
  <si>
    <t>W0134</t>
  </si>
  <si>
    <t>W0135</t>
  </si>
  <si>
    <t>W0136</t>
  </si>
  <si>
    <t>W0137</t>
  </si>
  <si>
    <t>W0138</t>
  </si>
  <si>
    <t>W0139</t>
  </si>
  <si>
    <t>W0140</t>
  </si>
  <si>
    <t>Amendement nr.</t>
  </si>
  <si>
    <r>
      <t xml:space="preserve">Titel </t>
    </r>
    <r>
      <rPr>
        <i/>
      </rPr>
      <t>(grondwetswijzigingen dikgedrukt)</t>
    </r>
  </si>
  <si>
    <t>Er zijn geen amendmenten ingediend in deze periode</t>
  </si>
  <si>
    <t>Amendement ter creatie van een vrije dag op 1 mei</t>
  </si>
  <si>
    <t>Er zijn geen relevante amendementen ingediend in deze periode</t>
  </si>
  <si>
    <t>Partij:</t>
  </si>
  <si>
    <t>Lezing</t>
  </si>
  <si>
    <t>W0125-I: Amendement over het verkorten van de overgangsperiode voorgaand de sluiting van kolencentrales</t>
  </si>
  <si>
    <t>Kon. Besluit nr.</t>
  </si>
  <si>
    <t>Titel</t>
  </si>
  <si>
    <t>Datum</t>
  </si>
  <si>
    <t>Ministerie</t>
  </si>
  <si>
    <t>Status</t>
  </si>
  <si>
    <t>KB0001</t>
  </si>
  <si>
    <t>Buitenlandse Zaken</t>
  </si>
  <si>
    <t>Actief</t>
  </si>
  <si>
    <t>Herziende versie</t>
  </si>
  <si>
    <t>KB0002</t>
  </si>
  <si>
    <t>Defensie</t>
  </si>
  <si>
    <t>KB0003</t>
  </si>
  <si>
    <t>Veiligheid en Justite</t>
  </si>
  <si>
    <t>KB0004</t>
  </si>
  <si>
    <t>Vervangen</t>
  </si>
  <si>
    <t>Ter navolging van KB0002. Vervangen door KB0005</t>
  </si>
  <si>
    <t>Interimregering Th8 had geen bevoegdheid tot Koninklijke Besluiten.</t>
  </si>
  <si>
    <t>KB0005</t>
  </si>
  <si>
    <t>Defensie en Justitie</t>
  </si>
  <si>
    <t>KB0006</t>
  </si>
  <si>
    <t>Algemene Zaken</t>
  </si>
  <si>
    <t>KB0007</t>
  </si>
  <si>
    <t>KB0008</t>
  </si>
  <si>
    <t>KB0009</t>
  </si>
  <si>
    <t>Onderwijs, Cultuur en Wetenschap</t>
  </si>
  <si>
    <t>Ingediend d.m.v. KS0006</t>
  </si>
  <si>
    <t>KB0010</t>
  </si>
  <si>
    <t>KB0011</t>
  </si>
  <si>
    <t>KB0012</t>
  </si>
  <si>
    <t>Europese Commissie</t>
  </si>
  <si>
    <t>KB0013</t>
  </si>
  <si>
    <t>KB0014</t>
  </si>
  <si>
    <t>Infrastructuur en Milieu</t>
  </si>
  <si>
    <t>Staat verkeerd op RMTK. Wordt echter in de spreadsheet opgenomen als KB0014</t>
  </si>
  <si>
    <t>KB0015</t>
  </si>
  <si>
    <t>Wonen, Werken en Volksgezondheid</t>
  </si>
  <si>
    <t>Kabinet- Vylander</t>
  </si>
  <si>
    <t>KB0016</t>
  </si>
  <si>
    <t>Vreemdelingenzaken</t>
  </si>
  <si>
    <t>KB0017</t>
  </si>
  <si>
    <t>KB0018</t>
  </si>
  <si>
    <t>Onderwijs, Cultuur, Wetenschap, Volksgezondheid, Welzijn en Sport</t>
  </si>
  <si>
    <t>KB0019</t>
  </si>
  <si>
    <t>KB0020</t>
  </si>
  <si>
    <t>KB0021</t>
  </si>
  <si>
    <t>Ingetrokken in navolging van KB0036</t>
  </si>
  <si>
    <t>KB0022</t>
  </si>
  <si>
    <t>Kabinet- MrJoey98</t>
  </si>
  <si>
    <t>KB0023</t>
  </si>
  <si>
    <t>KB0024</t>
  </si>
  <si>
    <t>KB0025</t>
  </si>
  <si>
    <t>Koninklijk Besluit inzake Tulpenfonds</t>
  </si>
  <si>
    <t>KB0026</t>
  </si>
  <si>
    <t>Verheffing in de adellijkheid ter ere van het tweejarig jubileum</t>
  </si>
  <si>
    <t>KB0027</t>
  </si>
  <si>
    <t>Koninklijk Besluit inzake speciale adviseur Bijenfonds</t>
  </si>
  <si>
    <t>KB0028</t>
  </si>
  <si>
    <t>Koninklijk Besluit inzake deposito luchtvaartfonds</t>
  </si>
  <si>
    <t>KB0029</t>
  </si>
  <si>
    <t>Koninklijk Besluit betreffende de aanbesteding vernieuwing wagenpark van de Nationale Politie</t>
  </si>
  <si>
    <t>Binnenlandse Zaken, Justitie en Koninkrijksrelaties</t>
  </si>
  <si>
    <t>KB0030</t>
  </si>
  <si>
    <t>Koninklijk besluit inzake financiering experimentele Thorium Reactor te Petten</t>
  </si>
  <si>
    <t>KB0031</t>
  </si>
  <si>
    <t>Koninklijk Besluit Kraken en Leegstand</t>
  </si>
  <si>
    <t>KB0032</t>
  </si>
  <si>
    <t>Koninklijk besluit onderzoek beïnvloeding LPU</t>
  </si>
  <si>
    <t>Ingetrokken in navolging van KS0044a</t>
  </si>
  <si>
    <t>KB0033</t>
  </si>
  <si>
    <t>Koninklijk Besluit tot aanwijzing van de Scientology Kerk Amsterdam en de Stichting True Source Scientology als rechtpersonen jegens welke de Sanctieregeling terrorisme 2007-II van toepassing is</t>
  </si>
  <si>
    <t>KB0034</t>
  </si>
  <si>
    <t>KB0035</t>
  </si>
  <si>
    <t>KB0036</t>
  </si>
  <si>
    <t>Koninklijk Besluit intrekking Koninklijk Besluit verbod Algemeen Pardon</t>
  </si>
  <si>
    <t>Binnenlandse Zaken en Koninkrijksrelaties</t>
  </si>
  <si>
    <t>KB0037</t>
  </si>
  <si>
    <t>Koninklijk Besluit aangaande ontslag van de Minister van OCW</t>
  </si>
  <si>
    <t>KB0038</t>
  </si>
  <si>
    <t>Koninklijk Besluit ontslag Kabinet Quintionus-II</t>
  </si>
  <si>
    <t>Minister-President, algemene zaken, Interim-minister OCW</t>
  </si>
  <si>
    <t>KB0048</t>
  </si>
  <si>
    <t>KB0049</t>
  </si>
  <si>
    <t>KB0050</t>
  </si>
  <si>
    <t>KB0051</t>
  </si>
  <si>
    <t>KB0052</t>
  </si>
  <si>
    <t>KB0053</t>
  </si>
  <si>
    <t>Secretaris-Generaal</t>
  </si>
  <si>
    <t>KB0054</t>
  </si>
  <si>
    <t>Minister van Milieu, Energie, Natuur, Klimaat en Economische Zaken</t>
  </si>
  <si>
    <t>KB0055</t>
  </si>
  <si>
    <t>KB0056</t>
  </si>
  <si>
    <t>KB0057</t>
  </si>
  <si>
    <t>KB0058</t>
  </si>
  <si>
    <t>KB0059</t>
  </si>
  <si>
    <t>KB0060</t>
  </si>
  <si>
    <t>KB0061</t>
  </si>
  <si>
    <t>KB0062</t>
  </si>
  <si>
    <t>KB0063</t>
  </si>
  <si>
    <t>KB0064</t>
  </si>
  <si>
    <t>KB0065</t>
  </si>
  <si>
    <t>Debat nr.</t>
  </si>
  <si>
    <t>Ministers opgeroepen voor debat</t>
  </si>
  <si>
    <t>Mitorr</t>
  </si>
  <si>
    <t>MP</t>
  </si>
  <si>
    <t>BZK</t>
  </si>
  <si>
    <t>BuZa</t>
  </si>
  <si>
    <t>EZF</t>
  </si>
  <si>
    <t>Def</t>
  </si>
  <si>
    <t>V&amp;J</t>
  </si>
  <si>
    <t>I&amp;M</t>
  </si>
  <si>
    <t>OCW</t>
  </si>
  <si>
    <t>VWS</t>
  </si>
  <si>
    <t>SZW</t>
  </si>
  <si>
    <t>D0001</t>
  </si>
  <si>
    <t>Ja</t>
  </si>
  <si>
    <t>Nee</t>
  </si>
  <si>
    <t>D0002</t>
  </si>
  <si>
    <t>PP</t>
  </si>
  <si>
    <t>Er zijn geen debatten of kamervragen ingediend in deze periode</t>
  </si>
  <si>
    <t>Kabinet Th8</t>
  </si>
  <si>
    <t>D&amp;J</t>
  </si>
  <si>
    <t>KV0001</t>
  </si>
  <si>
    <t>KV0002</t>
  </si>
  <si>
    <t>KV0003</t>
  </si>
  <si>
    <t>KV0004</t>
  </si>
  <si>
    <t>KV0005</t>
  </si>
  <si>
    <t>D0003</t>
  </si>
  <si>
    <t>D0004</t>
  </si>
  <si>
    <t>D0005</t>
  </si>
  <si>
    <t>D0006</t>
  </si>
  <si>
    <t>Jaj</t>
  </si>
  <si>
    <t>D0007</t>
  </si>
  <si>
    <t>META</t>
  </si>
  <si>
    <t>D0008</t>
  </si>
  <si>
    <t>Kabinet MTFD-I</t>
  </si>
  <si>
    <t>Just</t>
  </si>
  <si>
    <t>VROM</t>
  </si>
  <si>
    <t>Kabinet MTFD-II</t>
  </si>
  <si>
    <t>VIRM</t>
  </si>
  <si>
    <t>KV0006</t>
  </si>
  <si>
    <t>KV0007</t>
  </si>
  <si>
    <t>KV0008</t>
  </si>
  <si>
    <t>KV0009</t>
  </si>
  <si>
    <t>KV0010</t>
  </si>
  <si>
    <t>D0009</t>
  </si>
  <si>
    <t>ja</t>
  </si>
  <si>
    <t>D0010</t>
  </si>
  <si>
    <t>D0011</t>
  </si>
  <si>
    <t>Kabinet MTFD-III</t>
  </si>
  <si>
    <t>KV0011</t>
  </si>
  <si>
    <t>KV0012</t>
  </si>
  <si>
    <t>KV0013</t>
  </si>
  <si>
    <t>KV0014</t>
  </si>
  <si>
    <t>KV0015</t>
  </si>
  <si>
    <t>KV0016</t>
  </si>
  <si>
    <t>Kabinet MTFD-IV</t>
  </si>
  <si>
    <t>D&amp;V</t>
  </si>
  <si>
    <t>OGS</t>
  </si>
  <si>
    <t>KV0017</t>
  </si>
  <si>
    <t>nee</t>
  </si>
  <si>
    <t>KV0018</t>
  </si>
  <si>
    <t>KV0019</t>
  </si>
  <si>
    <t>KV0020</t>
  </si>
  <si>
    <t>KV0021</t>
  </si>
  <si>
    <t>D0013</t>
  </si>
  <si>
    <t>EK debat over wet</t>
  </si>
  <si>
    <t>KV0022</t>
  </si>
  <si>
    <t>D0014</t>
  </si>
  <si>
    <t>Kabinet Vylander</t>
  </si>
  <si>
    <t>VWOCS</t>
  </si>
  <si>
    <t>D0015</t>
  </si>
  <si>
    <t>D0016</t>
  </si>
  <si>
    <t>Onaf.</t>
  </si>
  <si>
    <t>D0017</t>
  </si>
  <si>
    <t>D0018</t>
  </si>
  <si>
    <t>D0019</t>
  </si>
  <si>
    <t>Jaa</t>
  </si>
  <si>
    <t>D0020</t>
  </si>
  <si>
    <t>D0021</t>
  </si>
  <si>
    <t>D0022</t>
  </si>
  <si>
    <t>D0023</t>
  </si>
  <si>
    <t>D0024</t>
  </si>
  <si>
    <t>D0025</t>
  </si>
  <si>
    <t>Kabinet MrJoey98</t>
  </si>
  <si>
    <t>I&amp;M (S)</t>
  </si>
  <si>
    <t>Jus</t>
  </si>
  <si>
    <t>Jus (S)</t>
  </si>
  <si>
    <t>D0026</t>
  </si>
  <si>
    <t>KV0023</t>
  </si>
  <si>
    <t>KV0024</t>
  </si>
  <si>
    <t>D0027</t>
  </si>
  <si>
    <t>D0028</t>
  </si>
  <si>
    <t>Debat met informateur</t>
  </si>
  <si>
    <t>Kabinet TheJelleyFish</t>
  </si>
  <si>
    <t>EZFLI</t>
  </si>
  <si>
    <t>KV0025</t>
  </si>
  <si>
    <t>Komen te vervallen</t>
  </si>
  <si>
    <t>KV0026</t>
  </si>
  <si>
    <t>Kamervragen over het bericht dat veel studenten een te hoge huur betalen</t>
  </si>
  <si>
    <t>KV0027</t>
  </si>
  <si>
    <t>KV0028</t>
  </si>
  <si>
    <t>Kamervragen over vernietiging van koraal</t>
  </si>
  <si>
    <t>KV0029</t>
  </si>
  <si>
    <t>Kamervragen aan de Minister van Binnenlandse Zaken en Koninkrijksrelaties en de Minister van Financiën, Economie, Landbouw en Innovatie naar aanleiding van het nieuwsbericht "Provincie en gemeenten Limburg betalen voor menselijke ketting"</t>
  </si>
  <si>
    <t>D0029</t>
  </si>
  <si>
    <t>Activiteit minister van binnenlandse zaken</t>
  </si>
  <si>
    <t>D0030</t>
  </si>
  <si>
    <t>Debat omtrent Wapendeal VS</t>
  </si>
  <si>
    <t>D0031</t>
  </si>
  <si>
    <t>Debat over defensiedeal</t>
  </si>
  <si>
    <t>Kabinet Quintionus I</t>
  </si>
  <si>
    <t>BiZJK</t>
  </si>
  <si>
    <t>Buza</t>
  </si>
  <si>
    <t>FiEZ</t>
  </si>
  <si>
    <t>GeWi</t>
  </si>
  <si>
    <t>Kabinet Quintionus II</t>
  </si>
  <si>
    <t>SZWZ</t>
  </si>
  <si>
    <t>D0032</t>
  </si>
  <si>
    <t>D0032: Debatomtrent de lijst onveilige landen</t>
  </si>
  <si>
    <t>neen</t>
  </si>
  <si>
    <t>D0033</t>
  </si>
  <si>
    <t>Debat betreffende de vormgeving van een maatschappelijke dienstplicht</t>
  </si>
  <si>
    <t>KV0045</t>
  </si>
  <si>
    <t>Kamervragen omtrent recente Koninklijke Besluiten</t>
  </si>
  <si>
    <t>door administratiefout KS0045</t>
  </si>
  <si>
    <t>Kabinet Quintionus III</t>
  </si>
  <si>
    <t>DB0033</t>
  </si>
  <si>
    <t>DB0034</t>
  </si>
  <si>
    <t>DB0035</t>
  </si>
  <si>
    <t>Kabinet Vylander II</t>
  </si>
  <si>
    <t>GW&amp;I</t>
  </si>
  <si>
    <t>KS0053</t>
  </si>
  <si>
    <t>Kabinet Vylander III</t>
  </si>
  <si>
    <t>BZJK</t>
  </si>
  <si>
    <t>Fin</t>
  </si>
  <si>
    <t>MENKEZ</t>
  </si>
  <si>
    <t>D0036</t>
  </si>
  <si>
    <t>KV0046</t>
  </si>
  <si>
    <t>Kabinet
Vylander IV</t>
  </si>
  <si>
    <t>D0037</t>
  </si>
  <si>
    <t>KV0047</t>
  </si>
  <si>
    <t>JA</t>
  </si>
  <si>
    <t>KV0048</t>
  </si>
  <si>
    <t>Interim
jespertjee</t>
  </si>
  <si>
    <t>Kamerstuk nr.</t>
  </si>
  <si>
    <t>KS0001</t>
  </si>
  <si>
    <t>Binnenlandse Zaken</t>
  </si>
  <si>
    <t>KS0002</t>
  </si>
  <si>
    <t>Veiligheid en Justitie</t>
  </si>
  <si>
    <t>Opgesteld door de Raad van de Europese Unie en internationale partners t.a.v. de Europese migrantencrisis. Gepubliceerd na val kabinet.</t>
  </si>
  <si>
    <t>KS0003</t>
  </si>
  <si>
    <t>KS0004</t>
  </si>
  <si>
    <t>KS0005</t>
  </si>
  <si>
    <t>KS0006</t>
  </si>
  <si>
    <t>Op het laatste moment ingediend voor val kabinet, KB's tellen wel</t>
  </si>
  <si>
    <t>Justitie</t>
  </si>
  <si>
    <t>Er zijn geen kamerstukken ingediend tijdens de periode MTFD-II</t>
  </si>
  <si>
    <t>KS0007</t>
  </si>
  <si>
    <t>KS0008</t>
  </si>
  <si>
    <t>Presidium</t>
  </si>
  <si>
    <t>KS0009</t>
  </si>
  <si>
    <t>KS0010</t>
  </si>
  <si>
    <t>KS0011</t>
  </si>
  <si>
    <t>Als reactie op het onderzoek van de Europese Commissie.</t>
  </si>
  <si>
    <t>KS0012</t>
  </si>
  <si>
    <t>Begroting</t>
  </si>
  <si>
    <t>KS0013</t>
  </si>
  <si>
    <t>KS0014</t>
  </si>
  <si>
    <t>KS0015</t>
  </si>
  <si>
    <t>KS0016</t>
  </si>
  <si>
    <t>Aankondigende het vertrek van Voorzitter /u/AnnaLittleAlice</t>
  </si>
  <si>
    <t>KS0017</t>
  </si>
  <si>
    <t>Infrastructuur &amp; Milieu</t>
  </si>
  <si>
    <t>KS0018</t>
  </si>
  <si>
    <t>KS0019</t>
  </si>
  <si>
    <t>Algemene zaken</t>
  </si>
  <si>
    <t>KS0020</t>
  </si>
  <si>
    <t>KS0021</t>
  </si>
  <si>
    <t>KS0022</t>
  </si>
  <si>
    <t>Binnenlandse Zaken, Veiligheid, Justitie, en Koninkrijksrelaties</t>
  </si>
  <si>
    <t>KS0023</t>
  </si>
  <si>
    <t>KS0024</t>
  </si>
  <si>
    <t>Onderwijs, Algemene Zaken</t>
  </si>
  <si>
    <t>KS0025</t>
  </si>
  <si>
    <t>KS0026</t>
  </si>
  <si>
    <t>Infrastructuur en milieu</t>
  </si>
  <si>
    <t>KS0027</t>
  </si>
  <si>
    <t>KS0028</t>
  </si>
  <si>
    <t>KS0029</t>
  </si>
  <si>
    <t>KS0030</t>
  </si>
  <si>
    <t>KS0031</t>
  </si>
  <si>
    <t>KS0032</t>
  </si>
  <si>
    <t>Sociale Zaken</t>
  </si>
  <si>
    <t>KS0033</t>
  </si>
  <si>
    <t>Economische Zaken en Financiën</t>
  </si>
  <si>
    <t>KS0034</t>
  </si>
  <si>
    <t>KS0035</t>
  </si>
  <si>
    <t>KS0036</t>
  </si>
  <si>
    <t>KS0037</t>
  </si>
  <si>
    <t>KS0037a</t>
  </si>
  <si>
    <t>Door interne fout ook op Reddit genoteerd als KS0037</t>
  </si>
  <si>
    <t>KS0038</t>
  </si>
  <si>
    <t>KS0039</t>
  </si>
  <si>
    <t>Kamerbrief aangaande ombuigingen in het beleidsterrein Veiligheid</t>
  </si>
  <si>
    <t>Veiligheid en Defensie</t>
  </si>
  <si>
    <t>KS0040</t>
  </si>
  <si>
    <t>Tussenrapport Parlementaire Enquêtecommissie Formatie Kabinet-TheJelleyFish</t>
  </si>
  <si>
    <t>KS0041</t>
  </si>
  <si>
    <t>Gebiedsnota: Ring van Rotterdam</t>
  </si>
  <si>
    <t>KS0042</t>
  </si>
  <si>
    <t>Kamerbrief aangaande de steun van Nederland aan SDF in de strijd tegen ISIS</t>
  </si>
  <si>
    <t>KS0043</t>
  </si>
  <si>
    <t>Kamerbrief inzake Zweedse Conferentie</t>
  </si>
  <si>
    <t>KS0044</t>
  </si>
  <si>
    <t>Kamerbrief inzake genderneutraliteit</t>
  </si>
  <si>
    <t>Staat op Reddit als KS0042, want de telling in de spreadsheet komt niet overeen met die op Reddit.</t>
  </si>
  <si>
    <t>KS0045</t>
  </si>
  <si>
    <t>Kamerbrief inzake Caribisch Nederland en Venezuela</t>
  </si>
  <si>
    <t>Binnenlandse Zaken, Justitie en Koninkrijksrelaties met goedkeuring van de minister van Veiligheid en Defensie</t>
  </si>
  <si>
    <t>Staat op Reddit als KS0043, want de telling in de spreadsheet komt niet overeen met die op Reddit.</t>
  </si>
  <si>
    <t>KS0044a</t>
  </si>
  <si>
    <t>Kamerbrief betreffende het onderzoek naar de vermeende buitenlandse beïnvloeding van de Links Progressieve Unie</t>
  </si>
  <si>
    <t>door interne fout op Reddit genoteerd als KS0044</t>
  </si>
  <si>
    <t>KS0045a</t>
  </si>
  <si>
    <t>Algemene Zaken, Onderwijs, Cultuur en Wetenschap</t>
  </si>
  <si>
    <t>Zijn kamervragen fout opgeschreven als KS0045, gezien deze al bestaat, gecategoriseerd als KS0045a</t>
  </si>
  <si>
    <t>KS0046</t>
  </si>
  <si>
    <t>KS0047</t>
  </si>
  <si>
    <t>KS0048</t>
  </si>
  <si>
    <t>KS0049</t>
  </si>
  <si>
    <t>KS0050</t>
  </si>
  <si>
    <t>KS0051</t>
  </si>
  <si>
    <t>KS0052</t>
  </si>
  <si>
    <t>KS0052: Kamerbrief betreft ontslag ondervoorzitter</t>
  </si>
  <si>
    <t>KS0053 is nooit ingediend</t>
  </si>
  <si>
    <t>KS0054</t>
  </si>
  <si>
    <t>KS0055</t>
  </si>
  <si>
    <t>KS0056</t>
  </si>
  <si>
    <t>KS0057</t>
  </si>
  <si>
    <t>KS0058</t>
  </si>
  <si>
    <t>Er zijn geen kamerstukken ingediend tijdens de periode Vylander IV</t>
  </si>
  <si>
    <t>KS0059</t>
  </si>
  <si>
    <t>Milieu, Energie, Natuur, Klimaat en Economische Zaken</t>
  </si>
  <si>
    <t>KS0060</t>
  </si>
  <si>
    <t>KS0061</t>
  </si>
  <si>
    <t>Parlementslid</t>
  </si>
  <si>
    <t>Regering (15)</t>
  </si>
  <si>
    <t>Oppositie (10)</t>
  </si>
  <si>
    <t>W0124-I</t>
  </si>
  <si>
    <t>W0124-II</t>
  </si>
  <si>
    <t>the_pompey</t>
  </si>
  <si>
    <t>bridgeton_man</t>
  </si>
  <si>
    <t>Adamsappelsap</t>
  </si>
  <si>
    <t>Quintionus</t>
  </si>
  <si>
    <t>Meneer_van_de_AIVD</t>
  </si>
  <si>
    <t>Knockknuckles</t>
  </si>
  <si>
    <t>Spijg</t>
  </si>
  <si>
    <t>Akuran</t>
  </si>
  <si>
    <t>Alpha_c</t>
  </si>
  <si>
    <t>SabasNL</t>
  </si>
  <si>
    <t>sick_as_frick</t>
  </si>
  <si>
    <t>Oppositie (9)</t>
  </si>
  <si>
    <t>Koopabro</t>
  </si>
  <si>
    <t>Frozen_Ultron</t>
  </si>
  <si>
    <t>Lijst Th8</t>
  </si>
  <si>
    <t>Not-an-account</t>
  </si>
  <si>
    <t>kooienb</t>
  </si>
  <si>
    <t>Regering (16)</t>
  </si>
  <si>
    <t>voor</t>
  </si>
  <si>
    <t>Wouttah</t>
  </si>
  <si>
    <t>DeRodeDroom</t>
  </si>
  <si>
    <t>themcattacker</t>
  </si>
  <si>
    <t>theultimatetrol</t>
  </si>
  <si>
    <t>UniqueUsername404</t>
  </si>
  <si>
    <t>Niet geldig</t>
  </si>
  <si>
    <t>Oppositie (8)</t>
  </si>
  <si>
    <t xml:space="preserve">Yukub </t>
  </si>
  <si>
    <t>Vylander</t>
  </si>
  <si>
    <t>Jespertjee</t>
  </si>
  <si>
    <t>Heartlight</t>
  </si>
  <si>
    <t>Regering (13)</t>
  </si>
  <si>
    <t xml:space="preserve">Tegen </t>
  </si>
  <si>
    <t>jeroentje22</t>
  </si>
  <si>
    <t>Kooienb</t>
  </si>
  <si>
    <t>crabath</t>
  </si>
  <si>
    <t>Oppositie (12)</t>
  </si>
  <si>
    <t>Kajtuu98</t>
  </si>
  <si>
    <t>OKELEUK</t>
  </si>
  <si>
    <t>Zyntaxable</t>
  </si>
  <si>
    <t xml:space="preserve">Voor </t>
  </si>
  <si>
    <t>tegen</t>
  </si>
  <si>
    <t>bauwrisv</t>
  </si>
  <si>
    <t>debestestuurlui</t>
  </si>
  <si>
    <t>Waz_met_jou</t>
  </si>
  <si>
    <t>123ricardo210</t>
  </si>
  <si>
    <t>Wolf8gall</t>
  </si>
  <si>
    <t>Tomdeaardappel</t>
  </si>
  <si>
    <t>Paddo_In_Wonderland</t>
  </si>
  <si>
    <t>OG</t>
  </si>
  <si>
    <t>MrJoey</t>
  </si>
  <si>
    <t>Jurrasicmars</t>
  </si>
  <si>
    <t>Pushingsam</t>
  </si>
  <si>
    <t>Theultimatetrol</t>
  </si>
  <si>
    <t>W0097-I</t>
  </si>
  <si>
    <t>W0097-II</t>
  </si>
  <si>
    <t>Regering (14)</t>
  </si>
  <si>
    <t>KnockKnuckles</t>
  </si>
  <si>
    <t>Meneer_vd_AIVD</t>
  </si>
  <si>
    <t>Jurassicmars</t>
  </si>
  <si>
    <t>Neukmijnpoepop</t>
  </si>
  <si>
    <t>Aphra66</t>
  </si>
  <si>
    <t>scheurneus</t>
  </si>
  <si>
    <t>Oppositie (11)</t>
  </si>
  <si>
    <t>Zomerdijk</t>
  </si>
  <si>
    <t>MTFD</t>
  </si>
  <si>
    <t>W0082-I</t>
  </si>
  <si>
    <t>W0087-I</t>
  </si>
  <si>
    <t>bhoody</t>
  </si>
  <si>
    <t>Holtenbronx</t>
  </si>
  <si>
    <t>fatherofthew0lf</t>
  </si>
  <si>
    <t>thijsray</t>
  </si>
  <si>
    <t>TheJelleyFish</t>
  </si>
  <si>
    <t>crumbledcookie93</t>
  </si>
  <si>
    <t>viccie211</t>
  </si>
  <si>
    <t>alpha_c</t>
  </si>
  <si>
    <t>deserasmus</t>
  </si>
  <si>
    <t>Roenmane</t>
  </si>
  <si>
    <t>PushingSam</t>
  </si>
  <si>
    <t>Vladim_Sokov</t>
  </si>
  <si>
    <t>Qwintro</t>
  </si>
  <si>
    <t>W0069-I</t>
  </si>
  <si>
    <t>VOor</t>
  </si>
  <si>
    <t>SCREECH95</t>
  </si>
  <si>
    <t>Klanknabootsing</t>
  </si>
  <si>
    <t>sumpuran</t>
  </si>
  <si>
    <t>Waz_Met_Jou</t>
  </si>
  <si>
    <t>KrabbHD</t>
  </si>
  <si>
    <t>Pong1175</t>
  </si>
  <si>
    <t>Vvoor</t>
  </si>
  <si>
    <t>MistaWhistah</t>
  </si>
  <si>
    <t>knockknuckels</t>
  </si>
  <si>
    <t>Muffer-NL</t>
  </si>
  <si>
    <t>wouttah</t>
  </si>
  <si>
    <t>sabasNL</t>
  </si>
  <si>
    <t>Onafhankelijk</t>
  </si>
  <si>
    <t>W0046-1</t>
  </si>
  <si>
    <t>W0054-1</t>
  </si>
  <si>
    <t>Regering (12)</t>
  </si>
  <si>
    <t>Dizziot</t>
  </si>
  <si>
    <t>Onlydead</t>
  </si>
  <si>
    <t>Oppositie (13)</t>
  </si>
  <si>
    <t>MistaWistah</t>
  </si>
  <si>
    <t>Themcattacker</t>
  </si>
  <si>
    <t>MufferNL</t>
  </si>
  <si>
    <t>W0037-1</t>
  </si>
  <si>
    <t>ThatGuyNobodyKnows</t>
  </si>
  <si>
    <t>Optimalg</t>
  </si>
  <si>
    <t>Dowyflow</t>
  </si>
  <si>
    <t>N.v.t.</t>
  </si>
  <si>
    <t>Embertorchclaw</t>
  </si>
  <si>
    <t>roland_98</t>
  </si>
  <si>
    <t>jespertjee</t>
  </si>
  <si>
    <t>LU</t>
  </si>
  <si>
    <t>Nootje1516</t>
  </si>
  <si>
    <t>MrTijn</t>
  </si>
  <si>
    <t>Jothamvw</t>
  </si>
  <si>
    <t>W0034-1</t>
  </si>
  <si>
    <t>Regering (11)</t>
  </si>
  <si>
    <t>woutske</t>
  </si>
  <si>
    <t>Oppositie (14)</t>
  </si>
  <si>
    <t>not-an-account</t>
  </si>
  <si>
    <t>De Tweede Kamer der Staten-Generaal heeft niet gestemd tijdens deze regeerperiode.</t>
  </si>
  <si>
    <t>W0013-1</t>
  </si>
  <si>
    <t>W0015-1</t>
  </si>
  <si>
    <t>W0022-1</t>
  </si>
  <si>
    <t>Regering (10)</t>
  </si>
  <si>
    <t>TheByzantineDragon</t>
  </si>
  <si>
    <t>TheJelleyfish</t>
  </si>
  <si>
    <t>TheDomCook</t>
  </si>
  <si>
    <t>NotYetRegistered</t>
  </si>
  <si>
    <t>Halfmorrow</t>
  </si>
  <si>
    <t>Oppositie (15)</t>
  </si>
  <si>
    <t>nougatreep</t>
  </si>
  <si>
    <t>jothamvw</t>
  </si>
  <si>
    <t>Conducteur</t>
  </si>
  <si>
    <t>embertorchclaw</t>
  </si>
  <si>
    <t>TonyQuark</t>
  </si>
  <si>
    <t>warranty_voids</t>
  </si>
  <si>
    <t>xx253xx</t>
  </si>
  <si>
    <t>LTIStarcraft</t>
  </si>
  <si>
    <t>Interimregering-Th8</t>
  </si>
  <si>
    <t>ShinyShinx</t>
  </si>
  <si>
    <t>Verwin133</t>
  </si>
  <si>
    <t>ElizaRei</t>
  </si>
  <si>
    <t>Jorissoris</t>
  </si>
  <si>
    <t>ElessarII</t>
  </si>
  <si>
    <t>JoHeWe</t>
  </si>
  <si>
    <t>FabulousFork</t>
  </si>
  <si>
    <t>MaffeiOne</t>
  </si>
  <si>
    <t>Frisheid</t>
  </si>
  <si>
    <t>argyrius</t>
  </si>
  <si>
    <t>Spiritus77</t>
  </si>
  <si>
    <t>Jekkert</t>
  </si>
  <si>
    <t>bigbramel</t>
  </si>
  <si>
    <t>NINTENPUG</t>
  </si>
  <si>
    <t>Tallego</t>
  </si>
  <si>
    <t>Sectiehoofd</t>
  </si>
  <si>
    <t>Dekoul</t>
  </si>
  <si>
    <t>Regering (4)</t>
  </si>
  <si>
    <t xml:space="preserve">Annaourlittlealice        </t>
  </si>
  <si>
    <t>Oppositie (4)</t>
  </si>
  <si>
    <t xml:space="preserve">Mark1802       </t>
  </si>
  <si>
    <t>lay</t>
  </si>
  <si>
    <t>Regering (3)</t>
  </si>
  <si>
    <t>TBD</t>
  </si>
  <si>
    <t>Oppositie (3)</t>
  </si>
  <si>
    <t>AnnaLittleAlice</t>
  </si>
  <si>
    <t>paddo_in_wonderland</t>
  </si>
  <si>
    <t>WongaCoup</t>
  </si>
  <si>
    <t>Leeg</t>
  </si>
  <si>
    <t>Demi00</t>
  </si>
  <si>
    <t>Sprutch</t>
  </si>
  <si>
    <t>Oppositie (5)</t>
  </si>
  <si>
    <t>Woutske</t>
  </si>
  <si>
    <t>Sumpuran</t>
  </si>
  <si>
    <t>W0035(2)</t>
  </si>
  <si>
    <t>De Eerste Kamer der Staten-Generaal heeft niet gestemd tijdens deze regeerperiode.</t>
  </si>
  <si>
    <t>optimalg</t>
  </si>
  <si>
    <t>hans2707</t>
  </si>
  <si>
    <t>De Eerste Kamer der Staten-Generaal was niet actief tijdens deze regeerperiode.</t>
  </si>
  <si>
    <t>Moties</t>
  </si>
  <si>
    <t>Wetsvoorstel</t>
  </si>
  <si>
    <t>Amendementen</t>
  </si>
  <si>
    <t>KB's</t>
  </si>
  <si>
    <t>Debaten/Kamervragen</t>
  </si>
  <si>
    <t xml:space="preserve">Kabinet
Vylander II
D66-GROEN
VVD-CU
</t>
  </si>
  <si>
    <t>Ministers</t>
  </si>
  <si>
    <t>TK zetels</t>
  </si>
  <si>
    <t>EK zetels</t>
  </si>
  <si>
    <t>Ingediend</t>
  </si>
  <si>
    <t>Door TK</t>
  </si>
  <si>
    <t>Door EK</t>
  </si>
  <si>
    <t xml:space="preserve">Kabinet
Quintionus
III
D66-GROEN
LPU-Th8
</t>
  </si>
  <si>
    <t>0/1</t>
  </si>
  <si>
    <t xml:space="preserve">Kabinet
Quintionus
II
D66-FVD
VVD-Th8
</t>
  </si>
  <si>
    <t>3&gt;4</t>
  </si>
  <si>
    <t>0/3</t>
  </si>
  <si>
    <t>2&gt;1</t>
  </si>
  <si>
    <t>Verkiezingen</t>
  </si>
  <si>
    <t>Aangenomen Motie</t>
  </si>
  <si>
    <t>Praktisch effect</t>
  </si>
  <si>
    <t>Reactie Regering</t>
  </si>
  <si>
    <t>VERWORPEN</t>
  </si>
  <si>
    <t xml:space="preserve">De regering werd verzocht binnen de EU te pleiten voor het rijbewijs als "officieel reisdocument" </t>
  </si>
  <si>
    <t>De regering werd verzocht af te zien van het afschaffen van het luchtalarm totdat er een adequaat functionerend alternatief is</t>
  </si>
  <si>
    <t>INGETROKKEN</t>
  </si>
  <si>
    <t>De regering werd verzocht om de Nederlandse bijdrage aan VN-vredesmissies te verhogen van 522 naar 1500</t>
  </si>
  <si>
    <t>De regering werd verzocht om het minimum shagaccijns voor één kilo shag te verhogen naar hetzelfde minimumaccijns voor 1000 sigaretten</t>
  </si>
  <si>
    <t>De regering werd verzocht om het in 2012 opgestelde plan, om een tweede kerncentrale in Borssele te laten bouwen (Borssele II), uit te voeren</t>
  </si>
  <si>
    <t>De regering werd verzocht om bij de begroting voor 2015-2016 de vermogensrendementsheffing te hervormen naar een progressiever en eerlijker 
systeem, om vermogens zwaarder te belasten en om de opbrengsten hier van te gebruiken om de arbeider te ontzien</t>
  </si>
  <si>
    <t>De regering werd verzocht om de Holodomor en Armeense genocide voortaan definitief als genocide te bestempelen</t>
  </si>
  <si>
    <t>De regering werd verzocht om een eenmalige salarisverhoging van 3,3% en een structurele verhoging van 1,5% door te voeren en daarnaast
 de onregelmatigheidsuren na 9 uur te laten ingaan met verhoging van de toeslag van 1 euro bruto per uur</t>
  </si>
  <si>
    <t>De regering werd verzocht om de regressieve energiebelasting vlak te maken, de kolenbelasting te behouden en te verhogen, 
en duurzame energie vrij te stellen van de energiebelasting</t>
  </si>
  <si>
    <t>De regering werd verzocht stappen te zetten om regels omtrent vliegbewegingen op Schiphol te versoepelen, uitbreiding makkelijker te maken en de 
kwaliteit van de marechaussee op Schiphol te verbeteren</t>
  </si>
  <si>
    <t>Meta-motie</t>
  </si>
  <si>
    <t>De regering werd verzocht hervormingen door te voeren in het Nederlandse gasmodel om zo een gasfonds op te richten waarmee de natuur
in het gaswinningsgebied beschermd kan worden, waarmee de inkomsten beter verdeeld en geïnvesteerd kunnen worden en waarmee de
gasinkomsten niet direct naar de begroting gaan om zo spenderingsdrift van politici tegen te gaan en de bevolking in deze gebieden een steuntje in de
rug te bieden door hun schade op een beter manier te vergoeden en om zodanig de Nederlandse economie beter te ondersteunen</t>
  </si>
  <si>
    <t>De regering werd verzocht het verzoek van de marechaussees om het parlement te bewaken met de HK416 in te willigen</t>
  </si>
  <si>
    <t>De regering werd verzocht om knooppunt Hooipolder uiteindelijk tot klaverturbine of klaverster om te bouwen</t>
  </si>
  <si>
    <t>MvW jegens de regering</t>
  </si>
  <si>
    <t>MvW jegens het Presidium</t>
  </si>
  <si>
    <t>De regering werd verzocht</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</si>
</sst>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quot;-&quot;mm&quot;-&quot;yyyy"/>
    <numFmt numFmtId="165" formatCode="dd-mm-yyyy"/>
    <numFmt numFmtId="166" formatCode="d-m-yyyy"/>
    <numFmt numFmtId="167" formatCode="d-M-yyyy"/>
    <numFmt numFmtId="168" formatCode="[$€-2]\ #,##0.00"/>
    <numFmt numFmtId="169" formatCode="d/m"/>
  </numFmts>
  <fonts count="207">
    <font>
      <sz val="10.0"/>
      <color rgb="FF000000"/>
      <name val="Arial"/>
    </font>
    <font>
      <name val="Arial"/>
    </font>
    <font>
      <b/>
      <sz val="21.0"/>
      <color rgb="FFFFFFFF"/>
      <name val="Arial"/>
    </font>
    <font/>
    <font>
      <b/>
      <sz val="30.0"/>
      <color rgb="FFFFFFFF"/>
      <name val="Arial"/>
    </font>
    <font>
      <b/>
      <sz val="13.0"/>
      <color rgb="FFFFFFFF"/>
      <name val="Arial"/>
    </font>
    <font>
      <b/>
      <sz val="13.0"/>
      <color rgb="FFFFFFFF"/>
      <name val="Lato"/>
    </font>
    <font>
      <b/>
      <u/>
      <color rgb="FF1155CC"/>
      <name val="Arial"/>
    </font>
    <font>
      <b/>
      <sz val="11.0"/>
      <name val="Lato"/>
    </font>
    <font>
      <b/>
      <strike/>
      <sz val="11.0"/>
    </font>
    <font>
      <b/>
      <u/>
      <color rgb="FF1155CC"/>
      <name val="Arial"/>
    </font>
    <font>
      <b/>
      <sz val="12.0"/>
      <color rgb="FF000000"/>
      <name val="Arial"/>
    </font>
    <font>
      <b/>
      <sz val="12.0"/>
      <name val="Arial"/>
    </font>
    <font>
      <b/>
      <u/>
      <sz val="11.0"/>
      <color rgb="FF1155CC"/>
      <name val="Arial"/>
    </font>
    <font>
      <b/>
      <sz val="12.0"/>
      <color rgb="FFFFFFFF"/>
      <name val="Arial"/>
    </font>
    <font>
      <b/>
      <u/>
      <sz val="11.0"/>
      <color rgb="FF1155CC"/>
      <name val="Arial"/>
    </font>
    <font>
      <b/>
      <u/>
      <sz val="11.0"/>
      <color rgb="FF1155CC"/>
      <name val="Arial"/>
    </font>
    <font>
      <b/>
      <u/>
      <color rgb="FF1155CC"/>
      <name val="Arial"/>
    </font>
    <font>
      <b/>
      <sz val="12.0"/>
      <color rgb="FFFFCC00"/>
      <name val="Arial"/>
    </font>
    <font>
      <b/>
      <u/>
      <sz val="11.0"/>
      <color rgb="FF1155CC"/>
      <name val="Arial"/>
    </font>
    <font>
      <b/>
      <u/>
      <color rgb="FF1155CC"/>
      <name val="Arial"/>
    </font>
    <font>
      <b/>
      <u/>
      <color rgb="FF1155CC"/>
      <name val="Arial"/>
    </font>
    <font>
      <b/>
      <u/>
      <color rgb="FF1155CC"/>
      <name val="Arial"/>
    </font>
    <font>
      <b/>
      <sz val="20.0"/>
      <color rgb="FFFFFFFF"/>
      <name val="Arial"/>
    </font>
    <font>
      <b/>
      <sz val="11.0"/>
      <color rgb="FFFFFFFF"/>
      <name val="Arial"/>
    </font>
    <font>
      <b/>
      <sz val="11.0"/>
      <color rgb="FFFFFFFF"/>
    </font>
    <font>
      <b/>
      <sz val="16.0"/>
      <color rgb="FFFFFFFF"/>
    </font>
    <font>
      <b/>
      <sz val="14.0"/>
      <name val="Arial"/>
    </font>
    <font>
      <b/>
      <sz val="11.0"/>
      <name val="Arial"/>
    </font>
    <font>
      <sz val="11.0"/>
      <name val="Arial"/>
    </font>
    <font>
      <sz val="11.0"/>
      <color rgb="FF000000"/>
      <name val="Arial"/>
    </font>
    <font>
      <b/>
      <sz val="14.0"/>
      <color rgb="FFFFFFFF"/>
      <name val="Arial"/>
    </font>
    <font>
      <sz val="11.0"/>
      <color rgb="FFFFFFFF"/>
      <name val="Arial"/>
    </font>
    <font>
      <b/>
      <sz val="16.0"/>
      <color rgb="FFFFFFFF"/>
      <name val="Inconsolata"/>
    </font>
    <font>
      <b/>
      <name val="Arial"/>
    </font>
    <font>
      <b/>
      <sz val="11.0"/>
      <color rgb="FFC53929"/>
      <name val="Arial"/>
    </font>
    <font>
      <b/>
      <color rgb="FFC53929"/>
      <name val="Arial"/>
    </font>
    <font>
      <b/>
      <sz val="12.0"/>
      <color rgb="FFFFFFFF"/>
    </font>
    <font>
      <b/>
      <sz val="20.0"/>
      <color rgb="FFFFFFFF"/>
    </font>
    <font>
      <b/>
      <sz val="12.0"/>
    </font>
    <font>
      <strike/>
      <sz val="11.0"/>
      <color rgb="FFFFFFFF"/>
      <name val="Arial"/>
    </font>
    <font>
      <b/>
    </font>
    <font>
      <b/>
      <strike/>
      <sz val="11.0"/>
      <color rgb="FF274E13"/>
      <name val="Arial"/>
    </font>
    <font>
      <strike/>
      <sz val="11.0"/>
      <color rgb="FF274E13"/>
      <name val="Arial"/>
    </font>
    <font>
      <b/>
      <sz val="14.0"/>
      <color rgb="FF274E13"/>
      <name val="Arial"/>
    </font>
    <font>
      <b/>
      <sz val="11.0"/>
      <color rgb="FF274E13"/>
      <name val="Arial"/>
    </font>
    <font>
      <sz val="11.0"/>
      <color rgb="FF274E13"/>
      <name val="Arial"/>
    </font>
    <font>
      <b/>
      <i/>
      <u/>
      <color rgb="FF0000FF"/>
      <name val="Arial"/>
    </font>
    <font>
      <b/>
      <sz val="16.0"/>
      <color rgb="FFFFFFFF"/>
      <name val="Arial"/>
    </font>
    <font>
      <sz val="11.0"/>
      <color rgb="FFC53929"/>
      <name val="Arial"/>
    </font>
    <font>
      <color rgb="FFC53929"/>
      <name val="Arial"/>
    </font>
    <font>
      <b/>
      <strike/>
      <sz val="11.0"/>
      <color rgb="FFFFFFFF"/>
      <name val="Arial"/>
    </font>
    <font>
      <b/>
      <strike/>
      <sz val="14.0"/>
      <color rgb="FF274E13"/>
      <name val="Arial"/>
    </font>
    <font>
      <b/>
      <sz val="8.0"/>
      <color rgb="FFFFFFFF"/>
    </font>
    <font>
      <b/>
      <color rgb="FFFFFFFF"/>
    </font>
    <font>
      <b/>
      <sz val="8.0"/>
    </font>
    <font>
      <b/>
      <sz val="10.0"/>
    </font>
    <font>
      <b/>
      <sz val="10.0"/>
      <color rgb="FFFFFFFF"/>
    </font>
    <font>
      <sz val="10.0"/>
      <color rgb="FFFFFFFF"/>
    </font>
    <font>
      <u/>
      <sz val="10.0"/>
      <color rgb="FF0000FF"/>
    </font>
    <font>
      <sz val="10.0"/>
    </font>
    <font>
      <b/>
      <sz val="10.0"/>
      <color rgb="FFD9D9D9"/>
    </font>
    <font>
      <b/>
      <color rgb="FFFFD966"/>
    </font>
    <font>
      <i/>
      <sz val="10.0"/>
      <color rgb="FFFFFFFF"/>
    </font>
    <font>
      <color rgb="FF000000"/>
      <name val="Arial"/>
    </font>
    <font>
      <u/>
      <sz val="10.0"/>
      <color rgb="FF0000FF"/>
    </font>
    <font>
      <b/>
      <u/>
      <sz val="10.0"/>
      <color rgb="FF0000FF"/>
    </font>
    <font>
      <u/>
      <color rgb="FF0000FF"/>
    </font>
    <font>
      <u/>
      <sz val="10.0"/>
      <color rgb="FF0000FF"/>
    </font>
    <font>
      <u/>
      <sz val="10.0"/>
      <color rgb="FF0000FF"/>
    </font>
    <font>
      <b/>
      <u/>
      <sz val="10.0"/>
      <color rgb="FF0000FF"/>
    </font>
    <font>
      <b/>
      <u/>
      <color rgb="FF0000FF"/>
    </font>
    <font>
      <b/>
      <color rgb="FFFFFFFF"/>
      <name val="Arial"/>
    </font>
    <font>
      <b/>
      <u/>
      <color rgb="FF0000FF"/>
    </font>
    <font>
      <u/>
      <color rgb="FF0000FF"/>
    </font>
    <font>
      <b/>
      <sz val="10.0"/>
      <color rgb="FFFFFFFF"/>
      <name val="Arial"/>
    </font>
    <font>
      <b/>
      <sz val="10.0"/>
      <color rgb="FFCC0000"/>
    </font>
    <font>
      <u/>
      <sz val="10.0"/>
      <color rgb="FF0000FF"/>
    </font>
    <font>
      <u/>
      <sz val="10.0"/>
      <color rgb="FF0000FF"/>
    </font>
    <font>
      <b/>
      <u/>
      <sz val="10.0"/>
      <color rgb="FF0000FF"/>
    </font>
    <font>
      <sz val="10.0"/>
      <color rgb="FFFFFFFF"/>
      <name val="Arial"/>
    </font>
    <font>
      <b/>
      <sz val="10.0"/>
      <name val="Arial"/>
    </font>
    <font>
      <u/>
      <sz val="10.0"/>
      <color rgb="FF0000FF"/>
      <name val="Arial"/>
    </font>
    <font>
      <u/>
      <sz val="10.0"/>
      <color rgb="FF0000FF"/>
      <name val="Arial"/>
    </font>
    <font>
      <b/>
      <u/>
      <sz val="10.0"/>
      <color rgb="FF0000FF"/>
      <name val="Arial"/>
    </font>
    <font>
      <color rgb="FFFFFFFF"/>
    </font>
    <font>
      <u/>
      <color rgb="FF0000FF"/>
    </font>
    <font>
      <b/>
      <sz val="10.0"/>
      <color rgb="FF38761D"/>
      <name val="Arial"/>
    </font>
    <font>
      <b/>
      <u/>
      <color rgb="FF0000FF"/>
    </font>
    <font>
      <b/>
      <sz val="10.0"/>
      <color rgb="FFFFFF00"/>
      <name val="Arial"/>
    </font>
    <font>
      <i/>
      <sz val="10.0"/>
      <color rgb="FFFFFFFF"/>
      <name val="Arial"/>
    </font>
    <font>
      <i/>
      <sz val="10.0"/>
      <name val="Arial"/>
    </font>
    <font>
      <b/>
      <sz val="10.0"/>
      <color rgb="FFE1063D"/>
      <name val="Arial"/>
    </font>
    <font>
      <color rgb="FF000000"/>
    </font>
    <font>
      <u/>
      <sz val="10.0"/>
      <color rgb="FF0079D3"/>
      <name val="Arial"/>
    </font>
    <font>
      <b/>
      <u/>
      <sz val="10.0"/>
      <color rgb="FF0000FF"/>
      <name val="Arial"/>
    </font>
    <font>
      <u/>
      <sz val="10.0"/>
      <color rgb="FF0000FF"/>
      <name val="Arial"/>
    </font>
    <font>
      <sz val="10.0"/>
      <name val="Arial"/>
    </font>
    <font>
      <color rgb="FFFFFFFF"/>
      <name val="Arial"/>
    </font>
    <font>
      <u/>
      <color rgb="FF0000FF"/>
      <name val="Arial"/>
    </font>
    <font>
      <u/>
      <color rgb="FF0000FF"/>
      <name val="Arial"/>
    </font>
    <font>
      <u/>
      <color rgb="FF0000FF"/>
      <name val="Arial"/>
    </font>
    <font>
      <b/>
      <u/>
      <color rgb="FF0000FF"/>
      <name val="Arial"/>
    </font>
    <font>
      <b/>
      <color rgb="FFFFD966"/>
      <name val="Arial"/>
    </font>
    <font>
      <u/>
      <color rgb="FF0000FF"/>
      <name val="Arial"/>
    </font>
    <font>
      <u/>
      <color rgb="FF0000FF"/>
      <name val="Arial"/>
    </font>
    <font>
      <i/>
    </font>
    <font>
      <b/>
      <u/>
      <color rgb="FF0000FF"/>
      <name val="Arial"/>
    </font>
    <font>
      <u/>
      <color rgb="FF0000FF"/>
      <name val="Arial"/>
    </font>
    <font>
      <u/>
      <color rgb="FF0000FF"/>
      <name val="Arial"/>
    </font>
    <font>
      <u/>
      <color rgb="FF0000FF"/>
    </font>
    <font>
      <b/>
      <u/>
      <color rgb="FF0000FF"/>
      <name val="Arial"/>
    </font>
    <font>
      <b/>
      <u/>
      <color rgb="FF0000FF"/>
      <name val="Arial"/>
    </font>
    <font>
      <u/>
      <color rgb="FF0000FF"/>
      <name val="Arial"/>
    </font>
    <font>
      <u/>
      <color rgb="FF0000FF"/>
    </font>
    <font>
      <u/>
      <color rgb="FF0000FF"/>
    </font>
    <font>
      <b/>
      <color rgb="FFCC0000"/>
    </font>
    <font>
      <u/>
      <sz val="10.0"/>
      <color rgb="FF1155CC"/>
      <name val="Arial"/>
    </font>
    <font>
      <u/>
      <color rgb="FF0000FF"/>
    </font>
    <font>
      <u/>
      <color rgb="FF0000FF"/>
    </font>
    <font>
      <u/>
      <color rgb="FF0000FF"/>
    </font>
    <font>
      <u/>
      <color rgb="FF0000FF"/>
    </font>
    <font>
      <b/>
      <color rgb="FFF3F3F3"/>
    </font>
    <font>
      <b/>
      <u/>
      <color rgb="FF0000FF"/>
    </font>
    <font>
      <u/>
      <color rgb="FF0000FF"/>
    </font>
    <font>
      <b/>
      <u/>
      <color rgb="FF0000FF"/>
    </font>
    <font>
      <u/>
      <color rgb="FF0000FF"/>
      <name val="Arial"/>
    </font>
    <font>
      <u/>
      <color rgb="FF0000FF"/>
    </font>
    <font>
      <u/>
      <color rgb="FF0000FF"/>
    </font>
    <font>
      <u/>
      <color rgb="FF0000FF"/>
    </font>
    <font>
      <u/>
      <color rgb="FF0000FF"/>
    </font>
    <font>
      <b/>
      <u/>
      <color rgb="FF0000FF"/>
    </font>
    <font>
      <u/>
      <color rgb="FF0000FF"/>
    </font>
    <font>
      <u/>
      <color rgb="FF0000FF"/>
    </font>
    <font>
      <b/>
      <u/>
      <color rgb="FF0000FF"/>
    </font>
    <font>
      <b/>
      <u/>
      <color rgb="FF0000FF"/>
    </font>
    <font>
      <u/>
      <color rgb="FF0000FF"/>
    </font>
    <font>
      <i/>
      <sz val="10.0"/>
    </font>
    <font>
      <u/>
      <color rgb="FF0000FF"/>
    </font>
    <font>
      <u/>
      <color rgb="FF0000FF"/>
    </font>
    <font>
      <u/>
      <color rgb="FF0000FF"/>
    </font>
    <font>
      <u/>
      <color rgb="FF0000FF"/>
    </font>
    <font>
      <u/>
      <sz val="10.0"/>
      <color rgb="FF0000FF"/>
      <name val="Arial"/>
    </font>
    <font>
      <u/>
      <sz val="10.0"/>
      <color rgb="FF0000FF"/>
    </font>
    <font>
      <b/>
      <color rgb="FF000000"/>
      <name val="Arial"/>
    </font>
    <font>
      <u/>
      <sz val="10.0"/>
      <color rgb="FF1155CC"/>
      <name val="Arial"/>
    </font>
    <font>
      <u/>
      <sz val="10.0"/>
      <color rgb="FF0000FF"/>
    </font>
    <font>
      <u/>
      <color rgb="FF0000FF"/>
    </font>
    <font>
      <i/>
      <name val="Arial"/>
    </font>
    <font>
      <u/>
      <color rgb="FF0000FF"/>
    </font>
    <font>
      <u/>
      <sz val="10.0"/>
      <color rgb="FF0000FF"/>
    </font>
    <font>
      <b/>
      <color rgb="FF274E13"/>
      <name val="Arial"/>
    </font>
    <font>
      <color rgb="FF274E13"/>
      <name val="Arial"/>
    </font>
    <font>
      <strike/>
      <name val="Arial"/>
    </font>
    <font>
      <b/>
      <color rgb="FFFF0000"/>
      <name val="Arial"/>
    </font>
    <font>
      <color rgb="FFFF0000"/>
      <name val="Arial"/>
    </font>
    <font>
      <strike/>
      <color rgb="FFFF0000"/>
      <name val="Arial"/>
    </font>
    <font>
      <strike/>
      <color rgb="FFFFFFFF"/>
      <name val="Arial"/>
    </font>
    <font>
      <b/>
      <strike/>
      <color rgb="FFFFFFFF"/>
      <name val="Arial"/>
    </font>
    <font>
      <color rgb="FFFF0000"/>
    </font>
    <font>
      <strike/>
      <color rgb="FF000000"/>
      <name val="Arial"/>
    </font>
    <font>
      <color rgb="FFEFEFEF"/>
      <name val="Arial"/>
    </font>
    <font>
      <strike/>
      <color rgb="FF274E13"/>
      <name val="Arial"/>
    </font>
    <font>
      <color rgb="FFFFD966"/>
      <name val="Arial"/>
    </font>
    <font>
      <strike/>
      <color rgb="FFFFD966"/>
      <name val="Arial"/>
    </font>
    <font>
      <b/>
      <color rgb="FFCC0000"/>
      <name val="Arial"/>
    </font>
    <font>
      <color rgb="FFCC0000"/>
      <name val="Arial"/>
    </font>
    <font>
      <strike/>
      <color rgb="FFCC0000"/>
      <name val="Arial"/>
    </font>
    <font>
      <b/>
      <color rgb="FF274E13"/>
    </font>
    <font>
      <color rgb="FF274E13"/>
    </font>
    <font>
      <strike/>
      <color rgb="FF274E13"/>
    </font>
    <font>
      <b/>
      <strike/>
      <color rgb="FF000000"/>
      <name val="Arial"/>
    </font>
    <font>
      <b/>
      <strike/>
      <name val="Arial"/>
    </font>
    <font>
      <color rgb="FFC53929"/>
    </font>
    <font>
      <b/>
      <color rgb="FF980000"/>
      <name val="Arial"/>
    </font>
    <font>
      <color rgb="FF980000"/>
      <name val="Arial"/>
    </font>
    <font>
      <b/>
      <color rgb="FF00A651"/>
      <name val="Arial"/>
    </font>
    <font>
      <color rgb="FF00A651"/>
      <name val="Arial"/>
    </font>
    <font>
      <strike/>
      <color rgb="FF00A651"/>
      <name val="Arial"/>
    </font>
    <font>
      <color rgb="FFF3F3F3"/>
      <name val="Arial"/>
    </font>
    <font>
      <b/>
      <color rgb="FF0066FF"/>
      <name val="Arial"/>
    </font>
    <font>
      <color rgb="FF0066FF"/>
      <name val="Arial"/>
    </font>
    <font>
      <b/>
      <strike/>
      <color rgb="FFCC0000"/>
      <name val="Arial"/>
    </font>
    <font>
      <strike/>
    </font>
    <font>
      <b/>
      <color rgb="FF990000"/>
      <name val="Arial"/>
    </font>
    <font>
      <color rgb="FF990000"/>
      <name val="Arial"/>
    </font>
    <font>
      <strike/>
      <color rgb="FF990000"/>
      <name val="Arial"/>
    </font>
    <font>
      <b/>
      <color rgb="FFFFE600"/>
      <name val="Arial"/>
    </font>
    <font>
      <color rgb="FFFFE600"/>
      <name val="Arial"/>
    </font>
    <font>
      <color rgb="FF434343"/>
      <name val="Arial"/>
    </font>
    <font>
      <color rgb="FF434343"/>
    </font>
    <font>
      <color rgb="FFFFD966"/>
    </font>
    <font>
      <i/>
      <color rgb="FFCC0000"/>
    </font>
    <font>
      <color rgb="FFCC0000"/>
    </font>
    <font>
      <strike/>
      <color rgb="FFCC0000"/>
    </font>
    <font>
      <strike/>
      <sz val="10.0"/>
    </font>
    <font>
      <b/>
      <strike/>
      <color rgb="FF274E13"/>
    </font>
    <font>
      <color rgb="FF990000"/>
    </font>
    <font>
      <color rgb="FF00A651"/>
    </font>
    <font>
      <sz val="10.0"/>
      <color rgb="FFC53929"/>
    </font>
    <font>
      <strike/>
      <color rgb="FFFFD966"/>
    </font>
    <font>
      <strike/>
      <color rgb="FF990000"/>
    </font>
    <font>
      <strike/>
      <color rgb="FFFFFFFF"/>
    </font>
    <font>
      <color rgb="FFFFE600"/>
    </font>
    <font>
      <b/>
      <color rgb="FF000000"/>
    </font>
    <font>
      <b/>
      <color rgb="FFFF0000"/>
    </font>
    <font>
      <b/>
      <color rgb="FF434343"/>
    </font>
  </fonts>
  <fills count="41">
    <fill>
      <patternFill patternType="none"/>
    </fill>
    <fill>
      <patternFill patternType="lightGray"/>
    </fill>
    <fill>
      <patternFill patternType="solid">
        <fgColor rgb="FFF3F3F3"/>
        <bgColor rgb="FFF3F3F3"/>
      </patternFill>
    </fill>
    <fill>
      <patternFill patternType="solid">
        <fgColor rgb="FF2E498E"/>
        <bgColor rgb="FF2E498E"/>
      </patternFill>
    </fill>
    <fill>
      <patternFill patternType="solid">
        <fgColor rgb="FFFF0000"/>
        <bgColor rgb="FFFF0000"/>
      </patternFill>
    </fill>
    <fill>
      <patternFill patternType="solid">
        <fgColor rgb="FFFD8C24"/>
        <bgColor rgb="FFFD8C24"/>
      </patternFill>
    </fill>
    <fill>
      <patternFill patternType="solid">
        <fgColor rgb="FFFFFFFF"/>
        <bgColor rgb="FFFFFFFF"/>
      </patternFill>
    </fill>
    <fill>
      <patternFill patternType="solid">
        <fgColor rgb="FFDE0000"/>
        <bgColor rgb="FFDE0000"/>
      </patternFill>
    </fill>
    <fill>
      <patternFill patternType="solid">
        <fgColor rgb="FF274E13"/>
        <bgColor rgb="FF274E13"/>
      </patternFill>
    </fill>
    <fill>
      <patternFill patternType="solid">
        <fgColor rgb="FF1767C6"/>
        <bgColor rgb="FF1767C6"/>
      </patternFill>
    </fill>
    <fill>
      <patternFill patternType="solid">
        <fgColor rgb="FF0000FF"/>
        <bgColor rgb="FF0000FF"/>
      </patternFill>
    </fill>
    <fill>
      <patternFill patternType="solid">
        <fgColor rgb="FF00AF3F"/>
        <bgColor rgb="FF00AF3F"/>
      </patternFill>
    </fill>
    <fill>
      <patternFill patternType="solid">
        <fgColor rgb="FF732A86"/>
        <bgColor rgb="FF732A86"/>
      </patternFill>
    </fill>
    <fill>
      <patternFill patternType="solid">
        <fgColor rgb="FF6D9EEB"/>
        <bgColor rgb="FF6D9EEB"/>
      </patternFill>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B7E1CD"/>
        <bgColor rgb="FFB7E1CD"/>
      </patternFill>
    </fill>
    <fill>
      <patternFill patternType="solid">
        <fgColor rgb="FFD9EAD3"/>
        <bgColor rgb="FFD9EAD3"/>
      </patternFill>
    </fill>
    <fill>
      <patternFill patternType="solid">
        <fgColor rgb="FFF4C7C3"/>
        <bgColor rgb="FFF4C7C3"/>
      </patternFill>
    </fill>
    <fill>
      <patternFill patternType="solid">
        <fgColor rgb="FFF4CCCC"/>
        <bgColor rgb="FFF4CCCC"/>
      </patternFill>
    </fill>
    <fill>
      <patternFill patternType="solid">
        <fgColor rgb="FFFFF2CC"/>
        <bgColor rgb="FFFFF2CC"/>
      </patternFill>
    </fill>
    <fill>
      <patternFill patternType="solid">
        <fgColor rgb="FFCCCCCC"/>
        <bgColor rgb="FFCCCCCC"/>
      </patternFill>
    </fill>
    <fill>
      <patternFill patternType="solid">
        <fgColor rgb="FF999999"/>
        <bgColor rgb="FF999999"/>
      </patternFill>
    </fill>
    <fill>
      <patternFill patternType="solid">
        <fgColor rgb="FFD9D9D9"/>
        <bgColor rgb="FFD9D9D9"/>
      </patternFill>
    </fill>
    <fill>
      <patternFill patternType="solid">
        <fgColor rgb="FF990000"/>
        <bgColor rgb="FF990000"/>
      </patternFill>
    </fill>
    <fill>
      <patternFill patternType="solid">
        <fgColor rgb="FFEFEFEF"/>
        <bgColor rgb="FFEFEFEF"/>
      </patternFill>
    </fill>
    <fill>
      <patternFill patternType="solid">
        <fgColor rgb="FF38761D"/>
        <bgColor rgb="FF38761D"/>
      </patternFill>
    </fill>
    <fill>
      <patternFill patternType="solid">
        <fgColor rgb="FF82BC00"/>
        <bgColor rgb="FF82BC00"/>
      </patternFill>
    </fill>
    <fill>
      <patternFill patternType="solid">
        <fgColor rgb="FFFCFCFC"/>
        <bgColor rgb="FFFCFCFC"/>
      </patternFill>
    </fill>
    <fill>
      <patternFill patternType="solid">
        <fgColor rgb="FFF6B26B"/>
        <bgColor rgb="FFF6B26B"/>
      </patternFill>
    </fill>
    <fill>
      <patternFill patternType="solid">
        <fgColor rgb="FFFCD116"/>
        <bgColor rgb="FFFCD116"/>
      </patternFill>
    </fill>
    <fill>
      <patternFill patternType="solid">
        <fgColor rgb="FFFFFF00"/>
        <bgColor rgb="FFFFFF00"/>
      </patternFill>
    </fill>
    <fill>
      <patternFill patternType="solid">
        <fgColor rgb="FFFCE8B2"/>
        <bgColor rgb="FFFCE8B2"/>
      </patternFill>
    </fill>
    <fill>
      <patternFill patternType="solid">
        <fgColor rgb="FF153460"/>
        <bgColor rgb="FF153460"/>
      </patternFill>
    </fill>
    <fill>
      <patternFill patternType="solid">
        <fgColor rgb="FF003000"/>
        <bgColor rgb="FF003000"/>
      </patternFill>
    </fill>
    <fill>
      <patternFill patternType="solid">
        <fgColor rgb="FF5E085E"/>
        <bgColor rgb="FF5E085E"/>
      </patternFill>
    </fill>
    <fill>
      <patternFill patternType="solid">
        <fgColor rgb="FFCC0000"/>
        <bgColor rgb="FFCC0000"/>
      </patternFill>
    </fill>
    <fill>
      <patternFill patternType="solid">
        <fgColor rgb="FFFFE400"/>
        <bgColor rgb="FFFFE400"/>
      </patternFill>
    </fill>
    <fill>
      <patternFill patternType="solid">
        <fgColor rgb="FFB7B7B7"/>
        <bgColor rgb="FFB7B7B7"/>
      </patternFill>
    </fill>
    <fill>
      <patternFill patternType="solid">
        <fgColor rgb="FF0E208C"/>
        <bgColor rgb="FF0E208C"/>
      </patternFill>
    </fill>
  </fills>
  <borders count="175">
    <border/>
    <border>
      <left style="thin">
        <color rgb="FFF3F3F3"/>
      </left>
      <right style="thin">
        <color rgb="FFF3F3F3"/>
      </right>
      <top style="thin">
        <color rgb="FFF3F3F3"/>
      </top>
      <bottom style="thin">
        <color rgb="FFF3F3F3"/>
      </bottom>
    </border>
    <border>
      <right style="thin">
        <color rgb="FFF3F3F3"/>
      </right>
      <top style="thin">
        <color rgb="FFF3F3F3"/>
      </top>
      <bottom style="thick">
        <color rgb="FF000000"/>
      </bottom>
    </border>
    <border>
      <right style="thin">
        <color rgb="FFF3F3F3"/>
      </right>
      <top style="thin">
        <color rgb="FFF3F3F3"/>
      </top>
      <bottom style="thin">
        <color rgb="FFF3F3F3"/>
      </bottom>
    </border>
    <border>
      <left style="thin">
        <color rgb="FFF3F3F3"/>
      </left>
      <right style="thick">
        <color rgb="FF000000"/>
      </right>
      <bottom style="thin">
        <color rgb="FFF3F3F3"/>
      </bottom>
    </border>
    <border>
      <right style="thick">
        <color rgb="FF000000"/>
      </right>
    </border>
    <border>
      <right style="thin">
        <color rgb="FFF3F3F3"/>
      </right>
      <bottom style="thin">
        <color rgb="FFF3F3F3"/>
      </bottom>
    </border>
    <border>
      <bottom style="thick">
        <color rgb="FF000000"/>
      </bottom>
    </border>
    <border>
      <right style="thick">
        <color rgb="FF000000"/>
      </right>
      <bottom style="thick">
        <color rgb="FF000000"/>
      </bottom>
    </border>
    <border>
      <left style="thin">
        <color rgb="FFF3F3F3"/>
      </left>
      <right style="thin">
        <color rgb="FFF3F3F3"/>
      </right>
      <bottom style="thin">
        <color rgb="FFF3F3F3"/>
      </bottom>
    </border>
    <border>
      <right style="thin">
        <color rgb="FFF3F3F3"/>
      </right>
      <bottom style="thick">
        <color rgb="FF000000"/>
      </bottom>
    </border>
    <border>
      <right style="thick">
        <color rgb="FF000000"/>
      </right>
      <bottom style="thin">
        <color rgb="FFF3F3F3"/>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ck">
        <color rgb="FF000000"/>
      </right>
      <top style="thin">
        <color rgb="FFF3F3F3"/>
      </top>
      <bottom style="thin">
        <color rgb="FFF3F3F3"/>
      </bottom>
    </border>
    <border>
      <right style="thick">
        <color rgb="FF000000"/>
      </right>
      <top style="thick">
        <color rgb="FF000000"/>
      </top>
    </border>
    <border>
      <right style="thick">
        <color rgb="FF000000"/>
      </right>
      <bottom style="thin">
        <color rgb="FF000000"/>
      </bottom>
    </border>
    <border>
      <left style="thin">
        <color rgb="FFF3F3F3"/>
      </left>
      <bottom style="thick">
        <color rgb="FF000000"/>
      </bottom>
    </border>
    <border>
      <left style="thick">
        <color rgb="FF000000"/>
      </left>
      <right style="thick">
        <color rgb="FF000000"/>
      </right>
    </border>
    <border>
      <right style="thin">
        <color rgb="FF000000"/>
      </right>
      <bottom style="thin">
        <color rgb="FFF3F3F3"/>
      </bottom>
    </border>
    <border>
      <left style="thin">
        <color rgb="FF000000"/>
      </left>
      <right style="thin">
        <color rgb="FF000000"/>
      </right>
      <bottom style="thin">
        <color rgb="FF000000"/>
      </bottom>
    </border>
    <border>
      <right style="thin">
        <color rgb="FF000000"/>
      </right>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FFFFFF"/>
      </right>
      <bottom style="thin">
        <color rgb="FF000000"/>
      </bottom>
    </border>
    <border>
      <right style="thin">
        <color rgb="FFF3F3F3"/>
      </right>
    </border>
    <border>
      <right style="thin">
        <color rgb="FFF3F3F3"/>
      </right>
      <bottom style="medium">
        <color rgb="FF000000"/>
      </bottom>
    </border>
    <border>
      <right style="thin">
        <color rgb="FFF3F3F3"/>
      </right>
      <top style="thin">
        <color rgb="FF000000"/>
      </top>
      <bottom style="medium">
        <color rgb="FF000000"/>
      </bottom>
    </border>
    <border>
      <right style="thin">
        <color rgb="FFF3F3F3"/>
      </right>
      <top style="thin">
        <color rgb="FF000000"/>
      </top>
      <bottom style="thin">
        <color rgb="FFF3F3F3"/>
      </bottom>
    </border>
    <border>
      <left style="thin">
        <color rgb="FF000000"/>
      </left>
      <bottom style="thin">
        <color rgb="FF000000"/>
      </bottom>
    </border>
    <border>
      <bottom style="thin">
        <color rgb="FF000000"/>
      </bottom>
    </border>
    <border>
      <right style="medium">
        <color rgb="FF000000"/>
      </right>
    </border>
    <border>
      <right style="thin">
        <color rgb="FF000000"/>
      </right>
    </border>
    <border>
      <bottom style="medium">
        <color rgb="FF000000"/>
      </bottom>
    </border>
    <border>
      <right style="medium">
        <color rgb="FF000000"/>
      </right>
      <bottom style="medium">
        <color rgb="FF000000"/>
      </bottom>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right style="medium">
        <color rgb="FF000000"/>
      </right>
      <top style="medium">
        <color rgb="FF000000"/>
      </top>
      <bottom style="medium">
        <color rgb="FF000000"/>
      </bottom>
    </border>
    <border>
      <right style="thin">
        <color rgb="FF000000"/>
      </right>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left style="thin">
        <color rgb="FF000000"/>
      </left>
      <bottom style="medium">
        <color rgb="FF000000"/>
      </bottom>
    </border>
    <border>
      <left style="thin">
        <color rgb="FF000000"/>
      </left>
      <right style="medium">
        <color rgb="FF000000"/>
      </right>
    </border>
    <border>
      <left style="thin">
        <color rgb="FF000000"/>
      </left>
      <right style="thin">
        <color rgb="FF000000"/>
      </right>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medium">
        <color rgb="FF000000"/>
      </left>
      <right style="thin">
        <color rgb="FF000000"/>
      </right>
      <top style="thin">
        <color rgb="FF000000"/>
      </top>
    </border>
    <border>
      <left style="thin">
        <color rgb="FF000000"/>
      </left>
    </border>
    <border>
      <left style="medium">
        <color rgb="FF000000"/>
      </left>
      <right style="thin">
        <color rgb="FF000000"/>
      </right>
    </border>
    <border>
      <left style="medium">
        <color rgb="FF000000"/>
      </left>
      <right style="thin">
        <color rgb="FF000000"/>
      </right>
      <bottom style="thin">
        <color rgb="FF000000"/>
      </bottom>
    </border>
    <border>
      <right style="thin">
        <color rgb="FF000000"/>
      </right>
      <top style="medium">
        <color rgb="FF000000"/>
      </top>
      <bottom style="medium">
        <color rgb="FF000000"/>
      </bottom>
    </border>
    <border>
      <right style="medium">
        <color rgb="FF000000"/>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left style="thin">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n">
        <color rgb="FF000000"/>
      </right>
      <top style="medium">
        <color rgb="FF000000"/>
      </top>
    </border>
    <border>
      <left style="thin">
        <color rgb="FF000000"/>
      </left>
      <right style="medium">
        <color rgb="FF000000"/>
      </right>
      <top style="thin">
        <color rgb="FF000000"/>
      </top>
    </border>
    <border>
      <left style="medium">
        <color rgb="FF000000"/>
      </left>
      <top style="thin">
        <color rgb="FF000000"/>
      </top>
    </border>
    <border>
      <top style="thin">
        <color rgb="FF000000"/>
      </top>
    </border>
    <border>
      <left style="medium">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bottom style="thin">
        <color rgb="FFF3F3F3"/>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FFFFFF"/>
      </left>
      <top style="medium">
        <color rgb="FF000000"/>
      </top>
    </border>
    <border>
      <left style="medium">
        <color rgb="FF000000"/>
      </left>
      <right style="medium">
        <color rgb="FF000000"/>
      </right>
      <top style="medium">
        <color rgb="FF000000"/>
      </top>
      <bottom style="medium">
        <color rgb="FF000000"/>
      </bottom>
    </border>
    <border>
      <right style="thin">
        <color rgb="FF000000"/>
      </right>
      <bottom style="thin">
        <color rgb="FFFFFFFF"/>
      </bottom>
    </border>
    <border>
      <bottom style="thin">
        <color rgb="FFCCCCCC"/>
      </bottom>
    </border>
    <border>
      <bottom style="thin">
        <color rgb="FFFFFFFF"/>
      </bottom>
    </border>
    <border>
      <top style="thin">
        <color rgb="FFFFFFFF"/>
      </top>
    </border>
    <border>
      <left style="thin">
        <color rgb="FF666666"/>
      </left>
      <right style="thin">
        <color rgb="FF666666"/>
      </right>
      <top style="thin">
        <color rgb="FF666666"/>
      </top>
      <bottom style="thin">
        <color rgb="FF666666"/>
      </bottom>
    </border>
    <border>
      <top style="thin">
        <color rgb="FFFFFFFF"/>
      </top>
      <bottom style="thin">
        <color rgb="FFFFFFFF"/>
      </bottom>
    </border>
    <border>
      <top style="thin">
        <color rgb="FFFCFCFC"/>
      </top>
      <bottom style="thin">
        <color rgb="FFFFFFFF"/>
      </bottom>
    </border>
    <border>
      <left style="thin">
        <color rgb="FFFFFFFF"/>
      </left>
      <top style="thin">
        <color rgb="FFFFFFFF"/>
      </top>
    </border>
    <border>
      <left style="thin">
        <color rgb="FFFFFFFF"/>
      </left>
    </border>
    <border>
      <left style="thin">
        <color rgb="FFFFFFFF"/>
      </left>
      <bottom style="thin">
        <color rgb="FFFFFFFF"/>
      </bottom>
    </border>
    <border>
      <top style="thin">
        <color rgb="FFFCFCFC"/>
      </top>
    </border>
    <border>
      <right style="thick">
        <color rgb="FF000000"/>
      </right>
      <top style="medium">
        <color rgb="FF000000"/>
      </top>
    </border>
    <border>
      <right style="thin">
        <color rgb="FF000000"/>
      </right>
      <top style="medium">
        <color rgb="FF000000"/>
      </top>
    </border>
    <border>
      <right style="thick">
        <color rgb="FF000000"/>
      </right>
      <bottom style="medium">
        <color rgb="FF000000"/>
      </bottom>
    </border>
    <border>
      <left style="thin">
        <color rgb="FFFFFFFF"/>
      </left>
      <right style="medium">
        <color rgb="FF000000"/>
      </right>
    </border>
    <border>
      <left style="thin">
        <color rgb="FFFFFFFF"/>
      </left>
      <right style="medium">
        <color rgb="FF000000"/>
      </right>
      <bottom style="thin">
        <color rgb="FF000000"/>
      </bottom>
    </border>
    <border>
      <right style="medium">
        <color rgb="FF000000"/>
      </right>
      <bottom style="thin">
        <color rgb="FFFFFFFF"/>
      </bottom>
    </border>
    <border>
      <left style="thin">
        <color rgb="FFFFFFFF"/>
      </left>
      <right style="thin">
        <color rgb="FFFFFFFF"/>
      </right>
    </border>
    <border>
      <left style="thin">
        <color rgb="FF000000"/>
      </left>
      <top style="thin">
        <color rgb="FFF3F3F3"/>
      </top>
      <bottom style="thin">
        <color rgb="FFF3F3F3"/>
      </bottom>
    </border>
    <border>
      <top style="thin">
        <color rgb="FFF3F3F3"/>
      </top>
      <bottom style="thin">
        <color rgb="FFF3F3F3"/>
      </bottom>
    </border>
    <border>
      <left style="thin">
        <color rgb="FFF3F3F3"/>
      </left>
      <right style="thin">
        <color rgb="FFF3F3F3"/>
      </right>
    </border>
    <border>
      <left style="thin">
        <color rgb="FFF3F3F3"/>
      </left>
      <top style="thin">
        <color rgb="FFF3F3F3"/>
      </top>
    </border>
    <border>
      <left style="thin">
        <color rgb="FFF3F3F3"/>
      </left>
      <right style="thin">
        <color rgb="FFF3F3F3"/>
      </right>
      <top style="thin">
        <color rgb="FFF3F3F3"/>
      </top>
    </border>
    <border>
      <left style="thin">
        <color rgb="FF000000"/>
      </left>
      <right style="thin">
        <color rgb="FFF3F3F3"/>
      </right>
    </border>
    <border>
      <left style="thin">
        <color rgb="FFF3F3F3"/>
      </left>
    </border>
    <border>
      <right style="thin">
        <color rgb="FFF3F3F3"/>
      </right>
      <top style="thin">
        <color rgb="FFF3F3F3"/>
      </top>
    </border>
    <border>
      <left style="thin">
        <color rgb="FFFFFFFF"/>
      </left>
      <right style="thin">
        <color rgb="FFFFFFFF"/>
      </right>
      <top style="thin">
        <color rgb="FFFFFFFF"/>
      </top>
    </border>
    <border>
      <left style="thin">
        <color rgb="FF000000"/>
      </left>
      <right style="thin">
        <color rgb="FFF3F3F3"/>
      </right>
      <bottom style="thin">
        <color rgb="FFF3F3F3"/>
      </bottom>
    </border>
    <border>
      <left style="thin">
        <color rgb="FF000000"/>
      </left>
      <right style="thin">
        <color rgb="FFF3F3F3"/>
      </right>
      <top style="thin">
        <color rgb="FFF3F3F3"/>
      </top>
    </border>
    <border>
      <top style="thin">
        <color rgb="FFF3F3F3"/>
      </top>
    </border>
    <border>
      <left style="thin">
        <color rgb="FFFFFFFF"/>
      </left>
      <right style="thin">
        <color rgb="FFFFFFFF"/>
      </right>
      <bottom style="thin">
        <color rgb="FFFFFFFF"/>
      </bottom>
    </border>
    <border>
      <left style="thin">
        <color rgb="FF000000"/>
      </left>
      <right style="thin">
        <color rgb="FFF3F3F3"/>
      </right>
      <top style="thin">
        <color rgb="FFF3F3F3"/>
      </top>
      <bottom style="thin">
        <color rgb="FFF3F3F3"/>
      </bottom>
    </border>
    <border>
      <left style="thin">
        <color rgb="FF000000"/>
      </left>
      <top style="thin">
        <color rgb="FFF3F3F3"/>
      </top>
    </border>
    <border>
      <right style="thin">
        <color rgb="FF000000"/>
      </right>
      <top style="thin">
        <color rgb="FFF3F3F3"/>
      </top>
    </border>
    <border>
      <left style="thin">
        <color rgb="FFF3F3F3"/>
      </left>
      <top style="thin">
        <color rgb="FFF3F3F3"/>
      </top>
      <bottom style="thin">
        <color rgb="FFF3F3F3"/>
      </bottom>
    </border>
    <border>
      <left style="thin">
        <color rgb="FFF3F3F3"/>
      </left>
      <bottom style="thin">
        <color rgb="FFF3F3F3"/>
      </bottom>
    </border>
    <border>
      <left style="thin">
        <color rgb="FF000000"/>
      </left>
      <top style="thin">
        <color rgb="FF000000"/>
      </top>
      <bottom style="thin">
        <color rgb="FFF3F3F3"/>
      </bottom>
    </border>
    <border>
      <top style="thin">
        <color rgb="FF000000"/>
      </top>
      <bottom style="thin">
        <color rgb="FFF3F3F3"/>
      </bottom>
    </border>
    <border>
      <right style="thin">
        <color rgb="FF000000"/>
      </right>
      <top style="thin">
        <color rgb="FF000000"/>
      </top>
      <bottom style="thin">
        <color rgb="FFF3F3F3"/>
      </bottom>
    </border>
    <border>
      <left style="thin">
        <color rgb="FF000000"/>
      </left>
      <bottom style="thin">
        <color rgb="FFF3F3F3"/>
      </bottom>
    </border>
    <border>
      <left style="thin">
        <color rgb="FF000000"/>
      </left>
      <bottom style="thin">
        <color rgb="FF666666"/>
      </bottom>
    </border>
    <border>
      <bottom style="thin">
        <color rgb="FF666666"/>
      </bottom>
    </border>
    <border>
      <left style="thin">
        <color rgb="FF000000"/>
      </left>
      <right style="thin">
        <color rgb="FF666666"/>
      </right>
      <bottom style="thin">
        <color rgb="FF666666"/>
      </bottom>
    </border>
    <border>
      <right style="thin">
        <color rgb="FF666666"/>
      </right>
      <bottom style="thin">
        <color rgb="FF666666"/>
      </bottom>
    </border>
    <border>
      <right style="thin">
        <color rgb="FF666666"/>
      </right>
    </border>
    <border>
      <right style="thin">
        <color rgb="FFF3F3F3"/>
      </right>
      <top style="thin">
        <color rgb="FF000000"/>
      </top>
      <bottom style="thin">
        <color rgb="FF000000"/>
      </bottom>
    </border>
    <border>
      <left style="thin">
        <color rgb="FF000000"/>
      </left>
      <right style="thin">
        <color rgb="FF666666"/>
      </right>
    </border>
    <border>
      <right style="thin">
        <color rgb="FF000000"/>
      </right>
      <bottom style="thin">
        <color rgb="FF666666"/>
      </bottom>
    </border>
    <border>
      <right style="thin">
        <color rgb="FFF3F3F3"/>
      </right>
      <bottom style="thin">
        <color rgb="FF000000"/>
      </bottom>
    </border>
    <border>
      <left style="thin">
        <color rgb="FF000000"/>
      </left>
      <top style="thin">
        <color rgb="FF666666"/>
      </top>
      <bottom style="thin">
        <color rgb="FF666666"/>
      </bottom>
    </border>
    <border>
      <top style="thin">
        <color rgb="FF666666"/>
      </top>
      <bottom style="thin">
        <color rgb="FF666666"/>
      </bottom>
    </border>
    <border>
      <right style="thin">
        <color rgb="FFEFEFEF"/>
      </right>
      <bottom style="thin">
        <color rgb="FF000000"/>
      </bottom>
    </border>
    <border>
      <top style="thin">
        <color rgb="FFF3F3F3"/>
      </top>
      <bottom style="thin">
        <color rgb="FF000000"/>
      </bottom>
    </border>
    <border>
      <left style="thin">
        <color rgb="FF000000"/>
      </left>
      <right style="thin">
        <color rgb="FF666666"/>
      </right>
      <bottom style="thin">
        <color rgb="FF000000"/>
      </bottom>
    </border>
    <border>
      <left style="thin">
        <color rgb="FF000000"/>
      </left>
      <top style="thin">
        <color rgb="FFF3F3F3"/>
      </top>
      <bottom style="thin">
        <color rgb="FF000000"/>
      </bottom>
    </border>
    <border>
      <right style="thin">
        <color rgb="FF666666"/>
      </right>
      <bottom style="thin">
        <color rgb="FF000000"/>
      </bottom>
    </border>
    <border>
      <right style="thin">
        <color rgb="FF666666"/>
      </right>
      <top style="thin">
        <color rgb="FF666666"/>
      </top>
      <bottom style="thin">
        <color rgb="FF666666"/>
      </bottom>
    </border>
    <border>
      <right style="thin">
        <color rgb="FF666666"/>
      </right>
      <bottom style="thin">
        <color rgb="FF434343"/>
      </bottom>
    </border>
    <border>
      <right style="thin">
        <color rgb="FF434343"/>
      </right>
      <bottom style="thin">
        <color rgb="FF666666"/>
      </bottom>
    </border>
    <border>
      <right style="thin">
        <color rgb="FF434343"/>
      </right>
      <bottom style="thin">
        <color rgb="FF434343"/>
      </bottom>
    </border>
    <border>
      <right style="thin">
        <color rgb="FF434343"/>
      </right>
    </border>
    <border>
      <left style="thin">
        <color rgb="FF000000"/>
      </left>
      <right style="thin">
        <color rgb="FF666666"/>
      </right>
      <bottom style="thin">
        <color rgb="FF434343"/>
      </bottom>
    </border>
    <border>
      <bottom style="thin">
        <color rgb="FF434343"/>
      </bottom>
    </border>
    <border>
      <right style="medium">
        <color rgb="FF000000"/>
      </right>
      <top style="medium">
        <color rgb="FF000000"/>
      </top>
      <bottom style="thin">
        <color rgb="FF000000"/>
      </bottom>
    </border>
    <border>
      <left style="thin">
        <color rgb="FF000000"/>
      </left>
      <bottom style="thin">
        <color rgb="FFFFFFFF"/>
      </bottom>
    </border>
    <border>
      <bottom style="medium">
        <color rgb="FFFFFFFF"/>
      </bottom>
    </border>
    <border>
      <top style="medium">
        <color rgb="FFFFFFFF"/>
      </top>
    </border>
    <border>
      <left style="thin">
        <color rgb="FFFFFFFF"/>
      </left>
      <bottom style="medium">
        <color rgb="FF000000"/>
      </bottom>
    </border>
    <border>
      <right style="thin">
        <color rgb="FF000000"/>
      </right>
      <top style="thin">
        <color rgb="FFFFFFFF"/>
      </top>
    </border>
    <border>
      <right style="thin">
        <color rgb="FF000000"/>
      </right>
      <top style="thin">
        <color rgb="FFF3F3F3"/>
      </top>
      <bottom style="thin">
        <color rgb="FF000000"/>
      </bottom>
    </border>
    <border>
      <left style="thin">
        <color rgb="FFF3F3F3"/>
      </left>
      <right style="thin">
        <color rgb="FF000000"/>
      </right>
      <top style="thin">
        <color rgb="FFF3F3F3"/>
      </top>
      <bottom style="thin">
        <color rgb="FFF3F3F3"/>
      </bottom>
    </border>
    <border>
      <left style="thin">
        <color rgb="FFFFFFFF"/>
      </left>
      <bottom style="thin">
        <color rgb="FF000000"/>
      </bottom>
    </border>
    <border>
      <top style="thin">
        <color rgb="FF666666"/>
      </top>
    </border>
    <border>
      <right style="thin">
        <color rgb="FF666666"/>
      </right>
      <top style="thin">
        <color rgb="FF666666"/>
      </top>
    </border>
    <border>
      <left style="thin">
        <color rgb="FF666666"/>
      </left>
      <right style="thin">
        <color rgb="FF666666"/>
      </right>
      <top style="thin">
        <color rgb="FF666666"/>
      </top>
    </border>
    <border>
      <left style="thin">
        <color rgb="FF666666"/>
      </left>
      <right style="thin">
        <color rgb="FF666666"/>
      </right>
      <bottom style="thin">
        <color rgb="FF666666"/>
      </bottom>
    </border>
    <border>
      <left style="thin">
        <color rgb="FF666666"/>
      </left>
      <bottom style="thin">
        <color rgb="FF666666"/>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666666"/>
      </left>
      <right style="thin">
        <color rgb="FF666666"/>
      </right>
    </border>
    <border>
      <left style="thin">
        <color rgb="FF999999"/>
      </left>
      <right style="thin">
        <color rgb="FF999999"/>
      </right>
    </border>
    <border>
      <left style="thin">
        <color rgb="FF666666"/>
      </left>
    </border>
    <border>
      <left style="thin">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ck">
        <color rgb="FF000000"/>
      </right>
      <bottom style="thin">
        <color rgb="FF000000"/>
      </bottom>
    </border>
    <border>
      <left style="thin">
        <color rgb="FF000000"/>
      </left>
      <right style="thick">
        <color rgb="FF000000"/>
      </right>
    </border>
    <border>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s>
  <cellStyleXfs count="1">
    <xf borderId="0" fillId="0" fontId="0" numFmtId="0" applyAlignment="1" applyFont="1"/>
  </cellStyleXfs>
  <cellXfs count="1739">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3" fillId="2" fontId="1" numFmtId="0" xfId="0" applyAlignment="1" applyBorder="1" applyFont="1">
      <alignment vertical="bottom"/>
    </xf>
    <xf borderId="4" fillId="2" fontId="1" numFmtId="0" xfId="0" applyAlignment="1" applyBorder="1" applyFont="1">
      <alignment vertical="bottom"/>
    </xf>
    <xf borderId="0" fillId="3" fontId="2" numFmtId="0" xfId="0" applyAlignment="1" applyFill="1" applyFont="1">
      <alignment horizontal="center" vertical="bottom"/>
    </xf>
    <xf borderId="5" fillId="0" fontId="3" numFmtId="0" xfId="0" applyBorder="1" applyFont="1"/>
    <xf borderId="6" fillId="2" fontId="1" numFmtId="0" xfId="0" applyAlignment="1" applyBorder="1" applyFont="1">
      <alignment vertical="bottom"/>
    </xf>
    <xf borderId="7" fillId="3" fontId="4" numFmtId="0" xfId="0" applyAlignment="1" applyBorder="1" applyFont="1">
      <alignment horizontal="center" vertical="bottom"/>
    </xf>
    <xf borderId="7" fillId="0" fontId="3" numFmtId="0" xfId="0" applyBorder="1" applyFont="1"/>
    <xf borderId="8" fillId="0" fontId="3" numFmtId="0" xfId="0" applyBorder="1" applyFont="1"/>
    <xf borderId="9" fillId="2" fontId="1" numFmtId="0" xfId="0" applyAlignment="1" applyBorder="1" applyFont="1">
      <alignment vertical="bottom"/>
    </xf>
    <xf borderId="10" fillId="2" fontId="1" numFmtId="0" xfId="0" applyAlignment="1" applyBorder="1" applyFont="1">
      <alignment vertical="bottom"/>
    </xf>
    <xf borderId="8" fillId="4" fontId="5" numFmtId="0" xfId="0" applyAlignment="1" applyBorder="1" applyFill="1" applyFont="1">
      <alignment horizontal="center"/>
    </xf>
    <xf borderId="11" fillId="2" fontId="1" numFmtId="0" xfId="0" applyAlignment="1" applyBorder="1" applyFont="1">
      <alignment vertical="bottom"/>
    </xf>
    <xf borderId="12" fillId="3" fontId="6" numFmtId="0" xfId="0" applyAlignment="1" applyBorder="1" applyFont="1">
      <alignment horizontal="center"/>
    </xf>
    <xf borderId="13" fillId="0" fontId="3" numFmtId="0" xfId="0" applyBorder="1" applyFont="1"/>
    <xf borderId="14" fillId="0" fontId="3" numFmtId="0" xfId="0" applyBorder="1" applyFont="1"/>
    <xf borderId="15" fillId="2" fontId="1" numFmtId="0" xfId="0" applyAlignment="1" applyBorder="1" applyFont="1">
      <alignment vertical="bottom"/>
    </xf>
    <xf borderId="16" fillId="3" fontId="5" numFmtId="0" xfId="0" applyAlignment="1" applyBorder="1" applyFont="1">
      <alignment horizontal="center"/>
    </xf>
    <xf borderId="14" fillId="3" fontId="5" numFmtId="0" xfId="0" applyAlignment="1" applyBorder="1" applyFont="1">
      <alignment horizontal="center"/>
    </xf>
    <xf borderId="11" fillId="2" fontId="1" numFmtId="0" xfId="0" applyAlignment="1" applyBorder="1" applyFont="1">
      <alignment horizontal="center" vertical="center"/>
    </xf>
    <xf borderId="8" fillId="3" fontId="5" numFmtId="0" xfId="0" applyAlignment="1" applyBorder="1" applyFont="1">
      <alignment horizontal="center" vertical="center"/>
    </xf>
    <xf borderId="17" fillId="0" fontId="7" numFmtId="0" xfId="0" applyAlignment="1" applyBorder="1" applyFont="1">
      <alignment horizontal="center" vertical="center"/>
    </xf>
    <xf borderId="18" fillId="0" fontId="8" numFmtId="0" xfId="0" applyAlignment="1" applyBorder="1" applyFont="1">
      <alignment horizontal="center"/>
    </xf>
    <xf borderId="7" fillId="0" fontId="8" numFmtId="0" xfId="0" applyAlignment="1" applyBorder="1" applyFont="1">
      <alignment horizontal="center"/>
    </xf>
    <xf borderId="10" fillId="0" fontId="8" numFmtId="0" xfId="0" applyAlignment="1" applyBorder="1" applyFont="1">
      <alignment horizontal="center"/>
    </xf>
    <xf borderId="19" fillId="5" fontId="9" numFmtId="0" xfId="0" applyAlignment="1" applyBorder="1" applyFill="1" applyFont="1">
      <alignment horizontal="center" readingOrder="0" vertical="center"/>
    </xf>
    <xf borderId="8" fillId="0" fontId="10" numFmtId="0" xfId="0" applyAlignment="1" applyBorder="1" applyFont="1">
      <alignment horizontal="center" vertical="center"/>
    </xf>
    <xf borderId="20" fillId="2" fontId="1" numFmtId="0" xfId="0" applyAlignment="1" applyBorder="1" applyFont="1">
      <alignment vertical="bottom"/>
    </xf>
    <xf borderId="21" fillId="5" fontId="11" numFmtId="0" xfId="0" applyBorder="1" applyFont="1"/>
    <xf borderId="22" fillId="5" fontId="11" numFmtId="0" xfId="0" applyAlignment="1" applyBorder="1" applyFont="1">
      <alignment horizontal="center"/>
    </xf>
    <xf borderId="22" fillId="0" fontId="12" numFmtId="0" xfId="0" applyAlignment="1" applyBorder="1" applyFont="1">
      <alignment horizontal="center"/>
    </xf>
    <xf borderId="16" fillId="6" fontId="13" numFmtId="0" xfId="0" applyAlignment="1" applyBorder="1" applyFill="1" applyFont="1">
      <alignment horizontal="center"/>
    </xf>
    <xf borderId="23" fillId="5" fontId="9" numFmtId="0" xfId="0" applyAlignment="1" applyBorder="1" applyFont="1">
      <alignment horizontal="center" readingOrder="0" vertical="center"/>
    </xf>
    <xf borderId="10" fillId="2" fontId="1" numFmtId="0" xfId="0" applyAlignment="1" applyBorder="1" applyFont="1">
      <alignment horizontal="center" vertical="center"/>
    </xf>
    <xf borderId="21" fillId="7" fontId="14" numFmtId="0" xfId="0" applyBorder="1" applyFill="1" applyFont="1"/>
    <xf borderId="22" fillId="7" fontId="14" numFmtId="0" xfId="0" applyAlignment="1" applyBorder="1" applyFont="1">
      <alignment horizontal="center"/>
    </xf>
    <xf borderId="5" fillId="6" fontId="15" numFmtId="0" xfId="0" applyAlignment="1" applyBorder="1" applyFont="1">
      <alignment horizontal="center"/>
    </xf>
    <xf borderId="8" fillId="8" fontId="5" numFmtId="0" xfId="0" applyAlignment="1" applyBorder="1" applyFill="1" applyFont="1">
      <alignment horizontal="center" vertical="center"/>
    </xf>
    <xf borderId="21" fillId="9" fontId="14" numFmtId="0" xfId="0" applyBorder="1" applyFill="1" applyFont="1"/>
    <xf borderId="22" fillId="9" fontId="14" numFmtId="0" xfId="0" applyAlignment="1" applyBorder="1" applyFont="1">
      <alignment horizontal="center"/>
    </xf>
    <xf borderId="22" fillId="0" fontId="12" numFmtId="0" xfId="0" applyAlignment="1" applyBorder="1" applyFont="1">
      <alignment horizontal="center"/>
    </xf>
    <xf borderId="24" fillId="10" fontId="6" numFmtId="0" xfId="0" applyAlignment="1" applyBorder="1" applyFill="1" applyFont="1">
      <alignment horizontal="center"/>
    </xf>
    <xf borderId="21" fillId="11" fontId="14" numFmtId="0" xfId="0" applyBorder="1" applyFill="1" applyFont="1"/>
    <xf borderId="22" fillId="11" fontId="14" numFmtId="0" xfId="0" applyAlignment="1" applyBorder="1" applyFont="1">
      <alignment horizontal="center"/>
    </xf>
    <xf borderId="5" fillId="0" fontId="16" numFmtId="0" xfId="0" applyAlignment="1" applyBorder="1" applyFont="1">
      <alignment horizontal="center"/>
    </xf>
    <xf borderId="19" fillId="0" fontId="17" numFmtId="0" xfId="0" applyAlignment="1" applyBorder="1" applyFont="1">
      <alignment horizontal="center"/>
    </xf>
    <xf borderId="21" fillId="12" fontId="14" numFmtId="0" xfId="0" applyBorder="1" applyFill="1" applyFont="1"/>
    <xf borderId="22" fillId="12" fontId="14" numFmtId="0" xfId="0" applyAlignment="1" applyBorder="1" applyFont="1">
      <alignment horizontal="center"/>
    </xf>
    <xf borderId="6" fillId="2" fontId="1" numFmtId="0" xfId="0" applyAlignment="1" applyBorder="1" applyFont="1">
      <alignment horizontal="center" vertical="center"/>
    </xf>
    <xf borderId="21" fillId="13" fontId="14" numFmtId="0" xfId="0" applyBorder="1" applyFill="1" applyFont="1"/>
    <xf borderId="22" fillId="13" fontId="14" numFmtId="0" xfId="0" applyAlignment="1" applyBorder="1" applyFont="1">
      <alignment horizontal="center"/>
    </xf>
    <xf borderId="25" fillId="14" fontId="18" numFmtId="0" xfId="0" applyBorder="1" applyFill="1" applyFont="1"/>
    <xf borderId="22" fillId="14" fontId="18" numFmtId="0" xfId="0" applyAlignment="1" applyBorder="1" applyFont="1">
      <alignment horizontal="center"/>
    </xf>
    <xf borderId="8" fillId="6" fontId="19" numFmtId="0" xfId="0" applyAlignment="1" applyBorder="1" applyFont="1">
      <alignment horizontal="center"/>
    </xf>
    <xf borderId="19" fillId="0" fontId="20" numFmtId="0" xfId="0" applyAlignment="1" applyBorder="1" applyFont="1">
      <alignment horizontal="center"/>
    </xf>
    <xf borderId="19" fillId="0" fontId="21" numFmtId="0" xfId="0" applyAlignment="1" applyBorder="1" applyFont="1">
      <alignment horizontal="center"/>
    </xf>
    <xf borderId="6" fillId="2" fontId="1" numFmtId="0" xfId="0" applyAlignment="1" applyBorder="1" applyFont="1">
      <alignment readingOrder="0" vertical="bottom"/>
    </xf>
    <xf borderId="23" fillId="0" fontId="22" numFmtId="0" xfId="0" applyAlignment="1" applyBorder="1" applyFont="1">
      <alignment horizontal="center"/>
    </xf>
    <xf borderId="26" fillId="2" fontId="1" numFmtId="0" xfId="0" applyAlignment="1" applyBorder="1" applyFont="1">
      <alignment vertical="bottom"/>
    </xf>
    <xf borderId="27" fillId="2" fontId="1" numFmtId="0" xfId="0" applyAlignment="1" applyBorder="1" applyFont="1">
      <alignment vertical="bottom"/>
    </xf>
    <xf borderId="28" fillId="2" fontId="1" numFmtId="0" xfId="0" applyAlignment="1" applyBorder="1" applyFont="1">
      <alignment vertical="bottom"/>
    </xf>
    <xf borderId="29" fillId="2" fontId="1" numFmtId="0" xfId="0" applyAlignment="1" applyBorder="1" applyFont="1">
      <alignment vertical="bottom"/>
    </xf>
    <xf borderId="30" fillId="15" fontId="14" numFmtId="0" xfId="0" applyAlignment="1" applyBorder="1" applyFill="1" applyFont="1">
      <alignment horizontal="center"/>
    </xf>
    <xf borderId="31" fillId="0" fontId="3" numFmtId="0" xfId="0" applyBorder="1" applyFont="1"/>
    <xf borderId="22" fillId="0" fontId="3" numFmtId="0" xfId="0" applyBorder="1" applyFont="1"/>
    <xf borderId="0" fillId="15" fontId="23" numFmtId="0" xfId="0" applyAlignment="1" applyFont="1">
      <alignment vertical="center"/>
    </xf>
    <xf borderId="32" fillId="0" fontId="3" numFmtId="0" xfId="0" applyBorder="1" applyFont="1"/>
    <xf borderId="0" fillId="0" fontId="1" numFmtId="0" xfId="0" applyAlignment="1" applyFont="1">
      <alignment vertical="bottom"/>
    </xf>
    <xf borderId="0" fillId="5" fontId="12" numFmtId="0" xfId="0" applyAlignment="1" applyFont="1">
      <alignment horizontal="center" readingOrder="0" vertical="center"/>
    </xf>
    <xf borderId="33" fillId="0" fontId="3" numFmtId="0" xfId="0" applyBorder="1" applyFont="1"/>
    <xf borderId="34" fillId="0" fontId="3" numFmtId="0" xfId="0" applyBorder="1" applyFont="1"/>
    <xf borderId="35" fillId="0" fontId="3" numFmtId="0" xfId="0" applyBorder="1" applyFont="1"/>
    <xf borderId="36" fillId="15" fontId="24" numFmtId="0" xfId="0" applyAlignment="1" applyBorder="1" applyFont="1">
      <alignment horizontal="center" vertical="bottom"/>
    </xf>
    <xf borderId="37" fillId="15" fontId="24" numFmtId="0" xfId="0" applyAlignment="1" applyBorder="1" applyFont="1">
      <alignment horizontal="center" vertical="bottom"/>
    </xf>
    <xf borderId="38" fillId="15" fontId="24" numFmtId="0" xfId="0" applyAlignment="1" applyBorder="1" applyFont="1">
      <alignment horizontal="center" vertical="bottom"/>
    </xf>
    <xf borderId="39" fillId="16" fontId="14" numFmtId="0" xfId="0" applyAlignment="1" applyBorder="1" applyFill="1" applyFont="1">
      <alignment horizontal="center"/>
    </xf>
    <xf borderId="35" fillId="16" fontId="14" numFmtId="0" xfId="0" applyAlignment="1" applyBorder="1" applyFont="1">
      <alignment horizontal="center"/>
    </xf>
    <xf borderId="39" fillId="16" fontId="14" numFmtId="0" xfId="0" applyAlignment="1" applyBorder="1" applyFont="1">
      <alignment horizontal="center" vertical="bottom"/>
    </xf>
    <xf borderId="35" fillId="16" fontId="14" numFmtId="0" xfId="0" applyAlignment="1" applyBorder="1" applyFont="1">
      <alignment horizontal="center" vertical="bottom"/>
    </xf>
    <xf borderId="40" fillId="16" fontId="25" numFmtId="0" xfId="0" applyAlignment="1" applyBorder="1" applyFont="1">
      <alignment horizontal="center" readingOrder="0"/>
    </xf>
    <xf borderId="41" fillId="0" fontId="3" numFmtId="0" xfId="0" applyBorder="1" applyFont="1"/>
    <xf borderId="42" fillId="16" fontId="25" numFmtId="0" xfId="0" applyAlignment="1" applyBorder="1" applyFont="1">
      <alignment horizontal="center" readingOrder="0"/>
    </xf>
    <xf borderId="34" fillId="16" fontId="25" numFmtId="0" xfId="0" applyAlignment="1" applyBorder="1" applyFont="1">
      <alignment horizontal="center" readingOrder="0"/>
    </xf>
    <xf borderId="43" fillId="15" fontId="26" numFmtId="0" xfId="0" applyAlignment="1" applyBorder="1" applyFont="1">
      <alignment horizontal="center" readingOrder="0" textRotation="90" vertical="center"/>
    </xf>
    <xf borderId="33" fillId="5" fontId="27" numFmtId="0" xfId="0" applyAlignment="1" applyBorder="1" applyFont="1">
      <alignment horizontal="center" readingOrder="0" vertical="center"/>
    </xf>
    <xf borderId="33" fillId="5" fontId="28" numFmtId="0" xfId="0" applyAlignment="1" applyBorder="1" applyFont="1">
      <alignment horizontal="left" vertical="center"/>
    </xf>
    <xf borderId="43" fillId="0" fontId="3" numFmtId="0" xfId="0" applyBorder="1" applyFont="1"/>
    <xf borderId="33" fillId="5" fontId="29" numFmtId="0" xfId="0" applyAlignment="1" applyBorder="1" applyFont="1">
      <alignment horizontal="left" readingOrder="0" vertical="center"/>
    </xf>
    <xf borderId="33" fillId="5" fontId="30" numFmtId="0" xfId="0" applyAlignment="1" applyBorder="1" applyFont="1">
      <alignment horizontal="left" vertical="center"/>
    </xf>
    <xf borderId="33" fillId="5" fontId="29" numFmtId="0" xfId="0" applyAlignment="1" applyBorder="1" applyFont="1">
      <alignment horizontal="left" vertical="center"/>
    </xf>
    <xf borderId="44" fillId="5" fontId="29" numFmtId="0" xfId="0" applyAlignment="1" applyBorder="1" applyFont="1">
      <alignment horizontal="left" vertical="center"/>
    </xf>
    <xf borderId="21" fillId="5" fontId="29" numFmtId="0" xfId="0" applyAlignment="1" applyBorder="1" applyFont="1">
      <alignment horizontal="left" readingOrder="0" vertical="center"/>
    </xf>
    <xf borderId="45" fillId="11" fontId="31" numFmtId="0" xfId="0" applyAlignment="1" applyBorder="1" applyFont="1">
      <alignment horizontal="center" readingOrder="0" vertical="center"/>
    </xf>
    <xf borderId="46" fillId="11" fontId="24" numFmtId="0" xfId="0" applyAlignment="1" applyBorder="1" applyFont="1">
      <alignment horizontal="left" vertical="center"/>
    </xf>
    <xf borderId="44" fillId="11" fontId="32" numFmtId="0" xfId="0" applyAlignment="1" applyBorder="1" applyFont="1">
      <alignment horizontal="left" readingOrder="0" vertical="center"/>
    </xf>
    <xf borderId="21" fillId="11" fontId="32" numFmtId="0" xfId="0" applyAlignment="1" applyBorder="1" applyFont="1">
      <alignment horizontal="left" readingOrder="0" vertical="center"/>
    </xf>
    <xf borderId="45" fillId="12" fontId="31" numFmtId="0" xfId="0" applyAlignment="1" applyBorder="1" applyFont="1">
      <alignment horizontal="center" readingOrder="0" vertical="center"/>
    </xf>
    <xf borderId="45" fillId="12" fontId="24" numFmtId="0" xfId="0" applyAlignment="1" applyBorder="1" applyFont="1">
      <alignment horizontal="left" vertical="center"/>
    </xf>
    <xf borderId="33" fillId="12" fontId="32" numFmtId="0" xfId="0" applyAlignment="1" applyBorder="1" applyFont="1">
      <alignment horizontal="left" vertical="center"/>
    </xf>
    <xf borderId="22" fillId="12" fontId="32" numFmtId="0" xfId="0" applyAlignment="1" applyBorder="1" applyFont="1">
      <alignment horizontal="left" vertical="center"/>
    </xf>
    <xf borderId="45" fillId="13" fontId="31" numFmtId="0" xfId="0" applyAlignment="1" applyBorder="1" applyFont="1">
      <alignment horizontal="center" readingOrder="0" vertical="center"/>
    </xf>
    <xf borderId="46" fillId="13" fontId="24" numFmtId="0" xfId="0" applyAlignment="1" applyBorder="1" applyFont="1">
      <alignment horizontal="left" vertical="center"/>
    </xf>
    <xf borderId="44" fillId="13" fontId="32" numFmtId="0" xfId="0" applyAlignment="1" applyBorder="1" applyFont="1">
      <alignment horizontal="left" vertical="center"/>
    </xf>
    <xf borderId="0" fillId="0" fontId="1" numFmtId="0" xfId="0" applyAlignment="1" applyFont="1">
      <alignment readingOrder="0" vertical="bottom"/>
    </xf>
    <xf borderId="47" fillId="0" fontId="3" numFmtId="0" xfId="0" applyBorder="1" applyFont="1"/>
    <xf borderId="48" fillId="16" fontId="3" numFmtId="0" xfId="0" applyAlignment="1" applyBorder="1" applyFont="1">
      <alignment horizontal="center" vertical="center"/>
    </xf>
    <xf borderId="49" fillId="0" fontId="3" numFmtId="0" xfId="0" applyBorder="1" applyFont="1"/>
    <xf borderId="50" fillId="0" fontId="3" numFmtId="0" xfId="0" applyBorder="1" applyFont="1"/>
    <xf borderId="0" fillId="0" fontId="3" numFmtId="0" xfId="0" applyAlignment="1" applyFont="1">
      <alignment horizontal="center" vertical="center"/>
    </xf>
    <xf borderId="51" fillId="15" fontId="26" numFmtId="0" xfId="0" applyAlignment="1" applyBorder="1" applyFont="1">
      <alignment horizontal="center" readingOrder="0" textRotation="90" vertical="center"/>
    </xf>
    <xf borderId="52" fillId="7" fontId="31" numFmtId="0" xfId="0" applyAlignment="1" applyBorder="1" applyFont="1">
      <alignment horizontal="center" readingOrder="0" vertical="center"/>
    </xf>
    <xf borderId="44" fillId="7" fontId="24" numFmtId="0" xfId="0" applyAlignment="1" applyBorder="1" applyFont="1">
      <alignment horizontal="left" readingOrder="0" vertical="center"/>
    </xf>
    <xf borderId="53" fillId="0" fontId="3" numFmtId="0" xfId="0" applyBorder="1" applyFont="1"/>
    <xf borderId="54" fillId="0" fontId="3" numFmtId="0" xfId="0" applyBorder="1" applyFont="1"/>
    <xf borderId="44" fillId="7" fontId="32" numFmtId="0" xfId="0" applyAlignment="1" applyBorder="1" applyFont="1">
      <alignment horizontal="left" vertical="center"/>
    </xf>
    <xf borderId="0" fillId="7" fontId="32" numFmtId="0" xfId="0" applyAlignment="1" applyFont="1">
      <alignment readingOrder="0"/>
    </xf>
    <xf borderId="44" fillId="7" fontId="32" numFmtId="0" xfId="0" applyAlignment="1" applyBorder="1" applyFont="1">
      <alignment horizontal="left" readingOrder="0" vertical="center"/>
    </xf>
    <xf borderId="55" fillId="0" fontId="3" numFmtId="0" xfId="0" applyBorder="1" applyFont="1"/>
    <xf borderId="52" fillId="9" fontId="31" numFmtId="0" xfId="0" applyAlignment="1" applyBorder="1" applyFont="1">
      <alignment horizontal="center" readingOrder="0" vertical="center"/>
    </xf>
    <xf borderId="46" fillId="9" fontId="24" numFmtId="0" xfId="0" applyAlignment="1" applyBorder="1" applyFont="1">
      <alignment horizontal="left" vertical="center"/>
    </xf>
    <xf borderId="33" fillId="9" fontId="32" numFmtId="0" xfId="0" applyAlignment="1" applyBorder="1" applyFont="1">
      <alignment horizontal="left" readingOrder="0" vertical="center"/>
    </xf>
    <xf borderId="33" fillId="9" fontId="32" numFmtId="0" xfId="0" applyAlignment="1" applyBorder="1" applyFont="1">
      <alignment horizontal="left" vertical="center"/>
    </xf>
    <xf borderId="30" fillId="0" fontId="3" numFmtId="0" xfId="0" applyBorder="1" applyFont="1"/>
    <xf borderId="33" fillId="9" fontId="32" numFmtId="0" xfId="0" applyAlignment="1" applyBorder="1" applyFont="1">
      <alignment horizontal="left" readingOrder="0" vertical="center"/>
    </xf>
    <xf borderId="40" fillId="16" fontId="3" numFmtId="0" xfId="0" applyBorder="1" applyFont="1"/>
    <xf borderId="56" fillId="0" fontId="3" numFmtId="0" xfId="0" applyBorder="1" applyFont="1"/>
    <xf borderId="41" fillId="16" fontId="3" numFmtId="0" xfId="0" applyBorder="1" applyFont="1"/>
    <xf borderId="32" fillId="15" fontId="33" numFmtId="0" xfId="0" applyAlignment="1" applyBorder="1" applyFont="1">
      <alignment horizontal="center" textRotation="90"/>
    </xf>
    <xf borderId="0" fillId="17" fontId="28" numFmtId="0" xfId="0" applyFill="1" applyFont="1"/>
    <xf borderId="33" fillId="18" fontId="34" numFmtId="0" xfId="0" applyAlignment="1" applyBorder="1" applyFill="1" applyFont="1">
      <alignment horizontal="right" vertical="bottom"/>
    </xf>
    <xf borderId="0" fillId="18" fontId="34" numFmtId="0" xfId="0" applyAlignment="1" applyFont="1">
      <alignment horizontal="right" vertical="bottom"/>
    </xf>
    <xf borderId="0" fillId="19" fontId="28" numFmtId="0" xfId="0" applyFill="1" applyFont="1"/>
    <xf borderId="33" fillId="20" fontId="34" numFmtId="0" xfId="0" applyAlignment="1" applyBorder="1" applyFill="1" applyFont="1">
      <alignment horizontal="right" vertical="bottom"/>
    </xf>
    <xf borderId="0" fillId="20" fontId="34" numFmtId="0" xfId="0" applyAlignment="1" applyFont="1">
      <alignment horizontal="right" vertical="bottom"/>
    </xf>
    <xf borderId="0" fillId="21" fontId="28" numFmtId="0" xfId="0" applyFill="1" applyFont="1"/>
    <xf borderId="33" fillId="21" fontId="34" numFmtId="0" xfId="0" applyAlignment="1" applyBorder="1" applyFont="1">
      <alignment horizontal="right" vertical="bottom"/>
    </xf>
    <xf borderId="0" fillId="21" fontId="34" numFmtId="0" xfId="0" applyAlignment="1" applyFont="1">
      <alignment horizontal="right" vertical="bottom"/>
    </xf>
    <xf borderId="0" fillId="6" fontId="35" numFmtId="0" xfId="0" applyFont="1"/>
    <xf borderId="33" fillId="6" fontId="36" numFmtId="0" xfId="0" applyAlignment="1" applyBorder="1" applyFont="1">
      <alignment horizontal="right" vertical="bottom"/>
    </xf>
    <xf borderId="0" fillId="6" fontId="36" numFmtId="0" xfId="0" applyAlignment="1" applyFont="1">
      <alignment horizontal="right" vertical="bottom"/>
    </xf>
    <xf borderId="0" fillId="22" fontId="28" numFmtId="0" xfId="0" applyFill="1" applyFont="1"/>
    <xf borderId="33" fillId="22" fontId="34" numFmtId="0" xfId="0" applyAlignment="1" applyBorder="1" applyFont="1">
      <alignment horizontal="right" vertical="bottom"/>
    </xf>
    <xf borderId="0" fillId="22" fontId="34" numFmtId="0" xfId="0" applyAlignment="1" applyFont="1">
      <alignment horizontal="right" vertical="bottom"/>
    </xf>
    <xf borderId="0" fillId="0" fontId="28" numFmtId="0" xfId="0" applyFont="1"/>
    <xf borderId="33" fillId="0" fontId="34" numFmtId="0" xfId="0" applyAlignment="1" applyBorder="1" applyFont="1">
      <alignment horizontal="right" vertical="bottom"/>
    </xf>
    <xf borderId="0" fillId="0" fontId="34" numFmtId="0" xfId="0" applyAlignment="1" applyFont="1">
      <alignment horizontal="right" vertical="bottom"/>
    </xf>
    <xf borderId="57" fillId="0" fontId="3" numFmtId="0" xfId="0" applyBorder="1" applyFont="1"/>
    <xf borderId="31" fillId="0" fontId="28" numFmtId="9" xfId="0" applyBorder="1" applyFont="1" applyNumberFormat="1"/>
    <xf borderId="22" fillId="0" fontId="34" numFmtId="9" xfId="0" applyAlignment="1" applyBorder="1" applyFont="1" applyNumberFormat="1">
      <alignment horizontal="right" vertical="bottom"/>
    </xf>
    <xf borderId="31" fillId="0" fontId="34" numFmtId="9" xfId="0" applyAlignment="1" applyBorder="1" applyFont="1" applyNumberFormat="1">
      <alignment horizontal="right" vertical="bottom"/>
    </xf>
    <xf borderId="58" fillId="15" fontId="37" numFmtId="0" xfId="0" applyAlignment="1" applyBorder="1" applyFont="1">
      <alignment horizontal="center" readingOrder="0" vertical="center"/>
    </xf>
    <xf borderId="59" fillId="0" fontId="3" numFmtId="0" xfId="0" applyBorder="1" applyFont="1"/>
    <xf borderId="60" fillId="0" fontId="3" numFmtId="0" xfId="0" applyBorder="1" applyFont="1"/>
    <xf borderId="61" fillId="15" fontId="38" numFmtId="0" xfId="0" applyAlignment="1" applyBorder="1" applyFont="1">
      <alignment horizontal="left" readingOrder="0" vertical="center"/>
    </xf>
    <xf borderId="62" fillId="0" fontId="3" numFmtId="0" xfId="0" applyBorder="1" applyFont="1"/>
    <xf borderId="63" fillId="0" fontId="3" numFmtId="0" xfId="0" applyBorder="1" applyFont="1"/>
    <xf borderId="0" fillId="5" fontId="39" numFmtId="0" xfId="0" applyAlignment="1" applyFont="1">
      <alignment horizontal="center" readingOrder="0" vertical="center"/>
    </xf>
    <xf borderId="64" fillId="0" fontId="3" numFmtId="0" xfId="0" applyBorder="1" applyFont="1"/>
    <xf borderId="65" fillId="0" fontId="3" numFmtId="0" xfId="0" applyBorder="1" applyFont="1"/>
    <xf borderId="66" fillId="15" fontId="25" numFmtId="0" xfId="0" applyAlignment="1" applyBorder="1" applyFont="1">
      <alignment horizontal="center" readingOrder="0"/>
    </xf>
    <xf borderId="67" fillId="15" fontId="25" numFmtId="0" xfId="0" applyAlignment="1" applyBorder="1" applyFont="1">
      <alignment horizontal="center" readingOrder="0"/>
    </xf>
    <xf borderId="68" fillId="15" fontId="25" numFmtId="0" xfId="0" applyAlignment="1" applyBorder="1" applyFont="1">
      <alignment horizontal="center" readingOrder="0"/>
    </xf>
    <xf borderId="34" fillId="16" fontId="14" numFmtId="0" xfId="0" applyAlignment="1" applyBorder="1" applyFont="1">
      <alignment horizontal="center" readingOrder="0" vertical="center"/>
    </xf>
    <xf borderId="35" fillId="16" fontId="14" numFmtId="0" xfId="0" applyAlignment="1" applyBorder="1" applyFont="1">
      <alignment horizontal="center" readingOrder="0" vertical="center"/>
    </xf>
    <xf borderId="41" fillId="16" fontId="14" numFmtId="0" xfId="0" applyAlignment="1" applyBorder="1" applyFont="1">
      <alignment horizontal="center" readingOrder="0" vertical="center"/>
    </xf>
    <xf borderId="0" fillId="0" fontId="3" numFmtId="0" xfId="0" applyAlignment="1" applyFont="1">
      <alignment horizontal="center" readingOrder="0" vertical="center"/>
    </xf>
    <xf borderId="32" fillId="0" fontId="3" numFmtId="0" xfId="0" applyAlignment="1" applyBorder="1" applyFont="1">
      <alignment horizontal="center" readingOrder="0" vertical="center"/>
    </xf>
    <xf borderId="64" fillId="19" fontId="34" numFmtId="0" xfId="0" applyAlignment="1" applyBorder="1" applyFont="1">
      <alignment horizontal="center" readingOrder="0" vertical="center"/>
    </xf>
    <xf borderId="0" fillId="17" fontId="34" numFmtId="0" xfId="0" applyAlignment="1" applyFont="1">
      <alignment horizontal="center" vertical="center"/>
    </xf>
    <xf borderId="32" fillId="17" fontId="34" numFmtId="0" xfId="0" applyAlignment="1" applyBorder="1" applyFont="1">
      <alignment horizontal="center" vertical="center"/>
    </xf>
    <xf borderId="64" fillId="17" fontId="34" numFmtId="0" xfId="0" applyAlignment="1" applyBorder="1" applyFont="1">
      <alignment horizontal="center" vertical="center"/>
    </xf>
    <xf borderId="0" fillId="19" fontId="34" numFmtId="0" xfId="0" applyAlignment="1" applyFont="1">
      <alignment horizontal="center" readingOrder="0" vertical="center"/>
    </xf>
    <xf borderId="32" fillId="17" fontId="34" numFmtId="0" xfId="0" applyAlignment="1" applyBorder="1" applyFont="1">
      <alignment horizontal="center" readingOrder="0" vertical="center"/>
    </xf>
    <xf borderId="64" fillId="0" fontId="36" numFmtId="0" xfId="0" applyAlignment="1" applyBorder="1" applyFont="1">
      <alignment horizontal="center"/>
    </xf>
    <xf borderId="0" fillId="0" fontId="36" numFmtId="0" xfId="0" applyAlignment="1" applyFont="1">
      <alignment horizontal="center"/>
    </xf>
    <xf borderId="32" fillId="0" fontId="36" numFmtId="0" xfId="0" applyAlignment="1" applyBorder="1" applyFont="1">
      <alignment horizontal="center"/>
    </xf>
    <xf borderId="44" fillId="11" fontId="40" numFmtId="0" xfId="0" applyAlignment="1" applyBorder="1" applyFont="1">
      <alignment horizontal="left" readingOrder="0" vertical="center"/>
    </xf>
    <xf borderId="0" fillId="23" fontId="41" numFmtId="0" xfId="0" applyAlignment="1" applyFill="1" applyFont="1">
      <alignment horizontal="center" readingOrder="0" vertical="center"/>
    </xf>
    <xf borderId="32" fillId="23" fontId="41" numFmtId="0" xfId="0" applyAlignment="1" applyBorder="1" applyFont="1">
      <alignment horizontal="center" readingOrder="0" vertical="center"/>
    </xf>
    <xf borderId="32" fillId="0" fontId="36" numFmtId="0" xfId="0" applyAlignment="1" applyBorder="1" applyFont="1">
      <alignment horizontal="center"/>
    </xf>
    <xf borderId="32" fillId="0" fontId="3" numFmtId="0" xfId="0" applyAlignment="1" applyBorder="1" applyFont="1">
      <alignment horizontal="center" vertical="center"/>
    </xf>
    <xf borderId="69" fillId="15" fontId="26" numFmtId="0" xfId="0" applyAlignment="1" applyBorder="1" applyFont="1">
      <alignment horizontal="center" readingOrder="0" textRotation="90" vertical="center"/>
    </xf>
    <xf borderId="45" fillId="7" fontId="31" numFmtId="0" xfId="0" applyAlignment="1" applyBorder="1" applyFont="1">
      <alignment horizontal="center" readingOrder="0" vertical="center"/>
    </xf>
    <xf borderId="46" fillId="7" fontId="24" numFmtId="0" xfId="0" applyAlignment="1" applyBorder="1" applyFont="1">
      <alignment horizontal="left" vertical="center"/>
    </xf>
    <xf borderId="32" fillId="6" fontId="34" numFmtId="0" xfId="0" applyAlignment="1" applyBorder="1" applyFont="1">
      <alignment horizontal="center" readingOrder="0" vertical="center"/>
    </xf>
    <xf borderId="44" fillId="7" fontId="40" numFmtId="0" xfId="0" applyAlignment="1" applyBorder="1" applyFont="1">
      <alignment horizontal="left" vertical="center"/>
    </xf>
    <xf borderId="44" fillId="7" fontId="40" numFmtId="0" xfId="0" applyAlignment="1" applyBorder="1" applyFont="1">
      <alignment horizontal="left" readingOrder="0" vertical="center"/>
    </xf>
    <xf borderId="21" fillId="7" fontId="32" numFmtId="0" xfId="0" applyAlignment="1" applyBorder="1" applyFont="1">
      <alignment horizontal="left" vertical="center"/>
    </xf>
    <xf borderId="45" fillId="9" fontId="31" numFmtId="0" xfId="0" applyAlignment="1" applyBorder="1" applyFont="1">
      <alignment horizontal="center" readingOrder="0" vertical="center"/>
    </xf>
    <xf borderId="44" fillId="9" fontId="40" numFmtId="0" xfId="0" applyAlignment="1" applyBorder="1" applyFont="1">
      <alignment horizontal="left" vertical="center"/>
    </xf>
    <xf borderId="64" fillId="17" fontId="34" numFmtId="0" xfId="0" applyAlignment="1" applyBorder="1" applyFont="1">
      <alignment horizontal="center" vertical="center"/>
    </xf>
    <xf borderId="0" fillId="19" fontId="34" numFmtId="0" xfId="0" applyAlignment="1" applyFont="1">
      <alignment horizontal="center" vertical="center"/>
    </xf>
    <xf borderId="0" fillId="17" fontId="34" numFmtId="0" xfId="0" applyAlignment="1" applyFont="1">
      <alignment horizontal="center" readingOrder="0" vertical="center"/>
    </xf>
    <xf borderId="32" fillId="19" fontId="34" numFmtId="0" xfId="0" applyAlignment="1" applyBorder="1" applyFont="1">
      <alignment horizontal="center" vertical="center"/>
    </xf>
    <xf borderId="46" fillId="6" fontId="42" numFmtId="0" xfId="0" applyAlignment="1" applyBorder="1" applyFont="1">
      <alignment horizontal="left" readingOrder="0" vertical="center"/>
    </xf>
    <xf borderId="45" fillId="6" fontId="42" numFmtId="0" xfId="0" applyAlignment="1" applyBorder="1" applyFont="1">
      <alignment horizontal="left" readingOrder="0" vertical="center"/>
    </xf>
    <xf borderId="21" fillId="0" fontId="3" numFmtId="0" xfId="0" applyBorder="1" applyFont="1"/>
    <xf borderId="22" fillId="2" fontId="43" numFmtId="0" xfId="0" applyAlignment="1" applyBorder="1" applyFont="1">
      <alignment horizontal="left" vertical="center"/>
    </xf>
    <xf borderId="34" fillId="23" fontId="41" numFmtId="0" xfId="0" applyAlignment="1" applyBorder="1" applyFont="1">
      <alignment horizontal="center" readingOrder="0" vertical="center"/>
    </xf>
    <xf borderId="35" fillId="23" fontId="41" numFmtId="0" xfId="0" applyAlignment="1" applyBorder="1" applyFont="1">
      <alignment horizontal="center" readingOrder="0" vertical="center"/>
    </xf>
    <xf borderId="0" fillId="15" fontId="33" numFmtId="0" xfId="0" applyAlignment="1" applyFont="1">
      <alignment horizontal="center" readingOrder="0" textRotation="90" vertical="center"/>
    </xf>
    <xf borderId="70" fillId="18" fontId="29" numFmtId="0" xfId="0" applyAlignment="1" applyBorder="1" applyFont="1">
      <alignment vertical="center"/>
    </xf>
    <xf borderId="71" fillId="0" fontId="3" numFmtId="0" xfId="0" applyBorder="1" applyFont="1"/>
    <xf borderId="53" fillId="18" fontId="34" numFmtId="0" xfId="0" applyAlignment="1" applyBorder="1" applyFont="1">
      <alignment horizontal="right" vertical="bottom"/>
    </xf>
    <xf borderId="43" fillId="18" fontId="34" numFmtId="0" xfId="0" applyAlignment="1" applyBorder="1" applyFont="1">
      <alignment horizontal="right" vertical="bottom"/>
    </xf>
    <xf borderId="33" fillId="18" fontId="34" numFmtId="0" xfId="0" applyAlignment="1" applyBorder="1" applyFont="1">
      <alignment horizontal="right" vertical="bottom"/>
    </xf>
    <xf borderId="44" fillId="18" fontId="34" numFmtId="0" xfId="0" applyAlignment="1" applyBorder="1" applyFont="1">
      <alignment horizontal="right" vertical="bottom"/>
    </xf>
    <xf borderId="0" fillId="18" fontId="34" numFmtId="0" xfId="0" applyAlignment="1" applyFont="1">
      <alignment horizontal="right" vertical="bottom"/>
    </xf>
    <xf borderId="32" fillId="18" fontId="34" numFmtId="0" xfId="0" applyAlignment="1" applyBorder="1" applyFont="1">
      <alignment horizontal="right" vertical="bottom"/>
    </xf>
    <xf borderId="64" fillId="20" fontId="29" numFmtId="0" xfId="0" applyAlignment="1" applyBorder="1" applyFont="1">
      <alignment vertical="center"/>
    </xf>
    <xf borderId="53" fillId="20" fontId="34" numFmtId="0" xfId="0" applyAlignment="1" applyBorder="1" applyFont="1">
      <alignment horizontal="right" vertical="bottom"/>
    </xf>
    <xf borderId="43" fillId="20" fontId="34" numFmtId="0" xfId="0" applyAlignment="1" applyBorder="1" applyFont="1">
      <alignment horizontal="right" vertical="bottom"/>
    </xf>
    <xf borderId="33" fillId="20" fontId="34" numFmtId="0" xfId="0" applyAlignment="1" applyBorder="1" applyFont="1">
      <alignment horizontal="right" vertical="bottom"/>
    </xf>
    <xf borderId="44" fillId="20" fontId="34" numFmtId="0" xfId="0" applyAlignment="1" applyBorder="1" applyFont="1">
      <alignment horizontal="right" vertical="bottom"/>
    </xf>
    <xf borderId="0" fillId="20" fontId="34" numFmtId="0" xfId="0" applyAlignment="1" applyFont="1">
      <alignment horizontal="right" vertical="bottom"/>
    </xf>
    <xf borderId="32" fillId="20" fontId="34" numFmtId="0" xfId="0" applyAlignment="1" applyBorder="1" applyFont="1">
      <alignment horizontal="right" vertical="bottom"/>
    </xf>
    <xf borderId="64" fillId="21" fontId="28" numFmtId="0" xfId="0" applyAlignment="1" applyBorder="1" applyFont="1">
      <alignment vertical="center"/>
    </xf>
    <xf borderId="53" fillId="21" fontId="34" numFmtId="0" xfId="0" applyAlignment="1" applyBorder="1" applyFont="1">
      <alignment horizontal="right" vertical="bottom"/>
    </xf>
    <xf borderId="43" fillId="21" fontId="34" numFmtId="0" xfId="0" applyAlignment="1" applyBorder="1" applyFont="1">
      <alignment horizontal="right" vertical="bottom"/>
    </xf>
    <xf borderId="33" fillId="21" fontId="34" numFmtId="0" xfId="0" applyAlignment="1" applyBorder="1" applyFont="1">
      <alignment horizontal="right" vertical="bottom"/>
    </xf>
    <xf borderId="44" fillId="21" fontId="34" numFmtId="0" xfId="0" applyAlignment="1" applyBorder="1" applyFont="1">
      <alignment horizontal="right" vertical="bottom"/>
    </xf>
    <xf borderId="0" fillId="21" fontId="34" numFmtId="0" xfId="0" applyAlignment="1" applyFont="1">
      <alignment horizontal="right" vertical="bottom"/>
    </xf>
    <xf borderId="32" fillId="21" fontId="34" numFmtId="0" xfId="0" applyAlignment="1" applyBorder="1" applyFont="1">
      <alignment horizontal="right" vertical="bottom"/>
    </xf>
    <xf borderId="64" fillId="6" fontId="35" numFmtId="0" xfId="0" applyAlignment="1" applyBorder="1" applyFont="1">
      <alignment vertical="center"/>
    </xf>
    <xf borderId="53" fillId="6" fontId="36" numFmtId="0" xfId="0" applyAlignment="1" applyBorder="1" applyFont="1">
      <alignment horizontal="right" vertical="bottom"/>
    </xf>
    <xf borderId="43" fillId="6" fontId="36" numFmtId="0" xfId="0" applyAlignment="1" applyBorder="1" applyFont="1">
      <alignment horizontal="right" vertical="bottom"/>
    </xf>
    <xf borderId="33" fillId="6" fontId="36" numFmtId="0" xfId="0" applyAlignment="1" applyBorder="1" applyFont="1">
      <alignment horizontal="right" vertical="bottom"/>
    </xf>
    <xf borderId="44" fillId="6" fontId="36" numFmtId="0" xfId="0" applyAlignment="1" applyBorder="1" applyFont="1">
      <alignment horizontal="right" vertical="bottom"/>
    </xf>
    <xf borderId="0" fillId="6" fontId="36" numFmtId="0" xfId="0" applyAlignment="1" applyFont="1">
      <alignment horizontal="right" vertical="bottom"/>
    </xf>
    <xf borderId="32" fillId="6" fontId="36" numFmtId="0" xfId="0" applyAlignment="1" applyBorder="1" applyFont="1">
      <alignment horizontal="right" vertical="bottom"/>
    </xf>
    <xf borderId="64" fillId="22" fontId="28" numFmtId="0" xfId="0" applyAlignment="1" applyBorder="1" applyFont="1">
      <alignment vertical="center"/>
    </xf>
    <xf borderId="53" fillId="22" fontId="34" numFmtId="0" xfId="0" applyAlignment="1" applyBorder="1" applyFont="1">
      <alignment horizontal="right" vertical="bottom"/>
    </xf>
    <xf borderId="43" fillId="22" fontId="34" numFmtId="0" xfId="0" applyAlignment="1" applyBorder="1" applyFont="1">
      <alignment horizontal="right" vertical="bottom"/>
    </xf>
    <xf borderId="33" fillId="22" fontId="34" numFmtId="0" xfId="0" applyAlignment="1" applyBorder="1" applyFont="1">
      <alignment horizontal="right" vertical="bottom"/>
    </xf>
    <xf borderId="44" fillId="22" fontId="34" numFmtId="0" xfId="0" applyAlignment="1" applyBorder="1" applyFont="1">
      <alignment horizontal="right" vertical="bottom"/>
    </xf>
    <xf borderId="0" fillId="22" fontId="34" numFmtId="0" xfId="0" applyAlignment="1" applyFont="1">
      <alignment horizontal="right" vertical="bottom"/>
    </xf>
    <xf borderId="32" fillId="22" fontId="34" numFmtId="0" xfId="0" applyAlignment="1" applyBorder="1" applyFont="1">
      <alignment horizontal="right" vertical="bottom"/>
    </xf>
    <xf borderId="64" fillId="0" fontId="28" numFmtId="0" xfId="0" applyAlignment="1" applyBorder="1" applyFont="1">
      <alignment vertical="center"/>
    </xf>
    <xf borderId="53" fillId="0" fontId="34" numFmtId="0" xfId="0" applyAlignment="1" applyBorder="1" applyFont="1">
      <alignment horizontal="right" vertical="bottom"/>
    </xf>
    <xf borderId="43" fillId="0" fontId="34" numFmtId="0" xfId="0" applyAlignment="1" applyBorder="1" applyFont="1">
      <alignment horizontal="right" vertical="bottom"/>
    </xf>
    <xf borderId="33" fillId="0" fontId="34" numFmtId="0" xfId="0" applyAlignment="1" applyBorder="1" applyFont="1">
      <alignment horizontal="right" vertical="bottom"/>
    </xf>
    <xf borderId="44" fillId="0" fontId="34" numFmtId="0" xfId="0" applyAlignment="1" applyBorder="1" applyFont="1">
      <alignment horizontal="right" vertical="bottom"/>
    </xf>
    <xf borderId="0" fillId="0" fontId="34" numFmtId="0" xfId="0" applyAlignment="1" applyFont="1">
      <alignment horizontal="right" vertical="bottom"/>
    </xf>
    <xf borderId="32" fillId="0" fontId="34" numFmtId="0" xfId="0" applyAlignment="1" applyBorder="1" applyFont="1">
      <alignment horizontal="right" vertical="bottom"/>
    </xf>
    <xf borderId="72" fillId="0" fontId="28" numFmtId="9" xfId="0" applyAlignment="1" applyBorder="1" applyFont="1" applyNumberFormat="1">
      <alignment vertical="center"/>
    </xf>
    <xf borderId="30" fillId="0" fontId="34" numFmtId="9" xfId="0" applyAlignment="1" applyBorder="1" applyFont="1" applyNumberFormat="1">
      <alignment horizontal="right" vertical="bottom"/>
    </xf>
    <xf borderId="47" fillId="0" fontId="34" numFmtId="9" xfId="0" applyAlignment="1" applyBorder="1" applyFont="1" applyNumberFormat="1">
      <alignment horizontal="right" vertical="bottom"/>
    </xf>
    <xf borderId="21" fillId="0" fontId="34" numFmtId="9" xfId="0" applyAlignment="1" applyBorder="1" applyFont="1" applyNumberFormat="1">
      <alignment horizontal="right" vertical="bottom"/>
    </xf>
    <xf borderId="57" fillId="0" fontId="34" numFmtId="9" xfId="0" applyAlignment="1" applyBorder="1" applyFont="1" applyNumberFormat="1">
      <alignment horizontal="right" vertical="bottom"/>
    </xf>
    <xf borderId="44" fillId="16" fontId="14" numFmtId="0" xfId="0" applyAlignment="1" applyBorder="1" applyFont="1">
      <alignment horizontal="center" readingOrder="0" vertical="center"/>
    </xf>
    <xf borderId="53" fillId="16" fontId="14" numFmtId="0" xfId="0" applyAlignment="1" applyBorder="1" applyFont="1">
      <alignment horizontal="center" readingOrder="0" vertical="center"/>
    </xf>
    <xf borderId="43" fillId="16" fontId="14" numFmtId="0" xfId="0" applyAlignment="1" applyBorder="1" applyFont="1">
      <alignment horizontal="center" readingOrder="0" vertical="center"/>
    </xf>
    <xf borderId="44" fillId="16" fontId="14" numFmtId="0" xfId="0" applyAlignment="1" applyBorder="1" applyFont="1">
      <alignment horizontal="center" readingOrder="0"/>
    </xf>
    <xf borderId="32" fillId="16" fontId="14" numFmtId="0" xfId="0" applyAlignment="1" applyBorder="1" applyFont="1">
      <alignment horizontal="center" readingOrder="0"/>
    </xf>
    <xf borderId="33" fillId="16" fontId="14" numFmtId="0" xfId="0" applyAlignment="1" applyBorder="1" applyFont="1">
      <alignment horizontal="center" readingOrder="0"/>
    </xf>
    <xf borderId="50" fillId="17" fontId="34" numFmtId="0" xfId="0" applyAlignment="1" applyBorder="1" applyFont="1">
      <alignment horizontal="center" readingOrder="0" vertical="center"/>
    </xf>
    <xf borderId="73" fillId="17" fontId="34" numFmtId="0" xfId="0" applyAlignment="1" applyBorder="1" applyFont="1">
      <alignment horizontal="center" vertical="center"/>
    </xf>
    <xf borderId="74" fillId="2" fontId="34" numFmtId="0" xfId="0" applyAlignment="1" applyBorder="1" applyFont="1">
      <alignment horizontal="center" readingOrder="0" vertical="center"/>
    </xf>
    <xf borderId="75" fillId="17" fontId="34" numFmtId="0" xfId="0" applyAlignment="1" applyBorder="1" applyFont="1">
      <alignment horizontal="center" vertical="center"/>
    </xf>
    <xf borderId="50" fillId="17" fontId="34" numFmtId="0" xfId="0" applyAlignment="1" applyBorder="1" applyFont="1">
      <alignment horizontal="center" vertical="center"/>
    </xf>
    <xf borderId="76" fillId="17" fontId="34" numFmtId="0" xfId="0" applyAlignment="1" applyBorder="1" applyFont="1">
      <alignment horizontal="center" vertical="center"/>
    </xf>
    <xf borderId="22" fillId="2" fontId="34" numFmtId="0" xfId="0" applyAlignment="1" applyBorder="1" applyFont="1">
      <alignment horizontal="center" readingOrder="0" vertical="center"/>
    </xf>
    <xf borderId="57" fillId="2" fontId="34" numFmtId="0" xfId="0" applyAlignment="1" applyBorder="1" applyFont="1">
      <alignment horizontal="center" readingOrder="0" vertical="center"/>
    </xf>
    <xf borderId="33" fillId="5" fontId="29" numFmtId="0" xfId="0" applyAlignment="1" applyBorder="1" applyFont="1">
      <alignment readingOrder="0" vertical="center"/>
    </xf>
    <xf borderId="50" fillId="19" fontId="34" numFmtId="0" xfId="0" applyAlignment="1" applyBorder="1" applyFont="1">
      <alignment horizontal="center" readingOrder="0" vertical="center"/>
    </xf>
    <xf borderId="50" fillId="19" fontId="34" numFmtId="0" xfId="0" applyAlignment="1" applyBorder="1" applyFont="1">
      <alignment horizontal="center" vertical="center"/>
    </xf>
    <xf borderId="33" fillId="5" fontId="30" numFmtId="0" xfId="0" applyAlignment="1" applyBorder="1" applyFont="1">
      <alignment vertical="center"/>
    </xf>
    <xf borderId="33" fillId="5" fontId="29" numFmtId="0" xfId="0" applyAlignment="1" applyBorder="1" applyFont="1">
      <alignment vertical="center"/>
    </xf>
    <xf borderId="73" fillId="6" fontId="34" numFmtId="0" xfId="0" applyAlignment="1" applyBorder="1" applyFont="1">
      <alignment horizontal="center" readingOrder="0" vertical="center"/>
    </xf>
    <xf borderId="44" fillId="5" fontId="29" numFmtId="0" xfId="0" applyAlignment="1" applyBorder="1" applyFont="1">
      <alignment vertical="center"/>
    </xf>
    <xf borderId="50" fillId="6" fontId="34" numFmtId="0" xfId="0" applyAlignment="1" applyBorder="1" applyFont="1">
      <alignment horizontal="center" readingOrder="0" vertical="center"/>
    </xf>
    <xf borderId="44" fillId="11" fontId="32" numFmtId="0" xfId="0" applyAlignment="1" applyBorder="1" applyFont="1">
      <alignment vertical="center"/>
    </xf>
    <xf borderId="74" fillId="6" fontId="34" numFmtId="0" xfId="0" applyAlignment="1" applyBorder="1" applyFont="1">
      <alignment horizontal="center" readingOrder="0" vertical="center"/>
    </xf>
    <xf borderId="76" fillId="17" fontId="34" numFmtId="0" xfId="0" applyAlignment="1" applyBorder="1" applyFont="1">
      <alignment horizontal="center" readingOrder="0" vertical="center"/>
    </xf>
    <xf borderId="44" fillId="9" fontId="32" numFmtId="0" xfId="0" applyAlignment="1" applyBorder="1" applyFont="1">
      <alignment horizontal="left" vertical="center"/>
    </xf>
    <xf borderId="73" fillId="17" fontId="34" numFmtId="0" xfId="0" applyAlignment="1" applyBorder="1" applyFont="1">
      <alignment horizontal="center" vertical="center"/>
    </xf>
    <xf borderId="21" fillId="9" fontId="32" numFmtId="0" xfId="0" applyAlignment="1" applyBorder="1" applyFont="1">
      <alignment horizontal="left" vertical="center"/>
    </xf>
    <xf borderId="75" fillId="17" fontId="34" numFmtId="0" xfId="0" applyAlignment="1" applyBorder="1" applyFont="1">
      <alignment horizontal="center" readingOrder="0" vertical="center"/>
    </xf>
    <xf borderId="73" fillId="6" fontId="36" numFmtId="0" xfId="0" applyAlignment="1" applyBorder="1" applyFont="1">
      <alignment horizontal="center" vertical="center"/>
    </xf>
    <xf borderId="50" fillId="6" fontId="36" numFmtId="0" xfId="0" applyAlignment="1" applyBorder="1" applyFont="1">
      <alignment horizontal="center" vertical="center"/>
    </xf>
    <xf borderId="76" fillId="6" fontId="36" numFmtId="0" xfId="0" applyAlignment="1" applyBorder="1" applyFont="1">
      <alignment horizontal="center" vertical="center"/>
    </xf>
    <xf borderId="0" fillId="0" fontId="41" numFmtId="0" xfId="0" applyAlignment="1" applyFont="1">
      <alignment horizontal="center" vertical="center"/>
    </xf>
    <xf borderId="32" fillId="0" fontId="41" numFmtId="0" xfId="0" applyAlignment="1" applyBorder="1" applyFont="1">
      <alignment horizontal="center" vertical="center"/>
    </xf>
    <xf borderId="45" fillId="7" fontId="24" numFmtId="0" xfId="0" applyAlignment="1" applyBorder="1" applyFont="1">
      <alignment horizontal="left" vertical="center"/>
    </xf>
    <xf borderId="33" fillId="7" fontId="32" numFmtId="0" xfId="0" applyAlignment="1" applyBorder="1" applyFont="1">
      <alignment horizontal="left" vertical="center"/>
    </xf>
    <xf borderId="22" fillId="7" fontId="32" numFmtId="0" xfId="0" applyAlignment="1" applyBorder="1" applyFont="1">
      <alignment horizontal="left" vertical="center"/>
    </xf>
    <xf borderId="73" fillId="19" fontId="34" numFmtId="0" xfId="0" applyAlignment="1" applyBorder="1" applyFont="1">
      <alignment horizontal="center" vertical="center"/>
    </xf>
    <xf borderId="50" fillId="17" fontId="34" numFmtId="0" xfId="0" applyAlignment="1" applyBorder="1" applyFont="1">
      <alignment horizontal="center" vertical="center"/>
    </xf>
    <xf borderId="50" fillId="19" fontId="34" numFmtId="0" xfId="0" applyAlignment="1" applyBorder="1" applyFont="1">
      <alignment horizontal="center" vertical="center"/>
    </xf>
    <xf borderId="45" fillId="2" fontId="44" numFmtId="0" xfId="0" applyAlignment="1" applyBorder="1" applyFont="1">
      <alignment horizontal="center" readingOrder="0" vertical="center"/>
    </xf>
    <xf borderId="45" fillId="2" fontId="45" numFmtId="0" xfId="0" applyAlignment="1" applyBorder="1" applyFont="1">
      <alignment horizontal="left" vertical="center"/>
    </xf>
    <xf borderId="50" fillId="6" fontId="36" numFmtId="0" xfId="0" applyAlignment="1" applyBorder="1" applyFont="1">
      <alignment horizontal="center" readingOrder="0" vertical="center"/>
    </xf>
    <xf borderId="33" fillId="2" fontId="46" numFmtId="0" xfId="0" applyAlignment="1" applyBorder="1" applyFont="1">
      <alignment horizontal="left" vertical="center"/>
    </xf>
    <xf borderId="77" fillId="2" fontId="1" numFmtId="0" xfId="0" applyAlignment="1" applyBorder="1" applyFont="1">
      <alignment vertical="bottom"/>
    </xf>
    <xf borderId="48" fillId="24" fontId="47" numFmtId="0" xfId="0" applyAlignment="1" applyBorder="1" applyFill="1" applyFont="1">
      <alignment horizontal="center" readingOrder="0" vertical="center"/>
    </xf>
    <xf borderId="62" fillId="15" fontId="23" numFmtId="0" xfId="0" applyAlignment="1" applyBorder="1" applyFont="1">
      <alignment horizontal="center" vertical="center"/>
    </xf>
    <xf borderId="0" fillId="5" fontId="12" numFmtId="0" xfId="0" applyAlignment="1" applyFont="1">
      <alignment horizontal="center"/>
    </xf>
    <xf borderId="34" fillId="16" fontId="1" numFmtId="0" xfId="0" applyBorder="1" applyFont="1"/>
    <xf borderId="35" fillId="16" fontId="1" numFmtId="0" xfId="0" applyBorder="1" applyFont="1"/>
    <xf borderId="38" fillId="0" fontId="3" numFmtId="0" xfId="0" applyBorder="1" applyFont="1"/>
    <xf borderId="43" fillId="15" fontId="48" numFmtId="0" xfId="0" applyAlignment="1" applyBorder="1" applyFont="1">
      <alignment horizontal="center" textRotation="90" vertical="center"/>
    </xf>
    <xf borderId="22" fillId="5" fontId="27" numFmtId="0" xfId="0" applyAlignment="1" applyBorder="1" applyFont="1">
      <alignment horizontal="center" vertical="center"/>
    </xf>
    <xf borderId="22" fillId="5" fontId="28" numFmtId="0" xfId="0" applyAlignment="1" applyBorder="1" applyFont="1">
      <alignment vertical="center"/>
    </xf>
    <xf borderId="32" fillId="6" fontId="34" numFmtId="0" xfId="0" applyAlignment="1" applyBorder="1" applyFont="1">
      <alignment horizontal="center"/>
    </xf>
    <xf borderId="22" fillId="11" fontId="31" numFmtId="0" xfId="0" applyAlignment="1" applyBorder="1" applyFont="1">
      <alignment horizontal="center" vertical="center"/>
    </xf>
    <xf borderId="22" fillId="11" fontId="24" numFmtId="0" xfId="0" applyAlignment="1" applyBorder="1" applyFont="1">
      <alignment vertical="center"/>
    </xf>
    <xf borderId="22" fillId="12" fontId="31" numFmtId="0" xfId="0" applyAlignment="1" applyBorder="1" applyFont="1">
      <alignment horizontal="center" vertical="center"/>
    </xf>
    <xf borderId="22" fillId="12" fontId="24" numFmtId="0" xfId="0" applyAlignment="1" applyBorder="1" applyFont="1">
      <alignment vertical="center"/>
    </xf>
    <xf borderId="22" fillId="13" fontId="31" numFmtId="0" xfId="0" applyAlignment="1" applyBorder="1" applyFont="1">
      <alignment horizontal="center" vertical="center"/>
    </xf>
    <xf borderId="22" fillId="13" fontId="24" numFmtId="0" xfId="0" applyAlignment="1" applyBorder="1" applyFont="1">
      <alignment vertical="center"/>
    </xf>
    <xf borderId="78" fillId="16" fontId="3" numFmtId="0" xfId="0" applyBorder="1" applyFont="1"/>
    <xf borderId="33" fillId="7" fontId="31" numFmtId="0" xfId="0" applyAlignment="1" applyBorder="1" applyFont="1">
      <alignment horizontal="center" vertical="center"/>
    </xf>
    <xf borderId="33" fillId="7" fontId="24" numFmtId="0" xfId="0" applyAlignment="1" applyBorder="1" applyFont="1">
      <alignment vertical="center"/>
    </xf>
    <xf borderId="33" fillId="9" fontId="31" numFmtId="0" xfId="0" applyAlignment="1" applyBorder="1" applyFont="1">
      <alignment horizontal="center" vertical="center"/>
    </xf>
    <xf borderId="33" fillId="9" fontId="24" numFmtId="0" xfId="0" applyAlignment="1" applyBorder="1" applyFont="1">
      <alignment vertical="center"/>
    </xf>
    <xf borderId="22" fillId="9" fontId="24" numFmtId="0" xfId="0" applyAlignment="1" applyBorder="1" applyFont="1">
      <alignment vertical="center"/>
    </xf>
    <xf borderId="32" fillId="18" fontId="1" numFmtId="0" xfId="0" applyAlignment="1" applyBorder="1" applyFont="1">
      <alignment horizontal="right" vertical="bottom"/>
    </xf>
    <xf borderId="32" fillId="20" fontId="1" numFmtId="0" xfId="0" applyAlignment="1" applyBorder="1" applyFont="1">
      <alignment horizontal="right" vertical="bottom"/>
    </xf>
    <xf borderId="0" fillId="21" fontId="29" numFmtId="0" xfId="0" applyFont="1"/>
    <xf borderId="32" fillId="21" fontId="1" numFmtId="0" xfId="0" applyAlignment="1" applyBorder="1" applyFont="1">
      <alignment horizontal="right" vertical="bottom"/>
    </xf>
    <xf borderId="0" fillId="6" fontId="49" numFmtId="0" xfId="0" applyFont="1"/>
    <xf borderId="32" fillId="6" fontId="50" numFmtId="0" xfId="0" applyAlignment="1" applyBorder="1" applyFont="1">
      <alignment horizontal="right" vertical="bottom"/>
    </xf>
    <xf borderId="32" fillId="22" fontId="1" numFmtId="0" xfId="0" applyAlignment="1" applyBorder="1" applyFont="1">
      <alignment horizontal="right" vertical="bottom"/>
    </xf>
    <xf borderId="32" fillId="0" fontId="1" numFmtId="0" xfId="0" applyAlignment="1" applyBorder="1" applyFont="1">
      <alignment horizontal="right" vertical="bottom"/>
    </xf>
    <xf borderId="57" fillId="0" fontId="1" numFmtId="9" xfId="0" applyAlignment="1" applyBorder="1" applyFont="1" applyNumberFormat="1">
      <alignment horizontal="right" vertical="bottom"/>
    </xf>
    <xf borderId="61" fillId="15" fontId="26" numFmtId="0" xfId="0" applyAlignment="1" applyBorder="1" applyFont="1">
      <alignment horizontal="center" readingOrder="0" vertical="center"/>
    </xf>
    <xf borderId="41" fillId="16" fontId="25" numFmtId="0" xfId="0" applyAlignment="1" applyBorder="1" applyFont="1">
      <alignment horizontal="center" readingOrder="0"/>
    </xf>
    <xf borderId="38" fillId="16" fontId="25" numFmtId="0" xfId="0" applyAlignment="1" applyBorder="1" applyFont="1">
      <alignment horizontal="center" readingOrder="0"/>
    </xf>
    <xf borderId="50" fillId="11" fontId="31" numFmtId="0" xfId="0" applyAlignment="1" applyBorder="1" applyFont="1">
      <alignment horizontal="center" readingOrder="0" vertical="center"/>
    </xf>
    <xf borderId="46" fillId="11" fontId="24" numFmtId="0" xfId="0" applyAlignment="1" applyBorder="1" applyFont="1">
      <alignment horizontal="left" readingOrder="0" vertical="center"/>
    </xf>
    <xf borderId="50" fillId="12" fontId="31" numFmtId="0" xfId="0" applyAlignment="1" applyBorder="1" applyFont="1">
      <alignment horizontal="center" readingOrder="0" vertical="center"/>
    </xf>
    <xf borderId="45" fillId="12" fontId="24" numFmtId="0" xfId="0" applyAlignment="1" applyBorder="1" applyFont="1">
      <alignment horizontal="left" readingOrder="0" vertical="center"/>
    </xf>
    <xf borderId="50" fillId="13" fontId="31" numFmtId="0" xfId="0" applyAlignment="1" applyBorder="1" applyFont="1">
      <alignment horizontal="center" readingOrder="0" vertical="center"/>
    </xf>
    <xf borderId="38" fillId="16" fontId="3" numFmtId="0" xfId="0" applyBorder="1" applyFont="1"/>
    <xf borderId="33" fillId="7" fontId="24" numFmtId="0" xfId="0" applyAlignment="1" applyBorder="1" applyFont="1">
      <alignment readingOrder="0" vertical="center"/>
    </xf>
    <xf borderId="33" fillId="7" fontId="51" numFmtId="0" xfId="0" applyAlignment="1" applyBorder="1" applyFont="1">
      <alignment readingOrder="0" vertical="center"/>
    </xf>
    <xf borderId="71" fillId="9" fontId="31" numFmtId="0" xfId="0" applyAlignment="1" applyBorder="1" applyFont="1">
      <alignment horizontal="center" readingOrder="0" vertical="center"/>
    </xf>
    <xf borderId="46" fillId="9" fontId="24" numFmtId="0" xfId="0" applyAlignment="1" applyBorder="1" applyFont="1">
      <alignment horizontal="left" vertical="center"/>
    </xf>
    <xf borderId="21" fillId="9" fontId="24" numFmtId="0" xfId="0" applyAlignment="1" applyBorder="1" applyFont="1">
      <alignment horizontal="left" readingOrder="0" vertical="center"/>
    </xf>
    <xf borderId="45" fillId="2" fontId="52" numFmtId="0" xfId="0" applyAlignment="1" applyBorder="1" applyFont="1">
      <alignment horizontal="center" readingOrder="0" vertical="center"/>
    </xf>
    <xf borderId="33" fillId="2" fontId="42" numFmtId="0" xfId="0" applyAlignment="1" applyBorder="1" applyFont="1">
      <alignment horizontal="left" vertical="center"/>
    </xf>
    <xf borderId="43" fillId="18" fontId="1" numFmtId="0" xfId="0" applyAlignment="1" applyBorder="1" applyFont="1">
      <alignment horizontal="right" vertical="bottom"/>
    </xf>
    <xf borderId="32" fillId="18" fontId="1" numFmtId="0" xfId="0" applyAlignment="1" applyBorder="1" applyFont="1">
      <alignment horizontal="right" vertical="bottom"/>
    </xf>
    <xf borderId="43" fillId="20" fontId="1" numFmtId="0" xfId="0" applyAlignment="1" applyBorder="1" applyFont="1">
      <alignment horizontal="right" vertical="bottom"/>
    </xf>
    <xf borderId="32" fillId="20" fontId="1" numFmtId="0" xfId="0" applyAlignment="1" applyBorder="1" applyFont="1">
      <alignment horizontal="right" vertical="bottom"/>
    </xf>
    <xf borderId="64" fillId="21" fontId="29" numFmtId="0" xfId="0" applyAlignment="1" applyBorder="1" applyFont="1">
      <alignment vertical="center"/>
    </xf>
    <xf borderId="43" fillId="21" fontId="1" numFmtId="0" xfId="0" applyAlignment="1" applyBorder="1" applyFont="1">
      <alignment horizontal="right" vertical="bottom"/>
    </xf>
    <xf borderId="32" fillId="21" fontId="1" numFmtId="0" xfId="0" applyAlignment="1" applyBorder="1" applyFont="1">
      <alignment horizontal="right" vertical="bottom"/>
    </xf>
    <xf borderId="64" fillId="6" fontId="49" numFmtId="0" xfId="0" applyAlignment="1" applyBorder="1" applyFont="1">
      <alignment vertical="center"/>
    </xf>
    <xf borderId="43" fillId="6" fontId="50" numFmtId="0" xfId="0" applyAlignment="1" applyBorder="1" applyFont="1">
      <alignment horizontal="right" vertical="bottom"/>
    </xf>
    <xf borderId="32" fillId="6" fontId="50" numFmtId="0" xfId="0" applyAlignment="1" applyBorder="1" applyFont="1">
      <alignment horizontal="right" vertical="bottom"/>
    </xf>
    <xf borderId="43" fillId="22" fontId="1" numFmtId="0" xfId="0" applyAlignment="1" applyBorder="1" applyFont="1">
      <alignment horizontal="right" vertical="bottom"/>
    </xf>
    <xf borderId="32" fillId="22" fontId="1" numFmtId="0" xfId="0" applyAlignment="1" applyBorder="1" applyFont="1">
      <alignment horizontal="right" vertical="bottom"/>
    </xf>
    <xf borderId="43" fillId="0" fontId="1" numFmtId="0" xfId="0" applyAlignment="1" applyBorder="1" applyFont="1">
      <alignment horizontal="right" vertical="bottom"/>
    </xf>
    <xf borderId="32" fillId="0" fontId="1" numFmtId="0" xfId="0" applyAlignment="1" applyBorder="1" applyFont="1">
      <alignment horizontal="right" vertical="bottom"/>
    </xf>
    <xf borderId="47" fillId="0" fontId="1" numFmtId="9" xfId="0" applyAlignment="1" applyBorder="1" applyFont="1" applyNumberFormat="1">
      <alignment horizontal="right" vertical="bottom"/>
    </xf>
    <xf borderId="79" fillId="15" fontId="53" numFmtId="0" xfId="0" applyAlignment="1" applyBorder="1" applyFont="1">
      <alignment horizontal="center" readingOrder="0" vertical="center"/>
    </xf>
    <xf borderId="0" fillId="0" fontId="41" numFmtId="0" xfId="0" applyFont="1"/>
    <xf borderId="80" fillId="0" fontId="3" numFmtId="0" xfId="0" applyBorder="1" applyFont="1"/>
    <xf borderId="81" fillId="0" fontId="3" numFmtId="0" xfId="0" applyBorder="1" applyFont="1"/>
    <xf borderId="82" fillId="15" fontId="25" numFmtId="0" xfId="0" applyAlignment="1" applyBorder="1" applyFont="1">
      <alignment horizontal="center" readingOrder="0"/>
    </xf>
    <xf borderId="83" fillId="16" fontId="14" numFmtId="0" xfId="0" applyAlignment="1" applyBorder="1" applyFont="1">
      <alignment horizontal="center" readingOrder="0" vertical="center"/>
    </xf>
    <xf borderId="50" fillId="9" fontId="31" numFmtId="0" xfId="0" applyAlignment="1" applyBorder="1" applyFont="1">
      <alignment horizontal="center" readingOrder="0" vertical="center"/>
    </xf>
    <xf borderId="84" fillId="7" fontId="24" numFmtId="0" xfId="0" applyAlignment="1" applyBorder="1" applyFont="1">
      <alignment readingOrder="0" vertical="center"/>
    </xf>
    <xf borderId="0" fillId="15" fontId="54" numFmtId="0" xfId="0" applyAlignment="1" applyFont="1">
      <alignment horizontal="center" readingOrder="0" vertical="center"/>
    </xf>
    <xf borderId="0" fillId="15" fontId="54" numFmtId="0" xfId="0" applyAlignment="1" applyFont="1">
      <alignment horizontal="center" readingOrder="0" shrinkToFit="0" vertical="center" wrapText="1"/>
    </xf>
    <xf borderId="53" fillId="6" fontId="55" numFmtId="0" xfId="0" applyAlignment="1" applyBorder="1" applyFont="1">
      <alignment horizontal="center" readingOrder="0" shrinkToFit="0" vertical="center" wrapText="1"/>
    </xf>
    <xf borderId="0" fillId="6" fontId="56" numFmtId="0" xfId="0" applyAlignment="1" applyFont="1">
      <alignment horizontal="center" readingOrder="0" vertical="center"/>
    </xf>
    <xf borderId="0" fillId="6" fontId="41" numFmtId="0" xfId="0" applyAlignment="1" applyFont="1">
      <alignment horizontal="center" readingOrder="0" vertical="center"/>
    </xf>
    <xf borderId="0" fillId="6" fontId="56" numFmtId="0" xfId="0" applyAlignment="1" applyFont="1">
      <alignment horizontal="left" readingOrder="0" vertical="center"/>
    </xf>
    <xf borderId="85" fillId="0" fontId="3" numFmtId="0" xfId="0" applyBorder="1" applyFont="1"/>
    <xf borderId="0" fillId="15" fontId="57" numFmtId="0" xfId="0" applyAlignment="1" applyFont="1">
      <alignment horizontal="center" readingOrder="0" vertical="center"/>
    </xf>
    <xf borderId="0" fillId="15" fontId="58" numFmtId="0" xfId="0" applyAlignment="1" applyFont="1">
      <alignment horizontal="center" readingOrder="0" vertical="bottom"/>
    </xf>
    <xf borderId="53" fillId="4" fontId="54" numFmtId="0" xfId="0" applyAlignment="1" applyBorder="1" applyFont="1">
      <alignment horizontal="center" readingOrder="0"/>
    </xf>
    <xf borderId="0" fillId="0" fontId="59" numFmtId="0" xfId="0" applyAlignment="1" applyFont="1">
      <alignment horizontal="left" readingOrder="0" vertical="bottom"/>
    </xf>
    <xf borderId="0" fillId="0" fontId="3" numFmtId="0" xfId="0" applyAlignment="1" applyFont="1">
      <alignment horizontal="center" readingOrder="0"/>
    </xf>
    <xf borderId="0" fillId="0" fontId="60" numFmtId="0" xfId="0" applyAlignment="1" applyFont="1">
      <alignment horizontal="left" vertical="bottom"/>
    </xf>
    <xf borderId="53" fillId="22" fontId="41" numFmtId="0" xfId="0" applyAlignment="1" applyBorder="1" applyFont="1">
      <alignment horizontal="center" readingOrder="0"/>
    </xf>
    <xf borderId="53" fillId="0" fontId="56" numFmtId="0" xfId="0" applyAlignment="1" applyBorder="1" applyFont="1">
      <alignment horizontal="center" readingOrder="0" vertical="bottom"/>
    </xf>
    <xf borderId="53" fillId="5" fontId="41" numFmtId="0" xfId="0" applyAlignment="1" applyBorder="1" applyFont="1">
      <alignment horizontal="center" readingOrder="0"/>
    </xf>
    <xf borderId="0" fillId="24" fontId="3" numFmtId="0" xfId="0" applyAlignment="1" applyFont="1">
      <alignment horizontal="center" readingOrder="0"/>
    </xf>
    <xf borderId="53" fillId="0" fontId="61" numFmtId="0" xfId="0" applyAlignment="1" applyBorder="1" applyFont="1">
      <alignment horizontal="center" readingOrder="0" vertical="bottom"/>
    </xf>
    <xf borderId="0" fillId="0" fontId="60" numFmtId="0" xfId="0" applyAlignment="1" applyFont="1">
      <alignment horizontal="left" readingOrder="0" vertical="bottom"/>
    </xf>
    <xf borderId="53" fillId="25" fontId="62" numFmtId="0" xfId="0" applyAlignment="1" applyBorder="1" applyFill="1" applyFont="1">
      <alignment horizontal="center" readingOrder="0"/>
    </xf>
    <xf borderId="0" fillId="15" fontId="63" numFmtId="0" xfId="0" applyAlignment="1" applyFont="1">
      <alignment horizontal="center" readingOrder="0" vertical="bottom"/>
    </xf>
    <xf borderId="0" fillId="0" fontId="56" numFmtId="0" xfId="0" applyAlignment="1" applyFont="1">
      <alignment horizontal="left" readingOrder="0" vertical="bottom"/>
    </xf>
    <xf borderId="0" fillId="6" fontId="64" numFmtId="0" xfId="0" applyAlignment="1" applyFont="1">
      <alignment horizontal="left" readingOrder="0"/>
    </xf>
    <xf borderId="0" fillId="0" fontId="65" numFmtId="0" xfId="0" applyAlignment="1" applyFont="1">
      <alignment horizontal="left" readingOrder="0"/>
    </xf>
    <xf borderId="86" fillId="0" fontId="3" numFmtId="0" xfId="0" applyBorder="1" applyFont="1"/>
    <xf borderId="86" fillId="15" fontId="58" numFmtId="0" xfId="0" applyAlignment="1" applyBorder="1" applyFont="1">
      <alignment horizontal="center" readingOrder="0" vertical="bottom"/>
    </xf>
    <xf borderId="30" fillId="5" fontId="41" numFmtId="0" xfId="0" applyAlignment="1" applyBorder="1" applyFont="1">
      <alignment horizontal="center" readingOrder="0"/>
    </xf>
    <xf borderId="31" fillId="0" fontId="66" numFmtId="0" xfId="0" applyAlignment="1" applyBorder="1" applyFont="1">
      <alignment horizontal="left" readingOrder="0"/>
    </xf>
    <xf borderId="31" fillId="0" fontId="3" numFmtId="0" xfId="0" applyAlignment="1" applyBorder="1" applyFont="1">
      <alignment horizontal="center" readingOrder="0"/>
    </xf>
    <xf borderId="31" fillId="0" fontId="60" numFmtId="0" xfId="0" applyAlignment="1" applyBorder="1" applyFont="1">
      <alignment horizontal="left" readingOrder="0" vertical="bottom"/>
    </xf>
    <xf borderId="53" fillId="0" fontId="56" numFmtId="0" xfId="0" applyAlignment="1" applyBorder="1" applyFont="1">
      <alignment horizontal="center" readingOrder="0"/>
    </xf>
    <xf borderId="0" fillId="0" fontId="67" numFmtId="0" xfId="0" applyAlignment="1" applyFont="1">
      <alignment readingOrder="0"/>
    </xf>
    <xf borderId="71" fillId="24" fontId="3" numFmtId="0" xfId="0" applyAlignment="1" applyBorder="1" applyFont="1">
      <alignment horizontal="center" readingOrder="0"/>
    </xf>
    <xf borderId="0" fillId="0" fontId="68" numFmtId="0" xfId="0" applyAlignment="1" applyFont="1">
      <alignment horizontal="left" readingOrder="0"/>
    </xf>
    <xf borderId="30" fillId="0" fontId="56" numFmtId="0" xfId="0" applyAlignment="1" applyBorder="1" applyFont="1">
      <alignment horizontal="center" readingOrder="0"/>
    </xf>
    <xf borderId="87" fillId="15" fontId="58" numFmtId="0" xfId="0" applyAlignment="1" applyBorder="1" applyFont="1">
      <alignment horizontal="center" readingOrder="0" vertical="bottom"/>
    </xf>
    <xf borderId="71" fillId="0" fontId="69" numFmtId="0" xfId="0" applyAlignment="1" applyBorder="1" applyFont="1">
      <alignment horizontal="left" readingOrder="0"/>
    </xf>
    <xf borderId="71" fillId="0" fontId="3" numFmtId="0" xfId="0" applyAlignment="1" applyBorder="1" applyFont="1">
      <alignment horizontal="center" readingOrder="0"/>
    </xf>
    <xf borderId="71" fillId="0" fontId="60" numFmtId="0" xfId="0" applyAlignment="1" applyBorder="1" applyFont="1">
      <alignment horizontal="left" vertical="bottom"/>
    </xf>
    <xf borderId="53" fillId="0" fontId="41" numFmtId="0" xfId="0" applyAlignment="1" applyBorder="1" applyFont="1">
      <alignment horizontal="center" readingOrder="0"/>
    </xf>
    <xf borderId="0" fillId="0" fontId="3" numFmtId="0" xfId="0" applyAlignment="1" applyFont="1">
      <alignment readingOrder="0"/>
    </xf>
    <xf borderId="0" fillId="0" fontId="70" numFmtId="0" xfId="0" applyAlignment="1" applyFont="1">
      <alignment horizontal="left" readingOrder="0"/>
    </xf>
    <xf borderId="0" fillId="0" fontId="71" numFmtId="0" xfId="0" applyAlignment="1" applyFont="1">
      <alignment readingOrder="0"/>
    </xf>
    <xf borderId="0" fillId="15" fontId="72" numFmtId="0" xfId="0" applyAlignment="1" applyFont="1">
      <alignment horizontal="center" readingOrder="0" vertical="center"/>
    </xf>
    <xf borderId="0" fillId="0" fontId="73" numFmtId="0" xfId="0" applyAlignment="1" applyFont="1">
      <alignment readingOrder="0"/>
    </xf>
    <xf borderId="0" fillId="0" fontId="74" numFmtId="0" xfId="0" applyAlignment="1" applyFont="1">
      <alignment readingOrder="0"/>
    </xf>
    <xf borderId="87" fillId="15" fontId="75" numFmtId="0" xfId="0" applyAlignment="1" applyBorder="1" applyFont="1">
      <alignment horizontal="center" readingOrder="0" vertical="center"/>
    </xf>
    <xf borderId="53" fillId="26" fontId="76" numFmtId="0" xfId="0" applyAlignment="1" applyBorder="1" applyFill="1" applyFont="1">
      <alignment horizontal="center" readingOrder="0"/>
    </xf>
    <xf borderId="71" fillId="0" fontId="77" numFmtId="0" xfId="0" applyAlignment="1" applyBorder="1" applyFont="1">
      <alignment readingOrder="0"/>
    </xf>
    <xf borderId="71" fillId="0" fontId="60" numFmtId="0" xfId="0" applyAlignment="1" applyBorder="1" applyFont="1">
      <alignment horizontal="left" readingOrder="0" vertical="bottom"/>
    </xf>
    <xf borderId="53" fillId="18" fontId="56" numFmtId="0" xfId="0" applyAlignment="1" applyBorder="1" applyFont="1">
      <alignment horizontal="center" readingOrder="0"/>
    </xf>
    <xf borderId="0" fillId="0" fontId="78" numFmtId="0" xfId="0" applyAlignment="1" applyFont="1">
      <alignment readingOrder="0"/>
    </xf>
    <xf borderId="0" fillId="0" fontId="79" numFmtId="0" xfId="0" applyAlignment="1" applyFont="1">
      <alignment readingOrder="0"/>
    </xf>
    <xf borderId="87" fillId="15" fontId="80" numFmtId="0" xfId="0" applyAlignment="1" applyBorder="1" applyFont="1">
      <alignment horizontal="center" readingOrder="0" vertical="bottom"/>
    </xf>
    <xf borderId="53" fillId="0" fontId="81" numFmtId="0" xfId="0" applyAlignment="1" applyBorder="1" applyFont="1">
      <alignment horizontal="center" readingOrder="0"/>
    </xf>
    <xf borderId="71" fillId="0" fontId="82" numFmtId="0" xfId="0" applyAlignment="1" applyBorder="1" applyFont="1">
      <alignment readingOrder="0"/>
    </xf>
    <xf borderId="0" fillId="15" fontId="80" numFmtId="0" xfId="0" applyAlignment="1" applyFont="1">
      <alignment horizontal="center" readingOrder="0" vertical="bottom"/>
    </xf>
    <xf borderId="0" fillId="0" fontId="83" numFmtId="0" xfId="0" applyAlignment="1" applyFont="1">
      <alignment readingOrder="0"/>
    </xf>
    <xf borderId="0" fillId="15" fontId="80" numFmtId="0" xfId="0" applyAlignment="1" applyFont="1">
      <alignment horizontal="center" readingOrder="0"/>
    </xf>
    <xf borderId="53" fillId="27" fontId="81" numFmtId="0" xfId="0" applyAlignment="1" applyBorder="1" applyFill="1" applyFont="1">
      <alignment horizontal="center" readingOrder="0"/>
    </xf>
    <xf borderId="0" fillId="0" fontId="84" numFmtId="0" xfId="0" applyAlignment="1" applyFont="1">
      <alignment readingOrder="0"/>
    </xf>
    <xf borderId="86" fillId="15" fontId="85" numFmtId="0" xfId="0" applyAlignment="1" applyBorder="1" applyFont="1">
      <alignment horizontal="center" readingOrder="0"/>
    </xf>
    <xf borderId="30" fillId="0" fontId="41" numFmtId="0" xfId="0" applyAlignment="1" applyBorder="1" applyFont="1">
      <alignment horizontal="center" readingOrder="0"/>
    </xf>
    <xf borderId="31" fillId="0" fontId="86" numFmtId="0" xfId="0" applyAlignment="1" applyBorder="1" applyFont="1">
      <alignment readingOrder="0"/>
    </xf>
    <xf borderId="31" fillId="6" fontId="3" numFmtId="0" xfId="0" applyAlignment="1" applyBorder="1" applyFont="1">
      <alignment horizontal="center" readingOrder="0"/>
    </xf>
    <xf borderId="0" fillId="15" fontId="72" numFmtId="0" xfId="0" applyAlignment="1" applyFont="1">
      <alignment horizontal="center" readingOrder="0" shrinkToFit="0" vertical="center" wrapText="1"/>
    </xf>
    <xf borderId="0" fillId="15" fontId="85" numFmtId="0" xfId="0" applyAlignment="1" applyFont="1">
      <alignment horizontal="center" readingOrder="0"/>
    </xf>
    <xf borderId="0" fillId="6" fontId="3" numFmtId="0" xfId="0" applyAlignment="1" applyFont="1">
      <alignment horizontal="center" readingOrder="0"/>
    </xf>
    <xf borderId="53" fillId="0" fontId="87" numFmtId="0" xfId="0" applyAlignment="1" applyBorder="1" applyFont="1">
      <alignment horizontal="center" readingOrder="0"/>
    </xf>
    <xf borderId="30" fillId="0" fontId="81" numFmtId="0" xfId="0" applyAlignment="1" applyBorder="1" applyFont="1">
      <alignment horizontal="center" readingOrder="0"/>
    </xf>
    <xf borderId="87" fillId="15" fontId="54" numFmtId="0" xfId="0" applyAlignment="1" applyBorder="1" applyFont="1">
      <alignment horizontal="center" readingOrder="0" shrinkToFit="0" vertical="center" wrapText="1"/>
    </xf>
    <xf borderId="87" fillId="15" fontId="80" numFmtId="0" xfId="0" applyAlignment="1" applyBorder="1" applyFont="1">
      <alignment horizontal="center" readingOrder="0"/>
    </xf>
    <xf borderId="0" fillId="6" fontId="64" numFmtId="0" xfId="0" applyAlignment="1" applyFont="1">
      <alignment horizontal="center" readingOrder="0"/>
    </xf>
    <xf borderId="53" fillId="0" fontId="3" numFmtId="0" xfId="0" applyAlignment="1" applyBorder="1" applyFont="1">
      <alignment horizontal="center" readingOrder="0"/>
    </xf>
    <xf borderId="71" fillId="0" fontId="88" numFmtId="0" xfId="0" applyAlignment="1" applyBorder="1" applyFont="1">
      <alignment readingOrder="0"/>
    </xf>
    <xf borderId="53" fillId="28" fontId="89" numFmtId="0" xfId="0" applyAlignment="1" applyBorder="1" applyFill="1" applyFont="1">
      <alignment horizontal="center" readingOrder="0"/>
    </xf>
    <xf borderId="0" fillId="15" fontId="90" numFmtId="0" xfId="0" applyAlignment="1" applyFont="1">
      <alignment horizontal="center" readingOrder="0"/>
    </xf>
    <xf borderId="53" fillId="24" fontId="81" numFmtId="0" xfId="0" applyAlignment="1" applyBorder="1" applyFont="1">
      <alignment horizontal="center" readingOrder="0"/>
    </xf>
    <xf borderId="0" fillId="24" fontId="91" numFmtId="0" xfId="0" applyAlignment="1" applyFont="1">
      <alignment readingOrder="0"/>
    </xf>
    <xf borderId="53" fillId="28" fontId="92" numFmtId="0" xfId="0" applyAlignment="1" applyBorder="1" applyFont="1">
      <alignment horizontal="center" readingOrder="0"/>
    </xf>
    <xf borderId="86" fillId="15" fontId="80" numFmtId="0" xfId="0" applyAlignment="1" applyBorder="1" applyFont="1">
      <alignment horizontal="center" readingOrder="0"/>
    </xf>
    <xf borderId="0" fillId="15" fontId="75" numFmtId="0" xfId="0" applyAlignment="1" applyFont="1">
      <alignment horizontal="center" readingOrder="0" vertical="center"/>
    </xf>
    <xf borderId="0" fillId="20" fontId="93" numFmtId="0" xfId="0" applyAlignment="1" applyFont="1">
      <alignment horizontal="center" readingOrder="0"/>
    </xf>
    <xf borderId="0" fillId="29" fontId="94" numFmtId="0" xfId="0" applyAlignment="1" applyFill="1" applyFont="1">
      <alignment readingOrder="0"/>
    </xf>
    <xf borderId="31" fillId="24" fontId="3" numFmtId="0" xfId="0" applyAlignment="1" applyBorder="1" applyFont="1">
      <alignment horizontal="center" readingOrder="0"/>
    </xf>
    <xf borderId="0" fillId="30" fontId="93" numFmtId="0" xfId="0" applyAlignment="1" applyFill="1" applyFont="1">
      <alignment horizontal="center" readingOrder="0" vertical="center"/>
    </xf>
    <xf borderId="53" fillId="13" fontId="75" numFmtId="0" xfId="0" applyAlignment="1" applyBorder="1" applyFont="1">
      <alignment horizontal="center" readingOrder="0"/>
    </xf>
    <xf borderId="0" fillId="17" fontId="3" numFmtId="0" xfId="0" applyAlignment="1" applyFont="1">
      <alignment horizontal="center" readingOrder="0"/>
    </xf>
    <xf borderId="31" fillId="0" fontId="95" numFmtId="0" xfId="0" applyAlignment="1" applyBorder="1" applyFont="1">
      <alignment readingOrder="0"/>
    </xf>
    <xf borderId="87" fillId="15" fontId="72" numFmtId="0" xfId="0" applyAlignment="1" applyBorder="1" applyFont="1">
      <alignment horizontal="center" readingOrder="0" vertical="center"/>
    </xf>
    <xf borderId="53" fillId="7" fontId="72" numFmtId="0" xfId="0" applyAlignment="1" applyBorder="1" applyFont="1">
      <alignment horizontal="center" readingOrder="0" vertical="center"/>
    </xf>
    <xf borderId="53" fillId="31" fontId="81" numFmtId="0" xfId="0" applyAlignment="1" applyBorder="1" applyFill="1" applyFont="1">
      <alignment horizontal="center" readingOrder="0"/>
    </xf>
    <xf borderId="0" fillId="15" fontId="72" numFmtId="0" xfId="0" applyAlignment="1" applyFont="1">
      <alignment horizontal="center" readingOrder="0" vertical="center"/>
    </xf>
    <xf borderId="53" fillId="0" fontId="81" numFmtId="0" xfId="0" applyAlignment="1" applyBorder="1" applyFont="1">
      <alignment horizontal="center" readingOrder="0"/>
    </xf>
    <xf borderId="53" fillId="9" fontId="54" numFmtId="0" xfId="0" applyAlignment="1" applyBorder="1" applyFont="1">
      <alignment horizontal="center" readingOrder="0"/>
    </xf>
    <xf borderId="33" fillId="15" fontId="80" numFmtId="0" xfId="0" applyAlignment="1" applyBorder="1" applyFont="1">
      <alignment horizontal="center" readingOrder="0"/>
    </xf>
    <xf borderId="30" fillId="13" fontId="75" numFmtId="0" xfId="0" applyAlignment="1" applyBorder="1" applyFont="1">
      <alignment horizontal="center" readingOrder="0"/>
    </xf>
    <xf borderId="31" fillId="0" fontId="96" numFmtId="0" xfId="0" applyAlignment="1" applyBorder="1" applyFont="1">
      <alignment readingOrder="0"/>
    </xf>
    <xf borderId="31" fillId="20" fontId="93" numFmtId="0" xfId="0" applyAlignment="1" applyBorder="1" applyFont="1">
      <alignment horizontal="center" readingOrder="0"/>
    </xf>
    <xf borderId="0" fillId="0" fontId="81" numFmtId="0" xfId="0" applyAlignment="1" applyFont="1">
      <alignment horizontal="center" readingOrder="0"/>
    </xf>
    <xf borderId="0" fillId="0" fontId="97" numFmtId="0" xfId="0" applyAlignment="1" applyFont="1">
      <alignment readingOrder="0"/>
    </xf>
    <xf borderId="0" fillId="6" fontId="55" numFmtId="0" xfId="0" applyAlignment="1" applyFont="1">
      <alignment horizontal="center" readingOrder="0" shrinkToFit="0" vertical="center" wrapText="1"/>
    </xf>
    <xf borderId="0" fillId="6" fontId="34" numFmtId="0" xfId="0" applyAlignment="1" applyFont="1">
      <alignment horizontal="center" readingOrder="0" shrinkToFit="0" vertical="center" wrapText="0"/>
    </xf>
    <xf borderId="0" fillId="6" fontId="34" numFmtId="164" xfId="0" applyAlignment="1" applyFont="1" applyNumberFormat="1">
      <alignment horizontal="center" readingOrder="0" vertical="center"/>
    </xf>
    <xf borderId="0" fillId="6" fontId="34" numFmtId="0" xfId="0" applyAlignment="1" applyFont="1">
      <alignment horizontal="center" readingOrder="0" vertical="center"/>
    </xf>
    <xf borderId="0" fillId="6" fontId="1" numFmtId="164" xfId="0" applyAlignment="1" applyFont="1" applyNumberFormat="1">
      <alignment horizontal="center" readingOrder="0" vertical="center"/>
    </xf>
    <xf borderId="0" fillId="15" fontId="98" numFmtId="0" xfId="0" applyAlignment="1" applyFont="1">
      <alignment horizontal="center" readingOrder="0"/>
    </xf>
    <xf borderId="0" fillId="0" fontId="34" numFmtId="0" xfId="0" applyAlignment="1" applyFont="1">
      <alignment horizontal="center" readingOrder="0"/>
    </xf>
    <xf borderId="0" fillId="0" fontId="99" numFmtId="0" xfId="0" applyAlignment="1" applyFont="1">
      <alignment readingOrder="0" shrinkToFit="0" wrapText="0"/>
    </xf>
    <xf borderId="0" fillId="0" fontId="100" numFmtId="49" xfId="0" applyAlignment="1" applyFont="1" applyNumberFormat="1">
      <alignment horizontal="center" readingOrder="0"/>
    </xf>
    <xf borderId="0" fillId="0" fontId="1" numFmtId="49" xfId="0" applyAlignment="1" applyFont="1" applyNumberFormat="1">
      <alignment horizontal="center" readingOrder="0"/>
    </xf>
    <xf borderId="0" fillId="0" fontId="101" numFmtId="164" xfId="0" applyAlignment="1" applyFont="1" applyNumberFormat="1">
      <alignment horizontal="center" readingOrder="0"/>
    </xf>
    <xf borderId="0" fillId="0" fontId="1" numFmtId="164" xfId="0" applyAlignment="1" applyFont="1" applyNumberFormat="1">
      <alignment horizontal="center" readingOrder="0"/>
    </xf>
    <xf borderId="0" fillId="0" fontId="1" numFmtId="0" xfId="0" applyAlignment="1" applyFont="1">
      <alignment horizontal="center" readingOrder="0"/>
    </xf>
    <xf borderId="0" fillId="0" fontId="1" numFmtId="0" xfId="0" applyFont="1"/>
    <xf borderId="0" fillId="0" fontId="1" numFmtId="0" xfId="0" applyAlignment="1" applyFont="1">
      <alignment readingOrder="0"/>
    </xf>
    <xf borderId="88" fillId="5" fontId="34" numFmtId="0" xfId="0" applyAlignment="1" applyBorder="1" applyFont="1">
      <alignment horizontal="center" readingOrder="0"/>
    </xf>
    <xf borderId="0" fillId="0" fontId="102" numFmtId="0" xfId="0" applyAlignment="1" applyFont="1">
      <alignment readingOrder="0" shrinkToFit="0" wrapText="0"/>
    </xf>
    <xf borderId="88" fillId="25" fontId="103" numFmtId="0" xfId="0" applyAlignment="1" applyBorder="1" applyFont="1">
      <alignment horizontal="center" readingOrder="0"/>
    </xf>
    <xf borderId="0" fillId="6" fontId="64" numFmtId="0" xfId="0" applyAlignment="1" applyFont="1">
      <alignment horizontal="left" readingOrder="0"/>
    </xf>
    <xf borderId="0" fillId="6" fontId="104" numFmtId="0" xfId="0" applyAlignment="1" applyFont="1">
      <alignment readingOrder="0" shrinkToFit="0" wrapText="0"/>
    </xf>
    <xf borderId="0" fillId="0" fontId="1" numFmtId="14" xfId="0" applyAlignment="1" applyFont="1" applyNumberFormat="1">
      <alignment horizontal="center" readingOrder="0"/>
    </xf>
    <xf borderId="86" fillId="15" fontId="98" numFmtId="0" xfId="0" applyAlignment="1" applyBorder="1" applyFont="1">
      <alignment horizontal="center" readingOrder="0"/>
    </xf>
    <xf borderId="31" fillId="0" fontId="105" numFmtId="0" xfId="0" applyAlignment="1" applyBorder="1" applyFont="1">
      <alignment readingOrder="0" shrinkToFit="0" wrapText="0"/>
    </xf>
    <xf borderId="31" fillId="0" fontId="1" numFmtId="0" xfId="0" applyAlignment="1" applyBorder="1" applyFont="1">
      <alignment horizontal="center" readingOrder="0"/>
    </xf>
    <xf borderId="31" fillId="0" fontId="1" numFmtId="14" xfId="0" applyAlignment="1" applyBorder="1" applyFont="1" applyNumberFormat="1">
      <alignment horizontal="center" readingOrder="0"/>
    </xf>
    <xf borderId="31" fillId="0" fontId="1" numFmtId="0" xfId="0" applyBorder="1" applyFont="1"/>
    <xf borderId="0" fillId="15" fontId="98" numFmtId="0" xfId="0" applyAlignment="1" applyFont="1">
      <alignment horizontal="center"/>
    </xf>
    <xf borderId="49" fillId="0" fontId="106" numFmtId="0" xfId="0" applyAlignment="1" applyBorder="1" applyFont="1">
      <alignment horizontal="center" readingOrder="0"/>
    </xf>
    <xf borderId="0" fillId="6" fontId="1" numFmtId="0" xfId="0" applyAlignment="1" applyFont="1">
      <alignment horizontal="center"/>
    </xf>
    <xf borderId="87" fillId="15" fontId="72" numFmtId="0" xfId="0" applyAlignment="1" applyBorder="1" applyFont="1">
      <alignment horizontal="center" readingOrder="0" vertical="center"/>
    </xf>
    <xf borderId="87" fillId="15" fontId="98" numFmtId="0" xfId="0" applyAlignment="1" applyBorder="1" applyFont="1">
      <alignment horizontal="center" readingOrder="0"/>
    </xf>
    <xf borderId="71" fillId="0" fontId="34" numFmtId="0" xfId="0" applyAlignment="1" applyBorder="1" applyFont="1">
      <alignment horizontal="center" readingOrder="0"/>
    </xf>
    <xf borderId="71" fillId="0" fontId="107" numFmtId="0" xfId="0" applyAlignment="1" applyBorder="1" applyFont="1">
      <alignment readingOrder="0" shrinkToFit="0" wrapText="0"/>
    </xf>
    <xf borderId="71" fillId="0" fontId="1" numFmtId="164" xfId="0" applyAlignment="1" applyBorder="1" applyFont="1" applyNumberFormat="1">
      <alignment horizontal="center" readingOrder="0"/>
    </xf>
    <xf borderId="71" fillId="0" fontId="1" numFmtId="164" xfId="0" applyAlignment="1" applyBorder="1" applyFont="1" applyNumberFormat="1">
      <alignment horizontal="center"/>
    </xf>
    <xf borderId="71" fillId="6" fontId="1" numFmtId="0" xfId="0" applyAlignment="1" applyBorder="1" applyFont="1">
      <alignment horizontal="center" readingOrder="0"/>
    </xf>
    <xf borderId="71" fillId="0" fontId="1" numFmtId="0" xfId="0" applyAlignment="1" applyBorder="1" applyFont="1">
      <alignment readingOrder="0"/>
    </xf>
    <xf borderId="0" fillId="0" fontId="108" numFmtId="0" xfId="0" applyAlignment="1" applyFont="1">
      <alignment readingOrder="0" shrinkToFit="0" wrapText="0"/>
    </xf>
    <xf borderId="0" fillId="0" fontId="1" numFmtId="164" xfId="0" applyAlignment="1" applyFont="1" applyNumberFormat="1">
      <alignment horizontal="center"/>
    </xf>
    <xf borderId="0" fillId="6" fontId="1" numFmtId="0" xfId="0" applyAlignment="1" applyFont="1">
      <alignment horizontal="center" readingOrder="0"/>
    </xf>
    <xf borderId="0" fillId="0" fontId="109" numFmtId="0" xfId="0" applyFont="1"/>
    <xf borderId="0" fillId="0" fontId="110" numFmtId="0" xfId="0" applyAlignment="1" applyFont="1">
      <alignment readingOrder="0" shrinkToFit="0" wrapText="0"/>
    </xf>
    <xf borderId="0" fillId="0" fontId="111" numFmtId="0" xfId="0" applyAlignment="1" applyFont="1">
      <alignment readingOrder="0" shrinkToFit="0" wrapText="0"/>
    </xf>
    <xf borderId="0" fillId="0" fontId="112" numFmtId="0" xfId="0" applyAlignment="1" applyFont="1">
      <alignment readingOrder="0"/>
    </xf>
    <xf borderId="0" fillId="0" fontId="113" numFmtId="0" xfId="0" applyAlignment="1" applyFont="1">
      <alignment readingOrder="0"/>
    </xf>
    <xf borderId="31" fillId="0" fontId="41" numFmtId="0" xfId="0" applyAlignment="1" applyBorder="1" applyFont="1">
      <alignment horizontal="center" readingOrder="0"/>
    </xf>
    <xf borderId="31" fillId="0" fontId="3" numFmtId="164" xfId="0" applyAlignment="1" applyBorder="1" applyFont="1" applyNumberFormat="1">
      <alignment horizontal="center" readingOrder="0"/>
    </xf>
    <xf borderId="31" fillId="0" fontId="3" numFmtId="164" xfId="0" applyAlignment="1" applyBorder="1" applyFont="1" applyNumberFormat="1">
      <alignment horizontal="center"/>
    </xf>
    <xf borderId="0" fillId="0" fontId="41" numFmtId="0" xfId="0" applyAlignment="1" applyFont="1">
      <alignment horizontal="center" readingOrder="0"/>
    </xf>
    <xf borderId="0" fillId="0" fontId="3" numFmtId="164" xfId="0" applyAlignment="1" applyFont="1" applyNumberFormat="1">
      <alignment horizontal="center" readingOrder="0"/>
    </xf>
    <xf borderId="0" fillId="0" fontId="3" numFmtId="164" xfId="0" applyAlignment="1" applyFont="1" applyNumberFormat="1">
      <alignment horizontal="center"/>
    </xf>
    <xf borderId="87" fillId="15" fontId="85" numFmtId="0" xfId="0" applyAlignment="1" applyBorder="1" applyFont="1">
      <alignment horizontal="center" readingOrder="0"/>
    </xf>
    <xf borderId="71" fillId="0" fontId="41" numFmtId="0" xfId="0" applyAlignment="1" applyBorder="1" applyFont="1">
      <alignment horizontal="center" readingOrder="0"/>
    </xf>
    <xf borderId="71" fillId="0" fontId="114" numFmtId="0" xfId="0" applyAlignment="1" applyBorder="1" applyFont="1">
      <alignment readingOrder="0"/>
    </xf>
    <xf borderId="71" fillId="0" fontId="3" numFmtId="164" xfId="0" applyAlignment="1" applyBorder="1" applyFont="1" applyNumberFormat="1">
      <alignment horizontal="center" readingOrder="0"/>
    </xf>
    <xf borderId="71" fillId="0" fontId="3" numFmtId="164" xfId="0" applyAlignment="1" applyBorder="1" applyFont="1" applyNumberFormat="1">
      <alignment horizontal="center"/>
    </xf>
    <xf borderId="71" fillId="6" fontId="3" numFmtId="0" xfId="0" applyAlignment="1" applyBorder="1" applyFont="1">
      <alignment horizontal="center" readingOrder="0"/>
    </xf>
    <xf borderId="0" fillId="15" fontId="54" numFmtId="0" xfId="0" applyAlignment="1" applyFont="1">
      <alignment horizontal="center" readingOrder="0"/>
    </xf>
    <xf borderId="31" fillId="0" fontId="115" numFmtId="0" xfId="0" applyAlignment="1" applyBorder="1" applyFont="1">
      <alignment readingOrder="0"/>
    </xf>
    <xf borderId="31" fillId="0" fontId="3" numFmtId="165" xfId="0" applyAlignment="1" applyBorder="1" applyFont="1" applyNumberFormat="1">
      <alignment horizontal="center" readingOrder="0"/>
    </xf>
    <xf borderId="31" fillId="0" fontId="3" numFmtId="0" xfId="0" applyAlignment="1" applyBorder="1" applyFont="1">
      <alignment readingOrder="0"/>
    </xf>
    <xf borderId="87" fillId="15" fontId="72" numFmtId="0" xfId="0" applyAlignment="1" applyBorder="1" applyFont="1">
      <alignment horizontal="center" readingOrder="0" shrinkToFit="0" vertical="center" wrapText="1"/>
    </xf>
    <xf borderId="71" fillId="0" fontId="116" numFmtId="0" xfId="0" applyAlignment="1" applyBorder="1" applyFont="1">
      <alignment horizontal="center" readingOrder="0"/>
    </xf>
    <xf borderId="0" fillId="6" fontId="117" numFmtId="0" xfId="0" applyAlignment="1" applyFont="1">
      <alignment horizontal="left"/>
    </xf>
    <xf borderId="0" fillId="32" fontId="3" numFmtId="0" xfId="0" applyAlignment="1" applyFill="1" applyFont="1">
      <alignment horizontal="center" readingOrder="0"/>
    </xf>
    <xf borderId="0" fillId="0" fontId="3" numFmtId="0" xfId="0" applyAlignment="1" applyFont="1">
      <alignment horizontal="left" readingOrder="0"/>
    </xf>
    <xf borderId="86" fillId="15" fontId="72" numFmtId="0" xfId="0" applyAlignment="1" applyBorder="1" applyFont="1">
      <alignment horizontal="center" readingOrder="0" shrinkToFit="0" vertical="center" wrapText="1"/>
    </xf>
    <xf borderId="87" fillId="0" fontId="41" numFmtId="0" xfId="0" applyAlignment="1" applyBorder="1" applyFont="1">
      <alignment horizontal="center" readingOrder="0"/>
    </xf>
    <xf borderId="71" fillId="0" fontId="118" numFmtId="0" xfId="0" applyAlignment="1" applyBorder="1" applyFont="1">
      <alignment readingOrder="0"/>
    </xf>
    <xf borderId="0" fillId="6" fontId="0" numFmtId="164" xfId="0" applyAlignment="1" applyFont="1" applyNumberFormat="1">
      <alignment horizontal="center" readingOrder="0"/>
    </xf>
    <xf borderId="51" fillId="0" fontId="119" numFmtId="0" xfId="0" applyAlignment="1" applyBorder="1" applyFont="1">
      <alignment readingOrder="0"/>
    </xf>
    <xf borderId="45" fillId="0" fontId="3" numFmtId="0" xfId="0" applyBorder="1" applyFont="1"/>
    <xf borderId="53" fillId="0" fontId="120" numFmtId="0" xfId="0" applyAlignment="1" applyBorder="1" applyFont="1">
      <alignment readingOrder="0"/>
    </xf>
    <xf borderId="30" fillId="0" fontId="121" numFmtId="0" xfId="0" applyAlignment="1" applyBorder="1" applyFont="1">
      <alignment readingOrder="0"/>
    </xf>
    <xf borderId="71" fillId="0" fontId="81" numFmtId="0" xfId="0" applyAlignment="1" applyBorder="1" applyFont="1">
      <alignment horizontal="center" readingOrder="0"/>
    </xf>
    <xf borderId="0" fillId="0" fontId="3" numFmtId="166" xfId="0" applyAlignment="1" applyFont="1" applyNumberFormat="1">
      <alignment horizontal="center" readingOrder="0"/>
    </xf>
    <xf borderId="0" fillId="13" fontId="54" numFmtId="0" xfId="0" applyAlignment="1" applyFont="1">
      <alignment horizontal="center" readingOrder="0"/>
    </xf>
    <xf borderId="87" fillId="15" fontId="54" numFmtId="0" xfId="0" applyAlignment="1" applyBorder="1" applyFont="1">
      <alignment horizontal="center" readingOrder="0"/>
    </xf>
    <xf borderId="71" fillId="15" fontId="72" numFmtId="0" xfId="0" applyAlignment="1" applyBorder="1" applyFont="1">
      <alignment horizontal="center" readingOrder="0"/>
    </xf>
    <xf borderId="0" fillId="15" fontId="122" numFmtId="0" xfId="0" applyAlignment="1" applyFont="1">
      <alignment horizontal="center" readingOrder="0"/>
    </xf>
    <xf borderId="71" fillId="15" fontId="3" numFmtId="164" xfId="0" applyAlignment="1" applyBorder="1" applyFont="1" applyNumberFormat="1">
      <alignment horizontal="center"/>
    </xf>
    <xf borderId="71" fillId="15" fontId="3" numFmtId="0" xfId="0" applyAlignment="1" applyBorder="1" applyFont="1">
      <alignment horizontal="center" readingOrder="0"/>
    </xf>
    <xf borderId="71" fillId="15" fontId="3" numFmtId="0" xfId="0" applyBorder="1" applyFont="1"/>
    <xf borderId="0" fillId="0" fontId="41" numFmtId="0" xfId="0" applyAlignment="1" applyFont="1">
      <alignment horizontal="left" readingOrder="0"/>
    </xf>
    <xf borderId="86" fillId="0" fontId="41" numFmtId="0" xfId="0" applyAlignment="1" applyBorder="1" applyFont="1">
      <alignment horizontal="center" readingOrder="0"/>
    </xf>
    <xf borderId="31" fillId="23" fontId="93" numFmtId="0" xfId="0" applyAlignment="1" applyBorder="1" applyFont="1">
      <alignment horizontal="center" readingOrder="0"/>
    </xf>
    <xf borderId="0" fillId="23" fontId="93" numFmtId="0" xfId="0" applyAlignment="1" applyFont="1">
      <alignment horizontal="center" readingOrder="0"/>
    </xf>
    <xf borderId="31" fillId="0" fontId="123" numFmtId="0" xfId="0" applyAlignment="1" applyBorder="1" applyFont="1">
      <alignment readingOrder="0"/>
    </xf>
    <xf borderId="71" fillId="23" fontId="93" numFmtId="0" xfId="0" applyAlignment="1" applyBorder="1" applyFont="1">
      <alignment horizontal="center" readingOrder="0"/>
    </xf>
    <xf borderId="0" fillId="6" fontId="41" numFmtId="0" xfId="0" applyAlignment="1" applyFont="1">
      <alignment horizontal="center" readingOrder="0" shrinkToFit="0" vertical="center" wrapText="0"/>
    </xf>
    <xf borderId="0" fillId="6" fontId="41" numFmtId="164" xfId="0" applyAlignment="1" applyFont="1" applyNumberFormat="1">
      <alignment horizontal="center" readingOrder="0" vertical="center"/>
    </xf>
    <xf borderId="0" fillId="6" fontId="3" numFmtId="164" xfId="0" applyAlignment="1" applyFont="1" applyNumberFormat="1">
      <alignment horizontal="center" readingOrder="0" vertical="center"/>
    </xf>
    <xf borderId="87" fillId="15" fontId="54" numFmtId="0" xfId="0" applyAlignment="1" applyBorder="1" applyFont="1">
      <alignment horizontal="center" readingOrder="0" vertical="center"/>
    </xf>
    <xf borderId="0" fillId="0" fontId="124" numFmtId="0" xfId="0" applyAlignment="1" applyFont="1">
      <alignment horizontal="left" readingOrder="0" shrinkToFit="0" wrapText="0"/>
    </xf>
    <xf borderId="0" fillId="0" fontId="3" numFmtId="167" xfId="0" applyAlignment="1" applyFont="1" applyNumberFormat="1">
      <alignment horizontal="center" readingOrder="0"/>
    </xf>
    <xf borderId="0" fillId="0" fontId="125" numFmtId="0" xfId="0" applyAlignment="1" applyFont="1">
      <alignment horizontal="left" readingOrder="0" shrinkToFit="0" wrapText="0"/>
    </xf>
    <xf borderId="0" fillId="0" fontId="126" numFmtId="0" xfId="0" applyAlignment="1" applyFont="1">
      <alignment horizontal="left" readingOrder="0"/>
    </xf>
    <xf borderId="0" fillId="15" fontId="85" numFmtId="0" xfId="0" applyAlignment="1" applyFont="1">
      <alignment horizontal="center"/>
    </xf>
    <xf borderId="0" fillId="0" fontId="56" numFmtId="0" xfId="0" applyAlignment="1" applyFont="1">
      <alignment horizontal="center" readingOrder="0"/>
    </xf>
    <xf borderId="0" fillId="0" fontId="127" numFmtId="0" xfId="0" applyAlignment="1" applyFont="1">
      <alignment horizontal="left" readingOrder="0"/>
    </xf>
    <xf borderId="89" fillId="15" fontId="57" numFmtId="0" xfId="0" applyAlignment="1" applyBorder="1" applyFont="1">
      <alignment horizontal="center" readingOrder="0" vertical="center"/>
    </xf>
    <xf borderId="89" fillId="15" fontId="85" numFmtId="0" xfId="0" applyAlignment="1" applyBorder="1" applyFont="1">
      <alignment horizontal="center" readingOrder="0"/>
    </xf>
    <xf borderId="71" fillId="0" fontId="106" numFmtId="0" xfId="0" applyAlignment="1" applyBorder="1" applyFont="1">
      <alignment horizontal="center" readingOrder="0"/>
    </xf>
    <xf borderId="71" fillId="0" fontId="128" numFmtId="0" xfId="0" applyAlignment="1" applyBorder="1" applyFont="1">
      <alignment horizontal="left" readingOrder="0"/>
    </xf>
    <xf borderId="71" fillId="0" fontId="3" numFmtId="167" xfId="0" applyAlignment="1" applyBorder="1" applyFont="1" applyNumberFormat="1">
      <alignment horizontal="center"/>
    </xf>
    <xf borderId="0" fillId="0" fontId="129" numFmtId="0" xfId="0" applyAlignment="1" applyFont="1">
      <alignment horizontal="left" readingOrder="0"/>
    </xf>
    <xf borderId="0" fillId="0" fontId="3" numFmtId="167" xfId="0" applyAlignment="1" applyFont="1" applyNumberFormat="1">
      <alignment horizontal="center"/>
    </xf>
    <xf borderId="86" fillId="15" fontId="85" numFmtId="0" xfId="0" applyAlignment="1" applyBorder="1" applyFont="1">
      <alignment horizontal="center"/>
    </xf>
    <xf borderId="31" fillId="0" fontId="130" numFmtId="0" xfId="0" applyAlignment="1" applyBorder="1" applyFont="1">
      <alignment horizontal="left" readingOrder="0"/>
    </xf>
    <xf borderId="31" fillId="0" fontId="3" numFmtId="167" xfId="0" applyAlignment="1" applyBorder="1" applyFont="1" applyNumberFormat="1">
      <alignment horizontal="center"/>
    </xf>
    <xf borderId="0" fillId="0" fontId="131" numFmtId="0" xfId="0" applyAlignment="1" applyFont="1">
      <alignment horizontal="left" readingOrder="0"/>
    </xf>
    <xf borderId="86" fillId="0" fontId="56" numFmtId="0" xfId="0" applyAlignment="1" applyBorder="1" applyFont="1">
      <alignment horizontal="center" readingOrder="0"/>
    </xf>
    <xf borderId="0" fillId="0" fontId="116" numFmtId="0" xfId="0" applyAlignment="1" applyFont="1">
      <alignment horizontal="center" readingOrder="0"/>
    </xf>
    <xf borderId="71" fillId="0" fontId="132" numFmtId="0" xfId="0" applyAlignment="1" applyBorder="1" applyFont="1">
      <alignment horizontal="left" readingOrder="0"/>
    </xf>
    <xf borderId="71" fillId="0" fontId="3" numFmtId="167" xfId="0" applyAlignment="1" applyBorder="1" applyFont="1" applyNumberFormat="1">
      <alignment horizontal="center" readingOrder="0"/>
    </xf>
    <xf borderId="31" fillId="0" fontId="133" numFmtId="0" xfId="0" applyAlignment="1" applyBorder="1" applyFont="1">
      <alignment horizontal="left"/>
    </xf>
    <xf borderId="31" fillId="0" fontId="3" numFmtId="167" xfId="0" applyAlignment="1" applyBorder="1" applyFont="1" applyNumberFormat="1">
      <alignment horizontal="center" readingOrder="0"/>
    </xf>
    <xf borderId="0" fillId="0" fontId="134" numFmtId="0" xfId="0" applyAlignment="1" applyFont="1">
      <alignment horizontal="left" readingOrder="0"/>
    </xf>
    <xf borderId="31" fillId="0" fontId="135" numFmtId="0" xfId="0" applyAlignment="1" applyBorder="1" applyFont="1">
      <alignment horizontal="left"/>
    </xf>
    <xf borderId="71" fillId="0" fontId="60" numFmtId="167" xfId="0" applyAlignment="1" applyBorder="1" applyFont="1" applyNumberFormat="1">
      <alignment horizontal="center" readingOrder="0" vertical="bottom"/>
    </xf>
    <xf borderId="0" fillId="0" fontId="81" numFmtId="0" xfId="0" applyAlignment="1" applyFont="1">
      <alignment horizontal="center" readingOrder="0"/>
    </xf>
    <xf borderId="0" fillId="0" fontId="60" numFmtId="167" xfId="0" applyAlignment="1" applyFont="1" applyNumberFormat="1">
      <alignment horizontal="center" readingOrder="0" vertical="bottom"/>
    </xf>
    <xf borderId="31" fillId="0" fontId="56" numFmtId="0" xfId="0" applyAlignment="1" applyBorder="1" applyFont="1">
      <alignment horizontal="center" readingOrder="0"/>
    </xf>
    <xf borderId="31" fillId="0" fontId="136" numFmtId="0" xfId="0" applyAlignment="1" applyBorder="1" applyFont="1">
      <alignment horizontal="left" readingOrder="0"/>
    </xf>
    <xf borderId="89" fillId="15" fontId="54" numFmtId="0" xfId="0" applyAlignment="1" applyBorder="1" applyFont="1">
      <alignment horizontal="center" readingOrder="0" shrinkToFit="0" vertical="center" wrapText="1"/>
    </xf>
    <xf borderId="90" fillId="15" fontId="85" numFmtId="0" xfId="0" applyAlignment="1" applyBorder="1" applyFont="1">
      <alignment horizontal="center" readingOrder="0"/>
    </xf>
    <xf borderId="48" fillId="0" fontId="137" numFmtId="0" xfId="0" applyAlignment="1" applyBorder="1" applyFont="1">
      <alignment horizontal="center" readingOrder="0"/>
    </xf>
    <xf borderId="86" fillId="15" fontId="3" numFmtId="0" xfId="0" applyBorder="1" applyFont="1"/>
    <xf borderId="0" fillId="15" fontId="57" numFmtId="0" xfId="0" applyAlignment="1" applyFont="1">
      <alignment horizontal="center" readingOrder="0"/>
    </xf>
    <xf borderId="31" fillId="15" fontId="54" numFmtId="0" xfId="0" applyAlignment="1" applyBorder="1" applyFont="1">
      <alignment horizontal="center" readingOrder="0"/>
    </xf>
    <xf borderId="31" fillId="15" fontId="54" numFmtId="0" xfId="0" applyAlignment="1" applyBorder="1" applyFont="1">
      <alignment horizontal="left" readingOrder="0"/>
    </xf>
    <xf borderId="86" fillId="15" fontId="54" numFmtId="0" xfId="0" applyAlignment="1" applyBorder="1" applyFont="1">
      <alignment horizontal="center" readingOrder="0" shrinkToFit="0" vertical="center" wrapText="1"/>
    </xf>
    <xf borderId="31" fillId="7" fontId="57" numFmtId="0" xfId="0" applyAlignment="1" applyBorder="1" applyFont="1">
      <alignment horizontal="center" readingOrder="0"/>
    </xf>
    <xf borderId="31" fillId="0" fontId="3" numFmtId="0" xfId="0" applyAlignment="1" applyBorder="1" applyFont="1">
      <alignment horizontal="left" readingOrder="0"/>
    </xf>
    <xf borderId="0" fillId="0" fontId="3" numFmtId="0" xfId="0" applyAlignment="1" applyFont="1">
      <alignment horizontal="left"/>
    </xf>
    <xf borderId="0" fillId="0" fontId="3" numFmtId="164" xfId="0" applyAlignment="1" applyFont="1" applyNumberFormat="1">
      <alignment horizontal="left" readingOrder="0"/>
    </xf>
    <xf borderId="86" fillId="15" fontId="57" numFmtId="0" xfId="0" applyAlignment="1" applyBorder="1" applyFont="1">
      <alignment horizontal="center" readingOrder="0" vertical="center"/>
    </xf>
    <xf borderId="49" fillId="0" fontId="3" numFmtId="0" xfId="0" applyAlignment="1" applyBorder="1" applyFont="1">
      <alignment readingOrder="0"/>
    </xf>
    <xf borderId="49" fillId="0" fontId="3" numFmtId="164" xfId="0" applyAlignment="1" applyBorder="1" applyFont="1" applyNumberFormat="1">
      <alignment horizontal="left" readingOrder="0"/>
    </xf>
    <xf borderId="49" fillId="0" fontId="3" numFmtId="0" xfId="0" applyAlignment="1" applyBorder="1" applyFont="1">
      <alignment horizontal="center" readingOrder="0"/>
    </xf>
    <xf borderId="0" fillId="19" fontId="3" numFmtId="0" xfId="0" applyAlignment="1" applyFont="1">
      <alignment horizontal="center" readingOrder="0"/>
    </xf>
    <xf borderId="71" fillId="0" fontId="3" numFmtId="0" xfId="0" applyAlignment="1" applyBorder="1" applyFont="1">
      <alignment readingOrder="0"/>
    </xf>
    <xf borderId="71" fillId="0" fontId="3" numFmtId="165" xfId="0" applyAlignment="1" applyBorder="1" applyFont="1" applyNumberFormat="1">
      <alignment readingOrder="0"/>
    </xf>
    <xf borderId="71" fillId="0" fontId="3" numFmtId="164" xfId="0" applyAlignment="1" applyBorder="1" applyFont="1" applyNumberFormat="1">
      <alignment horizontal="left" readingOrder="0"/>
    </xf>
    <xf borderId="71" fillId="6" fontId="64" numFmtId="0" xfId="0" applyAlignment="1" applyBorder="1" applyFont="1">
      <alignment readingOrder="0"/>
    </xf>
    <xf borderId="31" fillId="0" fontId="138" numFmtId="0" xfId="0" applyBorder="1" applyFont="1"/>
    <xf borderId="31" fillId="0" fontId="3" numFmtId="164" xfId="0" applyAlignment="1" applyBorder="1" applyFont="1" applyNumberFormat="1">
      <alignment horizontal="left" readingOrder="0"/>
    </xf>
    <xf borderId="31" fillId="6" fontId="64" numFmtId="0" xfId="0" applyAlignment="1" applyBorder="1" applyFont="1">
      <alignment readingOrder="0"/>
    </xf>
    <xf borderId="0" fillId="0" fontId="139" numFmtId="0" xfId="0" applyFont="1"/>
    <xf borderId="0" fillId="6" fontId="64" numFmtId="0" xfId="0" applyAlignment="1" applyFont="1">
      <alignment readingOrder="0"/>
    </xf>
    <xf borderId="71" fillId="0" fontId="140" numFmtId="0" xfId="0" applyBorder="1" applyFont="1"/>
    <xf borderId="0" fillId="0" fontId="97" numFmtId="0" xfId="0" applyAlignment="1" applyFont="1">
      <alignment readingOrder="0"/>
    </xf>
    <xf borderId="91" fillId="15" fontId="54" numFmtId="0" xfId="0" applyAlignment="1" applyBorder="1" applyFont="1">
      <alignment horizontal="center" readingOrder="0" shrinkToFit="0" vertical="center" wrapText="1"/>
    </xf>
    <xf borderId="71" fillId="19" fontId="3" numFmtId="0" xfId="0" applyAlignment="1" applyBorder="1" applyFont="1">
      <alignment horizontal="center" readingOrder="0"/>
    </xf>
    <xf borderId="45" fillId="0" fontId="3" numFmtId="0" xfId="0" applyAlignment="1" applyBorder="1" applyFont="1">
      <alignment readingOrder="0"/>
    </xf>
    <xf borderId="92" fillId="0" fontId="3" numFmtId="0" xfId="0" applyBorder="1" applyFont="1"/>
    <xf borderId="33" fillId="0" fontId="3" numFmtId="0" xfId="0" applyAlignment="1" applyBorder="1" applyFont="1">
      <alignment readingOrder="0"/>
    </xf>
    <xf borderId="0" fillId="0" fontId="141" numFmtId="0" xfId="0" applyAlignment="1" applyFont="1">
      <alignment readingOrder="0"/>
    </xf>
    <xf borderId="77" fillId="15" fontId="85" numFmtId="0" xfId="0" applyAlignment="1" applyBorder="1" applyFont="1">
      <alignment horizontal="center" readingOrder="0"/>
    </xf>
    <xf borderId="22" fillId="0" fontId="3" numFmtId="0" xfId="0" applyAlignment="1" applyBorder="1" applyFont="1">
      <alignment readingOrder="0"/>
    </xf>
    <xf borderId="93" fillId="0" fontId="3" numFmtId="0" xfId="0" applyBorder="1" applyFont="1"/>
    <xf borderId="53" fillId="6" fontId="56" numFmtId="0" xfId="0" applyAlignment="1" applyBorder="1" applyFont="1">
      <alignment horizontal="center" readingOrder="0"/>
    </xf>
    <xf borderId="53" fillId="6" fontId="60" numFmtId="0" xfId="0" applyAlignment="1" applyBorder="1" applyFont="1">
      <alignment horizontal="center" readingOrder="0"/>
    </xf>
    <xf borderId="33" fillId="6" fontId="60" numFmtId="0" xfId="0" applyAlignment="1" applyBorder="1" applyFont="1">
      <alignment horizontal="center" readingOrder="0"/>
    </xf>
    <xf borderId="0" fillId="15" fontId="57" numFmtId="0" xfId="0" applyAlignment="1" applyFont="1">
      <alignment horizontal="center" readingOrder="0" vertical="bottom"/>
    </xf>
    <xf borderId="53" fillId="15" fontId="60" numFmtId="164" xfId="0" applyAlignment="1" applyBorder="1" applyFont="1" applyNumberFormat="1">
      <alignment horizontal="center" readingOrder="0" vertical="bottom"/>
    </xf>
    <xf borderId="0" fillId="15" fontId="60" numFmtId="0" xfId="0" applyFont="1"/>
    <xf borderId="88" fillId="4" fontId="54" numFmtId="0" xfId="0" applyAlignment="1" applyBorder="1" applyFont="1">
      <alignment horizontal="center" readingOrder="0"/>
    </xf>
    <xf borderId="53" fillId="0" fontId="60" numFmtId="164" xfId="0" applyAlignment="1" applyBorder="1" applyFont="1" applyNumberFormat="1">
      <alignment horizontal="left" readingOrder="0" vertical="bottom"/>
    </xf>
    <xf borderId="0" fillId="0" fontId="60" numFmtId="164" xfId="0" applyAlignment="1" applyFont="1" applyNumberFormat="1">
      <alignment horizontal="left" readingOrder="0" vertical="bottom"/>
    </xf>
    <xf borderId="73" fillId="0" fontId="56" numFmtId="0" xfId="0" applyAlignment="1" applyBorder="1" applyFont="1">
      <alignment horizontal="center" readingOrder="0" vertical="bottom"/>
    </xf>
    <xf borderId="48" fillId="0" fontId="56" numFmtId="0" xfId="0" applyAlignment="1" applyBorder="1" applyFont="1">
      <alignment horizontal="center" readingOrder="0" vertical="bottom"/>
    </xf>
    <xf borderId="0" fillId="0" fontId="56" numFmtId="0" xfId="0" applyAlignment="1" applyFont="1">
      <alignment horizontal="center" readingOrder="0" vertical="bottom"/>
    </xf>
    <xf borderId="0" fillId="0" fontId="60" numFmtId="0" xfId="0" applyFont="1"/>
    <xf borderId="31" fillId="0" fontId="57" numFmtId="0" xfId="0" applyAlignment="1" applyBorder="1" applyFont="1">
      <alignment horizontal="center" readingOrder="0" vertical="bottom"/>
    </xf>
    <xf borderId="31" fillId="0" fontId="142" numFmtId="0" xfId="0" applyAlignment="1" applyBorder="1" applyFont="1">
      <alignment readingOrder="0" vertical="bottom"/>
    </xf>
    <xf borderId="31" fillId="0" fontId="56" numFmtId="0" xfId="0" applyAlignment="1" applyBorder="1" applyFont="1">
      <alignment horizontal="center" readingOrder="0" vertical="bottom"/>
    </xf>
    <xf borderId="31" fillId="0" fontId="60" numFmtId="0" xfId="0" applyBorder="1" applyFont="1"/>
    <xf borderId="91" fillId="15" fontId="57" numFmtId="0" xfId="0" applyAlignment="1" applyBorder="1" applyFont="1">
      <alignment horizontal="center" readingOrder="0" vertical="center"/>
    </xf>
    <xf borderId="87" fillId="0" fontId="3" numFmtId="0" xfId="0" applyBorder="1" applyFont="1"/>
    <xf borderId="53" fillId="15" fontId="60" numFmtId="164" xfId="0" applyAlignment="1" applyBorder="1" applyFont="1" applyNumberFormat="1">
      <alignment horizontal="left" readingOrder="0" vertical="bottom"/>
    </xf>
    <xf borderId="50" fillId="15" fontId="56" numFmtId="0" xfId="0" applyAlignment="1" applyBorder="1" applyFont="1">
      <alignment horizontal="center" readingOrder="0"/>
    </xf>
    <xf borderId="0" fillId="0" fontId="106" numFmtId="0" xfId="0" applyAlignment="1" applyFont="1">
      <alignment horizontal="center" readingOrder="0"/>
    </xf>
    <xf borderId="73" fillId="0" fontId="56" numFmtId="0" xfId="0" applyAlignment="1" applyBorder="1" applyFont="1">
      <alignment horizontal="center" vertical="bottom"/>
    </xf>
    <xf borderId="73" fillId="0" fontId="56" numFmtId="0" xfId="0" applyAlignment="1" applyBorder="1" applyFont="1">
      <alignment horizontal="center" vertical="bottom"/>
    </xf>
    <xf borderId="48" fillId="0" fontId="56" numFmtId="0" xfId="0" applyAlignment="1" applyBorder="1" applyFont="1">
      <alignment horizontal="center" vertical="bottom"/>
    </xf>
    <xf borderId="53" fillId="2" fontId="56" numFmtId="0" xfId="0" applyAlignment="1" applyBorder="1" applyFont="1">
      <alignment horizontal="center" vertical="bottom"/>
    </xf>
    <xf borderId="73" fillId="0" fontId="60" numFmtId="0" xfId="0" applyAlignment="1" applyBorder="1" applyFont="1">
      <alignment vertical="bottom"/>
    </xf>
    <xf borderId="0" fillId="15" fontId="56" numFmtId="0" xfId="0" applyAlignment="1" applyFont="1">
      <alignment horizontal="center" readingOrder="0"/>
    </xf>
    <xf borderId="0" fillId="0" fontId="143" numFmtId="0" xfId="0" applyAlignment="1" applyFont="1">
      <alignment readingOrder="0"/>
    </xf>
    <xf borderId="33" fillId="0" fontId="60" numFmtId="164" xfId="0" applyAlignment="1" applyBorder="1" applyFont="1" applyNumberFormat="1">
      <alignment horizontal="left" readingOrder="0" vertical="bottom"/>
    </xf>
    <xf borderId="51" fillId="2" fontId="56" numFmtId="0" xfId="0" applyAlignment="1" applyBorder="1" applyFont="1">
      <alignment horizontal="center" readingOrder="0" vertical="bottom"/>
    </xf>
    <xf borderId="0" fillId="2" fontId="56" numFmtId="0" xfId="0" applyAlignment="1" applyFont="1">
      <alignment horizontal="center" readingOrder="0" vertical="bottom"/>
    </xf>
    <xf borderId="0" fillId="0" fontId="60" numFmtId="0" xfId="0" applyAlignment="1" applyFont="1">
      <alignment vertical="bottom"/>
    </xf>
    <xf borderId="0" fillId="0" fontId="60" numFmtId="0" xfId="0" applyAlignment="1" applyFont="1">
      <alignment readingOrder="0" vertical="bottom"/>
    </xf>
    <xf borderId="0" fillId="0" fontId="3" numFmtId="164" xfId="0" applyAlignment="1" applyFont="1" applyNumberFormat="1">
      <alignment horizontal="left"/>
    </xf>
    <xf borderId="0" fillId="0" fontId="60" numFmtId="0" xfId="0" applyAlignment="1" applyFont="1">
      <alignment horizontal="right" readingOrder="0" vertical="bottom"/>
    </xf>
    <xf borderId="0" fillId="0" fontId="3" numFmtId="0" xfId="0" applyAlignment="1" applyFont="1">
      <alignment horizontal="right"/>
    </xf>
    <xf borderId="0" fillId="0" fontId="3" numFmtId="0" xfId="0" applyAlignment="1" applyFont="1">
      <alignment horizontal="right" readingOrder="0"/>
    </xf>
    <xf borderId="0" fillId="0" fontId="3" numFmtId="14" xfId="0" applyAlignment="1" applyFont="1" applyNumberFormat="1">
      <alignment horizontal="left" readingOrder="0"/>
    </xf>
    <xf borderId="49" fillId="15" fontId="56" numFmtId="0" xfId="0" applyAlignment="1" applyBorder="1" applyFont="1">
      <alignment horizontal="center" readingOrder="0"/>
    </xf>
    <xf borderId="0" fillId="2" fontId="56" numFmtId="0" xfId="0" applyAlignment="1" applyFont="1">
      <alignment horizontal="center" vertical="bottom"/>
    </xf>
    <xf borderId="33" fillId="6" fontId="60" numFmtId="0" xfId="0" applyAlignment="1" applyBorder="1" applyFont="1">
      <alignment readingOrder="0" vertical="bottom"/>
    </xf>
    <xf borderId="87" fillId="15" fontId="57" numFmtId="0" xfId="0" applyAlignment="1" applyBorder="1" applyFont="1">
      <alignment horizontal="center" readingOrder="0" shrinkToFit="0" vertical="center" wrapText="1"/>
    </xf>
    <xf borderId="0" fillId="15" fontId="3" numFmtId="0" xfId="0" applyFont="1"/>
    <xf borderId="0" fillId="0" fontId="60" numFmtId="164" xfId="0" applyAlignment="1" applyFont="1" applyNumberFormat="1">
      <alignment horizontal="left" vertical="bottom"/>
    </xf>
    <xf borderId="73" fillId="6" fontId="144" numFmtId="0" xfId="0" applyAlignment="1" applyBorder="1" applyFont="1">
      <alignment horizontal="center" readingOrder="0"/>
    </xf>
    <xf borderId="71" fillId="2" fontId="56" numFmtId="0" xfId="0" applyAlignment="1" applyBorder="1" applyFont="1">
      <alignment horizontal="center" readingOrder="0" vertical="bottom"/>
    </xf>
    <xf borderId="53" fillId="2" fontId="56" numFmtId="0" xfId="0" applyAlignment="1" applyBorder="1" applyFont="1">
      <alignment horizontal="center" readingOrder="0" vertical="bottom"/>
    </xf>
    <xf borderId="33" fillId="0" fontId="60" numFmtId="164" xfId="0" applyAlignment="1" applyBorder="1" applyFont="1" applyNumberFormat="1">
      <alignment horizontal="left" vertical="bottom"/>
    </xf>
    <xf borderId="0" fillId="6" fontId="60" numFmtId="0" xfId="0" applyAlignment="1" applyFont="1">
      <alignment readingOrder="0" vertical="bottom"/>
    </xf>
    <xf borderId="0" fillId="15" fontId="41" numFmtId="0" xfId="0" applyAlignment="1" applyFont="1">
      <alignment horizontal="center" readingOrder="0"/>
    </xf>
    <xf borderId="0" fillId="15" fontId="60" numFmtId="0" xfId="0" applyAlignment="1" applyFont="1">
      <alignment readingOrder="0"/>
    </xf>
    <xf borderId="0" fillId="15" fontId="60" numFmtId="164" xfId="0" applyAlignment="1" applyFont="1" applyNumberFormat="1">
      <alignment horizontal="left" readingOrder="0" vertical="bottom"/>
    </xf>
    <xf borderId="0" fillId="15" fontId="60" numFmtId="164" xfId="0" applyAlignment="1" applyFont="1" applyNumberFormat="1">
      <alignment horizontal="left" vertical="bottom"/>
    </xf>
    <xf borderId="0" fillId="15" fontId="56" numFmtId="0" xfId="0" applyAlignment="1" applyFont="1">
      <alignment horizontal="center" readingOrder="0" vertical="bottom"/>
    </xf>
    <xf borderId="0" fillId="15" fontId="60" numFmtId="0" xfId="0" applyAlignment="1" applyFont="1">
      <alignment readingOrder="0" vertical="bottom"/>
    </xf>
    <xf borderId="0" fillId="6" fontId="145" numFmtId="0" xfId="0" applyFont="1"/>
    <xf borderId="51" fillId="0" fontId="60" numFmtId="164" xfId="0" applyAlignment="1" applyBorder="1" applyFont="1" applyNumberFormat="1">
      <alignment horizontal="left" readingOrder="0" vertical="bottom"/>
    </xf>
    <xf borderId="45" fillId="0" fontId="60" numFmtId="164" xfId="0" applyAlignment="1" applyBorder="1" applyFont="1" applyNumberFormat="1">
      <alignment horizontal="left" readingOrder="0" vertical="bottom"/>
    </xf>
    <xf borderId="50" fillId="0" fontId="56" numFmtId="0" xfId="0" applyAlignment="1" applyBorder="1" applyFont="1">
      <alignment horizontal="center" readingOrder="0" vertical="bottom"/>
    </xf>
    <xf borderId="53" fillId="0" fontId="3" numFmtId="164" xfId="0" applyAlignment="1" applyBorder="1" applyFont="1" applyNumberFormat="1">
      <alignment horizontal="left" readingOrder="0"/>
    </xf>
    <xf borderId="33" fillId="0" fontId="3" numFmtId="164" xfId="0" applyAlignment="1" applyBorder="1" applyFont="1" applyNumberFormat="1">
      <alignment horizontal="left" readingOrder="0"/>
    </xf>
    <xf borderId="0" fillId="15" fontId="57" numFmtId="0" xfId="0" applyAlignment="1" applyFont="1">
      <alignment horizontal="center" readingOrder="0" shrinkToFit="0" vertical="center" wrapText="1"/>
    </xf>
    <xf borderId="0" fillId="7" fontId="57" numFmtId="0" xfId="0" applyAlignment="1" applyFont="1">
      <alignment horizontal="center" readingOrder="0" shrinkToFit="0" vertical="bottom" wrapText="0"/>
    </xf>
    <xf borderId="0" fillId="0" fontId="60" numFmtId="0" xfId="0" applyAlignment="1" applyFont="1">
      <alignment readingOrder="0"/>
    </xf>
    <xf borderId="53" fillId="0" fontId="60" numFmtId="0" xfId="0" applyAlignment="1" applyBorder="1" applyFont="1">
      <alignment horizontal="left" readingOrder="0" vertical="bottom"/>
    </xf>
    <xf borderId="33" fillId="0" fontId="60" numFmtId="0" xfId="0" applyAlignment="1" applyBorder="1" applyFont="1">
      <alignment horizontal="left" readingOrder="0" vertical="bottom"/>
    </xf>
    <xf borderId="73" fillId="20" fontId="56" numFmtId="0" xfId="0" applyAlignment="1" applyBorder="1" applyFont="1">
      <alignment horizontal="center" readingOrder="0" vertical="bottom"/>
    </xf>
    <xf borderId="73" fillId="2" fontId="56" numFmtId="0" xfId="0" applyAlignment="1" applyBorder="1" applyFont="1">
      <alignment horizontal="center" readingOrder="0" vertical="bottom"/>
    </xf>
    <xf borderId="31" fillId="0" fontId="60" numFmtId="164" xfId="0" applyAlignment="1" applyBorder="1" applyFont="1" applyNumberFormat="1">
      <alignment horizontal="left" readingOrder="0" vertical="bottom"/>
    </xf>
    <xf borderId="31" fillId="2" fontId="56" numFmtId="0" xfId="0" applyAlignment="1" applyBorder="1" applyFont="1">
      <alignment horizontal="center" readingOrder="0" vertical="bottom"/>
    </xf>
    <xf borderId="31" fillId="6" fontId="60" numFmtId="0" xfId="0" applyAlignment="1" applyBorder="1" applyFont="1">
      <alignment readingOrder="0" vertical="bottom"/>
    </xf>
    <xf borderId="91" fillId="15" fontId="57" numFmtId="0" xfId="0" applyAlignment="1" applyBorder="1" applyFont="1">
      <alignment horizontal="center" readingOrder="0" shrinkToFit="0" vertical="center" wrapText="1"/>
    </xf>
    <xf borderId="86" fillId="15" fontId="57" numFmtId="0" xfId="0" applyAlignment="1" applyBorder="1" applyFont="1">
      <alignment horizontal="center" readingOrder="0" shrinkToFit="0" vertical="center" wrapText="1"/>
    </xf>
    <xf borderId="0" fillId="6" fontId="1" numFmtId="0" xfId="0" applyAlignment="1" applyFont="1">
      <alignment vertical="bottom"/>
    </xf>
    <xf borderId="0" fillId="15" fontId="58" numFmtId="0" xfId="0" applyAlignment="1" applyFont="1">
      <alignment horizontal="center" readingOrder="0" shrinkToFit="0" vertical="center" wrapText="1"/>
    </xf>
    <xf borderId="94" fillId="15" fontId="57" numFmtId="0" xfId="0" applyAlignment="1" applyBorder="1" applyFont="1">
      <alignment horizontal="center" readingOrder="0" shrinkToFit="0" vertical="center" wrapText="1"/>
    </xf>
    <xf borderId="94" fillId="0" fontId="3" numFmtId="0" xfId="0" applyBorder="1" applyFont="1"/>
    <xf borderId="86" fillId="7" fontId="72" numFmtId="0" xfId="0" applyAlignment="1" applyBorder="1" applyFont="1">
      <alignment horizontal="center" readingOrder="0" vertical="center"/>
    </xf>
    <xf borderId="86" fillId="0" fontId="146" numFmtId="0" xfId="0" applyAlignment="1" applyBorder="1" applyFont="1">
      <alignment readingOrder="0"/>
    </xf>
    <xf borderId="86" fillId="0" fontId="60" numFmtId="164" xfId="0" applyAlignment="1" applyBorder="1" applyFont="1" applyNumberFormat="1">
      <alignment horizontal="left" readingOrder="0" vertical="bottom"/>
    </xf>
    <xf borderId="86" fillId="0" fontId="60" numFmtId="164" xfId="0" applyAlignment="1" applyBorder="1" applyFont="1" applyNumberFormat="1">
      <alignment horizontal="left" vertical="bottom"/>
    </xf>
    <xf borderId="0" fillId="7" fontId="72" numFmtId="0" xfId="0" applyAlignment="1" applyFont="1">
      <alignment horizontal="center" readingOrder="0" vertical="center"/>
    </xf>
    <xf borderId="0" fillId="0" fontId="3" numFmtId="14" xfId="0" applyAlignment="1" applyFont="1" applyNumberFormat="1">
      <alignment readingOrder="0"/>
    </xf>
    <xf borderId="87" fillId="15" fontId="57" numFmtId="0" xfId="0" applyAlignment="1" applyBorder="1" applyFont="1">
      <alignment horizontal="center" readingOrder="0" vertical="center"/>
    </xf>
    <xf borderId="71" fillId="0" fontId="147" numFmtId="0" xfId="0" applyBorder="1" applyFont="1"/>
    <xf borderId="87" fillId="15" fontId="85" numFmtId="0" xfId="0" applyAlignment="1" applyBorder="1" applyFont="1">
      <alignment horizontal="center"/>
    </xf>
    <xf borderId="89" fillId="15" fontId="85" numFmtId="0" xfId="0" applyAlignment="1" applyBorder="1" applyFont="1">
      <alignment horizontal="center"/>
    </xf>
    <xf borderId="31" fillId="15" fontId="41" numFmtId="0" xfId="0" applyAlignment="1" applyBorder="1" applyFont="1">
      <alignment horizontal="center" readingOrder="0"/>
    </xf>
    <xf borderId="71" fillId="0" fontId="148" numFmtId="0" xfId="0" applyAlignment="1" applyBorder="1" applyFont="1">
      <alignment horizontal="left" readingOrder="0"/>
    </xf>
    <xf borderId="0" fillId="15" fontId="54" numFmtId="0" xfId="0" applyAlignment="1" applyFont="1">
      <alignment readingOrder="0" shrinkToFit="0" vertical="center" wrapText="0"/>
    </xf>
    <xf borderId="0" fillId="15" fontId="72" numFmtId="0" xfId="0" applyAlignment="1" applyFont="1">
      <alignment horizontal="center" readingOrder="0"/>
    </xf>
    <xf borderId="87" fillId="15" fontId="54" numFmtId="0" xfId="0" applyAlignment="1" applyBorder="1" applyFont="1">
      <alignment readingOrder="0" shrinkToFit="0" vertical="center" wrapText="0"/>
    </xf>
    <xf borderId="71" fillId="0" fontId="149" numFmtId="0" xfId="0" applyAlignment="1" applyBorder="1" applyFont="1">
      <alignment readingOrder="0"/>
    </xf>
    <xf borderId="31" fillId="15" fontId="85" numFmtId="0" xfId="0" applyAlignment="1" applyBorder="1" applyFont="1">
      <alignment horizontal="center" readingOrder="0"/>
    </xf>
    <xf borderId="91" fillId="15" fontId="54" numFmtId="0" xfId="0" applyAlignment="1" applyBorder="1" applyFont="1">
      <alignment readingOrder="0" shrinkToFit="0" vertical="center" wrapText="0"/>
    </xf>
    <xf borderId="94" fillId="15" fontId="54" numFmtId="0" xfId="0" applyAlignment="1" applyBorder="1" applyFont="1">
      <alignment readingOrder="0" shrinkToFit="0" vertical="center" wrapText="0"/>
    </xf>
    <xf borderId="31" fillId="0" fontId="150" numFmtId="0" xfId="0" applyAlignment="1" applyBorder="1" applyFont="1">
      <alignment readingOrder="0"/>
    </xf>
    <xf borderId="0" fillId="0" fontId="106" numFmtId="0" xfId="0" applyAlignment="1" applyFont="1">
      <alignment readingOrder="0"/>
    </xf>
    <xf borderId="71" fillId="0" fontId="148" numFmtId="0" xfId="0" applyAlignment="1" applyBorder="1" applyFont="1">
      <alignment horizontal="left" readingOrder="0" vertical="center"/>
    </xf>
    <xf borderId="0" fillId="0" fontId="3" numFmtId="0" xfId="0" applyAlignment="1" applyFont="1">
      <alignment readingOrder="0"/>
    </xf>
    <xf borderId="0" fillId="26" fontId="93" numFmtId="0" xfId="0" applyAlignment="1" applyFont="1">
      <alignment horizontal="center" readingOrder="0" vertical="center"/>
    </xf>
    <xf borderId="0" fillId="2" fontId="1" numFmtId="0" xfId="0" applyAlignment="1" applyFont="1">
      <alignment vertical="bottom"/>
    </xf>
    <xf borderId="0" fillId="15" fontId="1" numFmtId="0" xfId="0" applyAlignment="1" applyFont="1">
      <alignment vertical="bottom"/>
    </xf>
    <xf borderId="0" fillId="15" fontId="72" numFmtId="0" xfId="0" applyAlignment="1" applyFont="1">
      <alignment vertical="bottom"/>
    </xf>
    <xf borderId="33" fillId="15" fontId="72" numFmtId="0" xfId="0" applyAlignment="1" applyBorder="1" applyFont="1">
      <alignment vertical="bottom"/>
    </xf>
    <xf borderId="31" fillId="15" fontId="1" numFmtId="0" xfId="0" applyAlignment="1" applyBorder="1" applyFont="1">
      <alignment vertical="bottom"/>
    </xf>
    <xf borderId="0" fillId="15" fontId="98" numFmtId="0" xfId="0" applyAlignment="1" applyFont="1">
      <alignment horizontal="center" readingOrder="0" vertical="bottom"/>
    </xf>
    <xf borderId="73" fillId="22" fontId="34" numFmtId="0" xfId="0" applyAlignment="1" applyBorder="1" applyFont="1">
      <alignment horizontal="center" readingOrder="0" vertical="center"/>
    </xf>
    <xf borderId="74" fillId="22" fontId="34" numFmtId="0" xfId="0" applyAlignment="1" applyBorder="1" applyFont="1">
      <alignment horizontal="center" readingOrder="0" vertical="center"/>
    </xf>
    <xf borderId="0" fillId="0" fontId="3" numFmtId="0" xfId="0" applyFont="1"/>
    <xf borderId="5" fillId="15" fontId="72" numFmtId="0" xfId="0" applyAlignment="1" applyBorder="1" applyFont="1">
      <alignment horizontal="center" readingOrder="0" vertical="center"/>
    </xf>
    <xf borderId="0" fillId="5" fontId="34" numFmtId="0" xfId="0" applyFont="1"/>
    <xf borderId="33" fillId="5" fontId="34" numFmtId="0" xfId="0" applyAlignment="1" applyBorder="1" applyFont="1">
      <alignment readingOrder="0"/>
    </xf>
    <xf borderId="73" fillId="6" fontId="64" numFmtId="0" xfId="0" applyAlignment="1" applyBorder="1" applyFont="1">
      <alignment readingOrder="0" vertical="bottom"/>
    </xf>
    <xf borderId="50" fillId="6" fontId="64" numFmtId="0" xfId="0" applyAlignment="1" applyBorder="1" applyFont="1">
      <alignment readingOrder="0" vertical="bottom"/>
    </xf>
    <xf borderId="76" fillId="6" fontId="64" numFmtId="0" xfId="0" applyAlignment="1" applyBorder="1" applyFont="1">
      <alignment readingOrder="0" vertical="bottom"/>
    </xf>
    <xf borderId="0" fillId="5" fontId="1" numFmtId="0" xfId="0" applyAlignment="1" applyFont="1">
      <alignment readingOrder="0"/>
    </xf>
    <xf borderId="33" fillId="5" fontId="1" numFmtId="0" xfId="0" applyAlignment="1" applyBorder="1" applyFont="1">
      <alignment readingOrder="0"/>
    </xf>
    <xf borderId="22" fillId="6" fontId="64" numFmtId="0" xfId="0" applyAlignment="1" applyBorder="1" applyFont="1">
      <alignment readingOrder="0" vertical="bottom"/>
    </xf>
    <xf borderId="0" fillId="5" fontId="64" numFmtId="0" xfId="0" applyAlignment="1" applyFont="1">
      <alignment vertical="bottom"/>
    </xf>
    <xf borderId="0" fillId="5" fontId="1" numFmtId="0" xfId="0" applyFont="1"/>
    <xf borderId="53" fillId="5" fontId="1" numFmtId="0" xfId="0" applyBorder="1" applyFont="1"/>
    <xf borderId="53" fillId="5" fontId="1" numFmtId="0" xfId="0" applyAlignment="1" applyBorder="1" applyFont="1">
      <alignment readingOrder="0"/>
    </xf>
    <xf borderId="53" fillId="11" fontId="72" numFmtId="0" xfId="0" applyBorder="1" applyFont="1"/>
    <xf borderId="33" fillId="11" fontId="72" numFmtId="0" xfId="0" applyAlignment="1" applyBorder="1" applyFont="1">
      <alignment readingOrder="0"/>
    </xf>
    <xf borderId="53" fillId="11" fontId="98" numFmtId="0" xfId="0" applyBorder="1" applyFont="1"/>
    <xf borderId="33" fillId="11" fontId="98" numFmtId="0" xfId="0" applyAlignment="1" applyBorder="1" applyFont="1">
      <alignment readingOrder="0"/>
    </xf>
    <xf borderId="53" fillId="11" fontId="98" numFmtId="0" xfId="0" applyAlignment="1" applyBorder="1" applyFont="1">
      <alignment readingOrder="0" vertical="center"/>
    </xf>
    <xf borderId="0" fillId="12" fontId="72" numFmtId="0" xfId="0" applyFont="1"/>
    <xf borderId="33" fillId="12" fontId="72" numFmtId="0" xfId="0" applyAlignment="1" applyBorder="1" applyFont="1">
      <alignment readingOrder="0"/>
    </xf>
    <xf borderId="0" fillId="12" fontId="98" numFmtId="0" xfId="0" applyFont="1"/>
    <xf borderId="33" fillId="12" fontId="98" numFmtId="0" xfId="0" applyAlignment="1" applyBorder="1" applyFont="1">
      <alignment readingOrder="0"/>
    </xf>
    <xf borderId="73" fillId="6" fontId="64" numFmtId="0" xfId="0" applyAlignment="1" applyBorder="1" applyFont="1">
      <alignment vertical="bottom"/>
    </xf>
    <xf borderId="53" fillId="13" fontId="72" numFmtId="0" xfId="0" applyBorder="1" applyFont="1"/>
    <xf borderId="33" fillId="13" fontId="72" numFmtId="0" xfId="0" applyAlignment="1" applyBorder="1" applyFont="1">
      <alignment readingOrder="0"/>
    </xf>
    <xf borderId="53" fillId="13" fontId="98" numFmtId="0" xfId="0" applyBorder="1" applyFont="1"/>
    <xf borderId="33" fillId="13" fontId="98" numFmtId="0" xfId="0" applyAlignment="1" applyBorder="1" applyFont="1">
      <alignment readingOrder="0"/>
    </xf>
    <xf borderId="95" fillId="15" fontId="72" numFmtId="0" xfId="0" applyAlignment="1" applyBorder="1" applyFont="1">
      <alignment horizontal="center" readingOrder="0" vertical="center"/>
    </xf>
    <xf borderId="62" fillId="7" fontId="72" numFmtId="0" xfId="0" applyBorder="1" applyFont="1"/>
    <xf borderId="96" fillId="7" fontId="72" numFmtId="0" xfId="0" applyAlignment="1" applyBorder="1" applyFont="1">
      <alignment readingOrder="0"/>
    </xf>
    <xf borderId="0" fillId="7" fontId="98" numFmtId="0" xfId="0" applyFont="1"/>
    <xf borderId="33" fillId="7" fontId="98" numFmtId="0" xfId="0" applyAlignment="1" applyBorder="1" applyFont="1">
      <alignment readingOrder="0"/>
    </xf>
    <xf borderId="73" fillId="6" fontId="64" numFmtId="0" xfId="0" applyAlignment="1" applyBorder="1" applyFont="1">
      <alignment vertical="bottom"/>
    </xf>
    <xf borderId="74" fillId="6" fontId="64" numFmtId="0" xfId="0" applyAlignment="1" applyBorder="1" applyFont="1">
      <alignment readingOrder="0" vertical="bottom"/>
    </xf>
    <xf borderId="53" fillId="9" fontId="72" numFmtId="0" xfId="0" applyBorder="1" applyFont="1"/>
    <xf borderId="33" fillId="9" fontId="72" numFmtId="0" xfId="0" applyAlignment="1" applyBorder="1" applyFont="1">
      <alignment readingOrder="0"/>
    </xf>
    <xf borderId="53" fillId="9" fontId="98" numFmtId="0" xfId="0" applyAlignment="1" applyBorder="1" applyFont="1">
      <alignment vertical="bottom"/>
    </xf>
    <xf borderId="33" fillId="9" fontId="98" numFmtId="0" xfId="0" applyAlignment="1" applyBorder="1" applyFont="1">
      <alignment readingOrder="0" vertical="bottom"/>
    </xf>
    <xf borderId="53" fillId="9" fontId="98" numFmtId="0" xfId="0" applyBorder="1" applyFont="1"/>
    <xf borderId="33" fillId="9" fontId="98" numFmtId="0" xfId="0" applyAlignment="1" applyBorder="1" applyFont="1">
      <alignment readingOrder="0"/>
    </xf>
    <xf borderId="73" fillId="17" fontId="64" numFmtId="0" xfId="0" applyAlignment="1" applyBorder="1" applyFont="1">
      <alignment vertical="bottom"/>
    </xf>
    <xf borderId="50" fillId="17" fontId="64" numFmtId="0" xfId="0" applyAlignment="1" applyBorder="1" applyFont="1">
      <alignment vertical="bottom"/>
    </xf>
    <xf borderId="76" fillId="19" fontId="64" numFmtId="0" xfId="0" applyAlignment="1" applyBorder="1" applyFont="1">
      <alignment vertical="bottom"/>
    </xf>
    <xf borderId="0" fillId="2" fontId="151" numFmtId="0" xfId="0" applyFont="1"/>
    <xf borderId="33" fillId="2" fontId="151" numFmtId="0" xfId="0" applyAlignment="1" applyBorder="1" applyFont="1">
      <alignment readingOrder="0"/>
    </xf>
    <xf borderId="97" fillId="0" fontId="3" numFmtId="0" xfId="0" applyBorder="1" applyFont="1"/>
    <xf borderId="64" fillId="2" fontId="152" numFmtId="0" xfId="0" applyBorder="1" applyFont="1"/>
    <xf borderId="33" fillId="2" fontId="152" numFmtId="0" xfId="0" applyAlignment="1" applyBorder="1" applyFont="1">
      <alignment readingOrder="0"/>
    </xf>
    <xf borderId="98" fillId="15" fontId="98" numFmtId="0" xfId="0" applyAlignment="1" applyBorder="1" applyFont="1">
      <alignment horizontal="center" vertical="center"/>
    </xf>
    <xf borderId="49" fillId="15" fontId="93" numFmtId="0" xfId="0" applyAlignment="1" applyBorder="1" applyFont="1">
      <alignment horizontal="center" readingOrder="0" vertical="center"/>
    </xf>
    <xf borderId="98" fillId="0" fontId="3" numFmtId="0" xfId="0" applyBorder="1" applyFont="1"/>
    <xf borderId="0" fillId="18" fontId="1" numFmtId="0" xfId="0" applyAlignment="1" applyFont="1">
      <alignment vertical="bottom"/>
    </xf>
    <xf borderId="53" fillId="18" fontId="1" numFmtId="0" xfId="0" applyAlignment="1" applyBorder="1" applyFont="1">
      <alignment horizontal="right" vertical="bottom"/>
    </xf>
    <xf borderId="0" fillId="20" fontId="1" numFmtId="0" xfId="0" applyAlignment="1" applyFont="1">
      <alignment vertical="bottom"/>
    </xf>
    <xf borderId="53" fillId="20" fontId="1" numFmtId="0" xfId="0" applyAlignment="1" applyBorder="1" applyFont="1">
      <alignment horizontal="right" vertical="bottom"/>
    </xf>
    <xf borderId="0" fillId="21" fontId="1" numFmtId="0" xfId="0" applyAlignment="1" applyFont="1">
      <alignment vertical="bottom"/>
    </xf>
    <xf borderId="53" fillId="21" fontId="1" numFmtId="0" xfId="0" applyAlignment="1" applyBorder="1" applyFont="1">
      <alignment horizontal="right" vertical="bottom"/>
    </xf>
    <xf borderId="0" fillId="6" fontId="50" numFmtId="0" xfId="0" applyAlignment="1" applyFont="1">
      <alignment vertical="bottom"/>
    </xf>
    <xf borderId="53" fillId="6" fontId="50" numFmtId="0" xfId="0" applyAlignment="1" applyBorder="1" applyFont="1">
      <alignment horizontal="right" vertical="bottom"/>
    </xf>
    <xf borderId="0" fillId="22" fontId="1" numFmtId="0" xfId="0" applyAlignment="1" applyFont="1">
      <alignment vertical="bottom"/>
    </xf>
    <xf borderId="53" fillId="22" fontId="1" numFmtId="0" xfId="0" applyAlignment="1" applyBorder="1" applyFont="1">
      <alignment horizontal="right" vertical="bottom"/>
    </xf>
    <xf borderId="0" fillId="0" fontId="1" numFmtId="0" xfId="0" applyAlignment="1" applyFont="1">
      <alignment vertical="bottom"/>
    </xf>
    <xf borderId="53" fillId="0" fontId="1" numFmtId="0" xfId="0" applyAlignment="1" applyBorder="1" applyFont="1">
      <alignment horizontal="right" vertical="bottom"/>
    </xf>
    <xf borderId="99" fillId="0" fontId="3" numFmtId="0" xfId="0" applyBorder="1" applyFont="1"/>
    <xf borderId="31" fillId="0" fontId="1" numFmtId="9" xfId="0" applyAlignment="1" applyBorder="1" applyFont="1" applyNumberFormat="1">
      <alignment vertical="bottom"/>
    </xf>
    <xf borderId="30" fillId="0" fontId="1" numFmtId="9" xfId="0" applyAlignment="1" applyBorder="1" applyFont="1" applyNumberFormat="1">
      <alignment horizontal="right" vertical="bottom"/>
    </xf>
    <xf borderId="53" fillId="2" fontId="1" numFmtId="0" xfId="0" applyAlignment="1" applyBorder="1" applyFont="1">
      <alignment vertical="bottom"/>
    </xf>
    <xf borderId="48" fillId="22" fontId="34" numFmtId="0" xfId="0" applyAlignment="1" applyBorder="1" applyFont="1">
      <alignment horizontal="center" readingOrder="0" vertical="center"/>
    </xf>
    <xf borderId="73" fillId="22" fontId="34" numFmtId="0" xfId="0" applyAlignment="1" applyBorder="1" applyFont="1">
      <alignment readingOrder="0"/>
    </xf>
    <xf borderId="57" fillId="22" fontId="34" numFmtId="0" xfId="0" applyAlignment="1" applyBorder="1" applyFont="1">
      <alignment readingOrder="0"/>
    </xf>
    <xf borderId="22" fillId="22" fontId="34" numFmtId="0" xfId="0" applyAlignment="1" applyBorder="1" applyFont="1">
      <alignment readingOrder="0"/>
    </xf>
    <xf borderId="50" fillId="17" fontId="1" numFmtId="0" xfId="0" applyAlignment="1" applyBorder="1" applyFont="1">
      <alignment readingOrder="0" vertical="bottom"/>
    </xf>
    <xf borderId="73" fillId="17" fontId="1" numFmtId="0" xfId="0" applyAlignment="1" applyBorder="1" applyFont="1">
      <alignment vertical="bottom"/>
    </xf>
    <xf borderId="74" fillId="2" fontId="1" numFmtId="0" xfId="0" applyAlignment="1" applyBorder="1" applyFont="1">
      <alignment readingOrder="0" vertical="bottom"/>
    </xf>
    <xf borderId="75" fillId="17" fontId="1" numFmtId="0" xfId="0" applyAlignment="1" applyBorder="1" applyFont="1">
      <alignment vertical="bottom"/>
    </xf>
    <xf borderId="50" fillId="17" fontId="1" numFmtId="0" xfId="0" applyAlignment="1" applyBorder="1" applyFont="1">
      <alignment vertical="bottom"/>
    </xf>
    <xf borderId="76" fillId="17" fontId="1" numFmtId="0" xfId="0" applyAlignment="1" applyBorder="1" applyFont="1">
      <alignment vertical="bottom"/>
    </xf>
    <xf borderId="22" fillId="2" fontId="1" numFmtId="0" xfId="0" applyAlignment="1" applyBorder="1" applyFont="1">
      <alignment readingOrder="0" vertical="bottom"/>
    </xf>
    <xf borderId="57" fillId="2" fontId="1" numFmtId="0" xfId="0" applyAlignment="1" applyBorder="1" applyFont="1">
      <alignment readingOrder="0" vertical="bottom"/>
    </xf>
    <xf borderId="50" fillId="19" fontId="1" numFmtId="0" xfId="0" applyAlignment="1" applyBorder="1" applyFont="1">
      <alignment readingOrder="0" vertical="bottom"/>
    </xf>
    <xf borderId="50" fillId="19" fontId="1" numFmtId="0" xfId="0" applyAlignment="1" applyBorder="1" applyFont="1">
      <alignment vertical="bottom"/>
    </xf>
    <xf borderId="73" fillId="6" fontId="1" numFmtId="0" xfId="0" applyAlignment="1" applyBorder="1" applyFont="1">
      <alignment readingOrder="0" vertical="bottom"/>
    </xf>
    <xf borderId="50" fillId="6" fontId="1" numFmtId="0" xfId="0" applyAlignment="1" applyBorder="1" applyFont="1">
      <alignment readingOrder="0" vertical="bottom"/>
    </xf>
    <xf borderId="74" fillId="6" fontId="1" numFmtId="0" xfId="0" applyAlignment="1" applyBorder="1" applyFont="1">
      <alignment readingOrder="0" vertical="bottom"/>
    </xf>
    <xf borderId="76" fillId="17" fontId="1" numFmtId="0" xfId="0" applyAlignment="1" applyBorder="1" applyFont="1">
      <alignment readingOrder="0" vertical="bottom"/>
    </xf>
    <xf borderId="53" fillId="11" fontId="98" numFmtId="0" xfId="0" applyBorder="1" applyFont="1"/>
    <xf borderId="33" fillId="11" fontId="98" numFmtId="0" xfId="0" applyAlignment="1" applyBorder="1" applyFont="1">
      <alignment readingOrder="0"/>
    </xf>
    <xf borderId="73" fillId="17" fontId="1" numFmtId="0" xfId="0" applyAlignment="1" applyBorder="1" applyFont="1">
      <alignment vertical="bottom"/>
    </xf>
    <xf borderId="75" fillId="17" fontId="1" numFmtId="0" xfId="0" applyAlignment="1" applyBorder="1" applyFont="1">
      <alignment readingOrder="0" vertical="bottom"/>
    </xf>
    <xf borderId="73" fillId="6" fontId="50" numFmtId="0" xfId="0" applyAlignment="1" applyBorder="1" applyFont="1">
      <alignment vertical="bottom"/>
    </xf>
    <xf borderId="50" fillId="6" fontId="50" numFmtId="0" xfId="0" applyAlignment="1" applyBorder="1" applyFont="1">
      <alignment vertical="bottom"/>
    </xf>
    <xf borderId="76" fillId="6" fontId="50" numFmtId="0" xfId="0" applyAlignment="1" applyBorder="1" applyFont="1">
      <alignment vertical="bottom"/>
    </xf>
    <xf borderId="73" fillId="19" fontId="1" numFmtId="0" xfId="0" applyAlignment="1" applyBorder="1" applyFont="1">
      <alignment vertical="bottom"/>
    </xf>
    <xf borderId="50" fillId="17" fontId="1" numFmtId="0" xfId="0" applyAlignment="1" applyBorder="1" applyFont="1">
      <alignment vertical="bottom"/>
    </xf>
    <xf borderId="50" fillId="19" fontId="1" numFmtId="0" xfId="0" applyAlignment="1" applyBorder="1" applyFont="1">
      <alignment vertical="bottom"/>
    </xf>
    <xf borderId="50" fillId="6" fontId="50" numFmtId="0" xfId="0" applyAlignment="1" applyBorder="1" applyFont="1">
      <alignment readingOrder="0" vertical="bottom"/>
    </xf>
    <xf borderId="71" fillId="15" fontId="93" numFmtId="0" xfId="0" applyAlignment="1" applyBorder="1" applyFont="1">
      <alignment horizontal="center" readingOrder="0" vertical="center"/>
    </xf>
    <xf borderId="33" fillId="18" fontId="1" numFmtId="0" xfId="0" applyAlignment="1" applyBorder="1" applyFont="1">
      <alignment horizontal="right" vertical="bottom"/>
    </xf>
    <xf borderId="44" fillId="18" fontId="1" numFmtId="0" xfId="0" applyAlignment="1" applyBorder="1" applyFont="1">
      <alignment horizontal="right" vertical="bottom"/>
    </xf>
    <xf borderId="43" fillId="18" fontId="1" numFmtId="0" xfId="0" applyAlignment="1" applyBorder="1" applyFont="1">
      <alignment horizontal="right" vertical="bottom"/>
    </xf>
    <xf borderId="33" fillId="20" fontId="1" numFmtId="0" xfId="0" applyAlignment="1" applyBorder="1" applyFont="1">
      <alignment horizontal="right" vertical="bottom"/>
    </xf>
    <xf borderId="44" fillId="20" fontId="1" numFmtId="0" xfId="0" applyAlignment="1" applyBorder="1" applyFont="1">
      <alignment horizontal="right" vertical="bottom"/>
    </xf>
    <xf borderId="43" fillId="20" fontId="1" numFmtId="0" xfId="0" applyAlignment="1" applyBorder="1" applyFont="1">
      <alignment horizontal="right" vertical="bottom"/>
    </xf>
    <xf borderId="33" fillId="21" fontId="1" numFmtId="0" xfId="0" applyAlignment="1" applyBorder="1" applyFont="1">
      <alignment horizontal="right" vertical="bottom"/>
    </xf>
    <xf borderId="44" fillId="21" fontId="1" numFmtId="0" xfId="0" applyAlignment="1" applyBorder="1" applyFont="1">
      <alignment horizontal="right" vertical="bottom"/>
    </xf>
    <xf borderId="43" fillId="21" fontId="1" numFmtId="0" xfId="0" applyAlignment="1" applyBorder="1" applyFont="1">
      <alignment horizontal="right" vertical="bottom"/>
    </xf>
    <xf borderId="33" fillId="6" fontId="50" numFmtId="0" xfId="0" applyAlignment="1" applyBorder="1" applyFont="1">
      <alignment horizontal="right" vertical="bottom"/>
    </xf>
    <xf borderId="44" fillId="6" fontId="50" numFmtId="0" xfId="0" applyAlignment="1" applyBorder="1" applyFont="1">
      <alignment horizontal="right" vertical="bottom"/>
    </xf>
    <xf borderId="43" fillId="6" fontId="50" numFmtId="0" xfId="0" applyAlignment="1" applyBorder="1" applyFont="1">
      <alignment horizontal="right" vertical="bottom"/>
    </xf>
    <xf borderId="33" fillId="22" fontId="1" numFmtId="0" xfId="0" applyAlignment="1" applyBorder="1" applyFont="1">
      <alignment horizontal="right" vertical="bottom"/>
    </xf>
    <xf borderId="44" fillId="22" fontId="1" numFmtId="0" xfId="0" applyAlignment="1" applyBorder="1" applyFont="1">
      <alignment horizontal="right" vertical="bottom"/>
    </xf>
    <xf borderId="43" fillId="22" fontId="1" numFmtId="0" xfId="0" applyAlignment="1" applyBorder="1" applyFont="1">
      <alignment horizontal="right" vertical="bottom"/>
    </xf>
    <xf borderId="33" fillId="0" fontId="1" numFmtId="0" xfId="0" applyAlignment="1" applyBorder="1" applyFont="1">
      <alignment horizontal="right" vertical="bottom"/>
    </xf>
    <xf borderId="44" fillId="0" fontId="1" numFmtId="0" xfId="0" applyAlignment="1" applyBorder="1" applyFont="1">
      <alignment horizontal="right" vertical="bottom"/>
    </xf>
    <xf borderId="43" fillId="0" fontId="1" numFmtId="0" xfId="0" applyAlignment="1" applyBorder="1" applyFont="1">
      <alignment horizontal="right" vertical="bottom"/>
    </xf>
    <xf borderId="0" fillId="0" fontId="1" numFmtId="9" xfId="0" applyAlignment="1" applyFont="1" applyNumberFormat="1">
      <alignment vertical="bottom"/>
    </xf>
    <xf borderId="22" fillId="0" fontId="1" numFmtId="9" xfId="0" applyAlignment="1" applyBorder="1" applyFont="1" applyNumberFormat="1">
      <alignment horizontal="right" vertical="bottom"/>
    </xf>
    <xf borderId="21" fillId="0" fontId="1" numFmtId="9" xfId="0" applyAlignment="1" applyBorder="1" applyFont="1" applyNumberFormat="1">
      <alignment horizontal="right" vertical="bottom"/>
    </xf>
    <xf borderId="22" fillId="0" fontId="1" numFmtId="9" xfId="0" applyAlignment="1" applyBorder="1" applyFont="1" applyNumberFormat="1">
      <alignment vertical="bottom"/>
    </xf>
    <xf borderId="53" fillId="15" fontId="1" numFmtId="0" xfId="0" applyAlignment="1" applyBorder="1" applyFont="1">
      <alignment vertical="bottom"/>
    </xf>
    <xf borderId="50" fillId="22" fontId="34" numFmtId="0" xfId="0" applyAlignment="1" applyBorder="1" applyFont="1">
      <alignment horizontal="center" readingOrder="0" vertical="center"/>
    </xf>
    <xf borderId="32" fillId="15" fontId="54" numFmtId="0" xfId="0" applyAlignment="1" applyBorder="1" applyFont="1">
      <alignment horizontal="center" readingOrder="0" vertical="center"/>
    </xf>
    <xf borderId="0" fillId="11" fontId="72" numFmtId="0" xfId="0" applyFont="1"/>
    <xf borderId="0" fillId="11" fontId="72" numFmtId="0" xfId="0" applyAlignment="1" applyFont="1">
      <alignment readingOrder="0"/>
    </xf>
    <xf borderId="73" fillId="17" fontId="1" numFmtId="0" xfId="0" applyAlignment="1" applyBorder="1" applyFont="1">
      <alignment readingOrder="0" vertical="bottom"/>
    </xf>
    <xf borderId="74" fillId="17" fontId="1" numFmtId="0" xfId="0" applyAlignment="1" applyBorder="1" applyFont="1">
      <alignment vertical="bottom"/>
    </xf>
    <xf borderId="50" fillId="2" fontId="1" numFmtId="0" xfId="0" applyAlignment="1" applyBorder="1" applyFont="1">
      <alignment readingOrder="0" vertical="bottom"/>
    </xf>
    <xf borderId="0" fillId="11" fontId="98" numFmtId="0" xfId="0" applyFont="1"/>
    <xf borderId="0" fillId="11" fontId="98" numFmtId="0" xfId="0" applyAlignment="1" applyFont="1">
      <alignment readingOrder="0"/>
    </xf>
    <xf borderId="75" fillId="2" fontId="50" numFmtId="0" xfId="0" applyAlignment="1" applyBorder="1" applyFont="1">
      <alignment vertical="bottom"/>
    </xf>
    <xf borderId="76" fillId="2" fontId="50" numFmtId="0" xfId="0" applyAlignment="1" applyBorder="1" applyFont="1">
      <alignment vertical="bottom"/>
    </xf>
    <xf borderId="75" fillId="6" fontId="50" numFmtId="0" xfId="0" applyAlignment="1" applyBorder="1" applyFont="1">
      <alignment vertical="bottom"/>
    </xf>
    <xf borderId="0" fillId="2" fontId="151" numFmtId="0" xfId="0" applyAlignment="1" applyFont="1">
      <alignment vertical="bottom"/>
    </xf>
    <xf borderId="0" fillId="2" fontId="151" numFmtId="0" xfId="0" applyAlignment="1" applyFont="1">
      <alignment readingOrder="0" vertical="bottom"/>
    </xf>
    <xf borderId="0" fillId="2" fontId="152" numFmtId="0" xfId="0" applyAlignment="1" applyFont="1">
      <alignment vertical="bottom"/>
    </xf>
    <xf borderId="0" fillId="2" fontId="152" numFmtId="0" xfId="0" applyAlignment="1" applyFont="1">
      <alignment readingOrder="0" vertical="bottom"/>
    </xf>
    <xf borderId="0" fillId="5" fontId="34" numFmtId="0" xfId="0" applyAlignment="1" applyFont="1">
      <alignment readingOrder="0"/>
    </xf>
    <xf borderId="74" fillId="17" fontId="1" numFmtId="0" xfId="0" applyAlignment="1" applyBorder="1" applyFont="1">
      <alignment readingOrder="0" vertical="bottom"/>
    </xf>
    <xf borderId="73" fillId="2" fontId="1" numFmtId="0" xfId="0" applyAlignment="1" applyBorder="1" applyFont="1">
      <alignment readingOrder="0" vertical="bottom"/>
    </xf>
    <xf borderId="73" fillId="6" fontId="3" numFmtId="0" xfId="0" applyAlignment="1" applyBorder="1" applyFont="1">
      <alignment readingOrder="0"/>
    </xf>
    <xf borderId="76" fillId="6" fontId="1" numFmtId="0" xfId="0" applyAlignment="1" applyBorder="1" applyFont="1">
      <alignment readingOrder="0" vertical="bottom"/>
    </xf>
    <xf borderId="50" fillId="6" fontId="1" numFmtId="0" xfId="0" applyAlignment="1" applyBorder="1" applyFont="1">
      <alignment vertical="bottom"/>
    </xf>
    <xf borderId="76" fillId="6" fontId="1" numFmtId="0" xfId="0" applyAlignment="1" applyBorder="1" applyFont="1">
      <alignment vertical="bottom"/>
    </xf>
    <xf borderId="0" fillId="5" fontId="153" numFmtId="0" xfId="0" applyFont="1"/>
    <xf borderId="0" fillId="5" fontId="153" numFmtId="0" xfId="0" applyAlignment="1" applyFont="1">
      <alignment readingOrder="0"/>
    </xf>
    <xf borderId="0" fillId="13" fontId="72" numFmtId="0" xfId="0" applyFont="1"/>
    <xf borderId="0" fillId="13" fontId="72" numFmtId="0" xfId="0" applyAlignment="1" applyFont="1">
      <alignment readingOrder="0"/>
    </xf>
    <xf borderId="0" fillId="13" fontId="98" numFmtId="0" xfId="0" applyFont="1"/>
    <xf borderId="0" fillId="13" fontId="98" numFmtId="0" xfId="0" applyAlignment="1" applyFont="1">
      <alignment readingOrder="0"/>
    </xf>
    <xf borderId="63" fillId="15" fontId="54" numFmtId="0" xfId="0" applyAlignment="1" applyBorder="1" applyFont="1">
      <alignment horizontal="center" readingOrder="0" vertical="center"/>
    </xf>
    <xf borderId="62" fillId="7" fontId="72" numFmtId="0" xfId="0" applyAlignment="1" applyBorder="1" applyFont="1">
      <alignment readingOrder="0"/>
    </xf>
    <xf borderId="0" fillId="7" fontId="98" numFmtId="0" xfId="0" applyAlignment="1" applyFont="1">
      <alignment readingOrder="0"/>
    </xf>
    <xf borderId="74" fillId="6" fontId="3" numFmtId="0" xfId="0" applyAlignment="1" applyBorder="1" applyFont="1">
      <alignment readingOrder="0"/>
    </xf>
    <xf borderId="0" fillId="31" fontId="144" numFmtId="0" xfId="0" applyAlignment="1" applyFont="1">
      <alignment readingOrder="0"/>
    </xf>
    <xf borderId="0" fillId="12" fontId="72" numFmtId="0" xfId="0" applyAlignment="1" applyFont="1">
      <alignment readingOrder="0"/>
    </xf>
    <xf borderId="76" fillId="19" fontId="1" numFmtId="0" xfId="0" applyAlignment="1" applyBorder="1" applyFont="1">
      <alignment vertical="bottom"/>
    </xf>
    <xf borderId="0" fillId="12" fontId="98" numFmtId="0" xfId="0" applyAlignment="1" applyFont="1">
      <alignment readingOrder="0"/>
    </xf>
    <xf borderId="100" fillId="0" fontId="3" numFmtId="0" xfId="0" applyBorder="1" applyFont="1"/>
    <xf borderId="86" fillId="12" fontId="98" numFmtId="0" xfId="0" applyAlignment="1" applyBorder="1" applyFont="1">
      <alignment vertical="bottom"/>
    </xf>
    <xf borderId="86" fillId="12" fontId="98" numFmtId="0" xfId="0" applyAlignment="1" applyBorder="1" applyFont="1">
      <alignment readingOrder="0"/>
    </xf>
    <xf borderId="101" fillId="15" fontId="98" numFmtId="0" xfId="0" applyAlignment="1" applyBorder="1" applyFont="1">
      <alignment horizontal="center" vertical="center"/>
    </xf>
    <xf borderId="0" fillId="15" fontId="54" numFmtId="0" xfId="0" applyAlignment="1" applyFont="1">
      <alignment readingOrder="0"/>
    </xf>
    <xf borderId="101" fillId="0" fontId="3" numFmtId="0" xfId="0" applyBorder="1" applyFont="1"/>
    <xf borderId="0" fillId="18" fontId="1" numFmtId="0" xfId="0" applyAlignment="1" applyFont="1">
      <alignment horizontal="right" vertical="bottom"/>
    </xf>
    <xf borderId="0" fillId="20" fontId="1" numFmtId="0" xfId="0" applyAlignment="1" applyFont="1">
      <alignment horizontal="right" vertical="bottom"/>
    </xf>
    <xf borderId="0" fillId="21" fontId="1" numFmtId="0" xfId="0" applyAlignment="1" applyFont="1">
      <alignment horizontal="right" vertical="bottom"/>
    </xf>
    <xf borderId="0" fillId="6" fontId="50" numFmtId="0" xfId="0" applyAlignment="1" applyFont="1">
      <alignment horizontal="right" vertical="bottom"/>
    </xf>
    <xf borderId="0" fillId="22" fontId="1" numFmtId="0" xfId="0" applyAlignment="1" applyFont="1">
      <alignment horizontal="right" vertical="bottom"/>
    </xf>
    <xf borderId="0" fillId="0" fontId="1" numFmtId="0" xfId="0" applyAlignment="1" applyFont="1">
      <alignment horizontal="right" vertical="bottom"/>
    </xf>
    <xf borderId="53" fillId="0" fontId="1" numFmtId="9" xfId="0" applyAlignment="1" applyBorder="1" applyFont="1" applyNumberFormat="1">
      <alignment horizontal="right" vertical="bottom"/>
    </xf>
    <xf borderId="43" fillId="0" fontId="1" numFmtId="9" xfId="0" applyAlignment="1" applyBorder="1" applyFont="1" applyNumberFormat="1">
      <alignment horizontal="right" vertical="bottom"/>
    </xf>
    <xf borderId="0" fillId="0" fontId="1" numFmtId="9" xfId="0" applyAlignment="1" applyFont="1" applyNumberFormat="1">
      <alignment horizontal="right" vertical="bottom"/>
    </xf>
    <xf borderId="0" fillId="15" fontId="93" numFmtId="0" xfId="0" applyAlignment="1" applyFont="1">
      <alignment horizontal="center" readingOrder="0" vertical="center"/>
    </xf>
    <xf borderId="92" fillId="26" fontId="93" numFmtId="0" xfId="0" applyAlignment="1" applyBorder="1" applyFont="1">
      <alignment horizontal="center" readingOrder="0" vertical="center"/>
    </xf>
    <xf borderId="102" fillId="2" fontId="1" numFmtId="0" xfId="0" applyAlignment="1" applyBorder="1" applyFont="1">
      <alignment vertical="bottom"/>
    </xf>
    <xf borderId="103" fillId="0" fontId="3" numFmtId="0" xfId="0" applyBorder="1" applyFont="1"/>
    <xf borderId="3" fillId="0" fontId="3" numFmtId="0" xfId="0" applyBorder="1" applyFont="1"/>
    <xf borderId="103" fillId="2" fontId="1" numFmtId="0" xfId="0" applyAlignment="1" applyBorder="1" applyFont="1">
      <alignment vertical="bottom"/>
    </xf>
    <xf borderId="3" fillId="2" fontId="1" numFmtId="0" xfId="0" applyAlignment="1" applyBorder="1" applyFont="1">
      <alignment vertical="bottom"/>
    </xf>
    <xf borderId="53" fillId="15" fontId="3" numFmtId="0" xfId="0" applyBorder="1" applyFont="1"/>
    <xf borderId="1" fillId="2" fontId="1" numFmtId="168" xfId="0" applyAlignment="1" applyBorder="1" applyFont="1" applyNumberFormat="1">
      <alignment vertical="bottom"/>
    </xf>
    <xf borderId="0" fillId="2" fontId="1" numFmtId="168" xfId="0" applyAlignment="1" applyFont="1" applyNumberFormat="1">
      <alignment vertical="bottom"/>
    </xf>
    <xf borderId="53" fillId="0" fontId="1" numFmtId="0" xfId="0" applyAlignment="1" applyBorder="1" applyFont="1">
      <alignment readingOrder="0" vertical="bottom"/>
    </xf>
    <xf borderId="0" fillId="0" fontId="1" numFmtId="0" xfId="0" applyAlignment="1" applyFont="1">
      <alignment readingOrder="0" vertical="bottom"/>
    </xf>
    <xf borderId="0" fillId="6" fontId="3" numFmtId="0" xfId="0" applyAlignment="1" applyFont="1">
      <alignment readingOrder="0"/>
    </xf>
    <xf borderId="0" fillId="6" fontId="3" numFmtId="0" xfId="0" applyFont="1"/>
    <xf borderId="91" fillId="15" fontId="98" numFmtId="0" xfId="0" applyAlignment="1" applyBorder="1" applyFont="1">
      <alignment horizontal="center" readingOrder="0" vertical="center"/>
    </xf>
    <xf borderId="0" fillId="11" fontId="72" numFmtId="0" xfId="0" applyAlignment="1" applyFont="1">
      <alignment readingOrder="0" vertical="bottom"/>
    </xf>
    <xf borderId="0" fillId="11" fontId="72" numFmtId="0" xfId="0" applyAlignment="1" applyFont="1">
      <alignment vertical="bottom"/>
    </xf>
    <xf borderId="0" fillId="11" fontId="98" numFmtId="0" xfId="0" applyAlignment="1" applyFont="1">
      <alignment readingOrder="0" vertical="bottom"/>
    </xf>
    <xf borderId="0" fillId="11" fontId="98" numFmtId="0" xfId="0" applyAlignment="1" applyFont="1">
      <alignment vertical="bottom"/>
    </xf>
    <xf borderId="0" fillId="2" fontId="151" numFmtId="0" xfId="0" applyAlignment="1" applyFont="1">
      <alignment readingOrder="0"/>
    </xf>
    <xf borderId="0" fillId="2" fontId="151" numFmtId="0" xfId="0" applyFont="1"/>
    <xf borderId="0" fillId="2" fontId="152" numFmtId="0" xfId="0" applyFont="1"/>
    <xf borderId="0" fillId="2" fontId="152" numFmtId="0" xfId="0" applyAlignment="1" applyFont="1">
      <alignment shrinkToFit="0" wrapText="0"/>
    </xf>
    <xf borderId="0" fillId="2" fontId="152" numFmtId="0" xfId="0" applyAlignment="1" applyFont="1">
      <alignment readingOrder="0"/>
    </xf>
    <xf borderId="0" fillId="6" fontId="154" numFmtId="0" xfId="0" applyAlignment="1" applyFont="1">
      <alignment readingOrder="0" vertical="bottom"/>
    </xf>
    <xf borderId="0" fillId="6" fontId="154" numFmtId="0" xfId="0" applyAlignment="1" applyFont="1">
      <alignment readingOrder="0" vertical="bottom"/>
    </xf>
    <xf borderId="0" fillId="6" fontId="155" numFmtId="0" xfId="0" applyAlignment="1" applyFont="1">
      <alignment readingOrder="0" vertical="bottom"/>
    </xf>
    <xf borderId="0" fillId="6" fontId="155" numFmtId="0" xfId="0" applyAlignment="1" applyFont="1">
      <alignment readingOrder="0" vertical="bottom"/>
    </xf>
    <xf borderId="0" fillId="6" fontId="155" numFmtId="0" xfId="0" applyAlignment="1" applyFont="1">
      <alignment readingOrder="0" vertical="bottom"/>
    </xf>
    <xf borderId="0" fillId="6" fontId="156" numFmtId="0" xfId="0" applyAlignment="1" applyFont="1">
      <alignment readingOrder="0" vertical="bottom"/>
    </xf>
    <xf borderId="48" fillId="2" fontId="3" numFmtId="0" xfId="0" applyBorder="1" applyFont="1"/>
    <xf borderId="48" fillId="6" fontId="3" numFmtId="0" xfId="0" applyAlignment="1" applyBorder="1" applyFont="1">
      <alignment readingOrder="0"/>
    </xf>
    <xf borderId="0" fillId="31" fontId="41" numFmtId="0" xfId="0" applyAlignment="1" applyFont="1">
      <alignment readingOrder="0"/>
    </xf>
    <xf borderId="92" fillId="15" fontId="98" numFmtId="0" xfId="0" applyAlignment="1" applyBorder="1" applyFont="1">
      <alignment horizontal="center" readingOrder="0" vertical="center"/>
    </xf>
    <xf borderId="0" fillId="12" fontId="72" numFmtId="0" xfId="0" applyAlignment="1" applyFont="1">
      <alignment readingOrder="0" vertical="bottom"/>
    </xf>
    <xf borderId="0" fillId="12" fontId="57" numFmtId="0" xfId="0" applyAlignment="1" applyFont="1">
      <alignment horizontal="left" readingOrder="0" shrinkToFit="0" vertical="bottom" wrapText="0"/>
    </xf>
    <xf borderId="0" fillId="12" fontId="58" numFmtId="0" xfId="0" applyAlignment="1" applyFont="1">
      <alignment horizontal="left" readingOrder="0" shrinkToFit="0" vertical="bottom" wrapText="0"/>
    </xf>
    <xf borderId="0" fillId="12" fontId="98" numFmtId="0" xfId="0" applyAlignment="1" applyFont="1">
      <alignment readingOrder="0" vertical="bottom"/>
    </xf>
    <xf borderId="0" fillId="5" fontId="144" numFmtId="0" xfId="0" applyAlignment="1" applyFont="1">
      <alignment readingOrder="0" vertical="bottom"/>
    </xf>
    <xf borderId="0" fillId="5" fontId="34" numFmtId="0" xfId="0" applyAlignment="1" applyFont="1">
      <alignment vertical="bottom"/>
    </xf>
    <xf borderId="0" fillId="5" fontId="64" numFmtId="0" xfId="0" applyAlignment="1" applyFont="1">
      <alignment readingOrder="0" vertical="bottom"/>
    </xf>
    <xf borderId="0" fillId="5" fontId="64" numFmtId="0" xfId="0" applyAlignment="1" applyFont="1">
      <alignment readingOrder="0" vertical="bottom"/>
    </xf>
    <xf borderId="0" fillId="13" fontId="57" numFmtId="0" xfId="0" applyAlignment="1" applyFont="1">
      <alignment horizontal="left" readingOrder="0" shrinkToFit="0" vertical="bottom" wrapText="0"/>
    </xf>
    <xf borderId="0" fillId="13" fontId="58" numFmtId="0" xfId="0" applyAlignment="1" applyFont="1">
      <alignment horizontal="left" readingOrder="0" shrinkToFit="0" vertical="bottom" wrapText="0"/>
    </xf>
    <xf borderId="53" fillId="26" fontId="93" numFmtId="0" xfId="0" applyAlignment="1" applyBorder="1" applyFont="1">
      <alignment horizontal="center" readingOrder="0" vertical="center"/>
    </xf>
    <xf borderId="73" fillId="0" fontId="1" numFmtId="0" xfId="0" applyAlignment="1" applyBorder="1" applyFont="1">
      <alignment readingOrder="0" vertical="bottom"/>
    </xf>
    <xf borderId="73" fillId="6" fontId="1" numFmtId="0" xfId="0" applyAlignment="1" applyBorder="1" applyFont="1">
      <alignment horizontal="center" readingOrder="0" vertical="bottom"/>
    </xf>
    <xf borderId="48" fillId="6" fontId="1" numFmtId="0" xfId="0" applyAlignment="1" applyBorder="1" applyFont="1">
      <alignment horizontal="center" readingOrder="0" vertical="bottom"/>
    </xf>
    <xf borderId="73" fillId="6" fontId="3" numFmtId="0" xfId="0" applyAlignment="1" applyBorder="1" applyFont="1">
      <alignment readingOrder="0"/>
    </xf>
    <xf borderId="73" fillId="19" fontId="1" numFmtId="0" xfId="0" applyAlignment="1" applyBorder="1" applyFont="1">
      <alignment vertical="bottom"/>
    </xf>
    <xf borderId="73" fillId="19" fontId="1" numFmtId="0" xfId="0" applyAlignment="1" applyBorder="1" applyFont="1">
      <alignment readingOrder="0" vertical="bottom"/>
    </xf>
    <xf borderId="0" fillId="11" fontId="157" numFmtId="0" xfId="0" applyAlignment="1" applyFont="1">
      <alignment readingOrder="0" vertical="bottom"/>
    </xf>
    <xf borderId="26" fillId="2" fontId="1" numFmtId="168" xfId="0" applyAlignment="1" applyBorder="1" applyFont="1" applyNumberFormat="1">
      <alignment vertical="bottom"/>
    </xf>
    <xf borderId="104" fillId="2" fontId="1" numFmtId="168" xfId="0" applyAlignment="1" applyBorder="1" applyFont="1" applyNumberFormat="1">
      <alignment vertical="bottom"/>
    </xf>
    <xf borderId="105" fillId="2" fontId="1" numFmtId="168" xfId="0" applyAlignment="1" applyBorder="1" applyFont="1" applyNumberFormat="1">
      <alignment vertical="bottom"/>
    </xf>
    <xf borderId="3" fillId="2" fontId="1" numFmtId="168" xfId="0" applyAlignment="1" applyBorder="1" applyFont="1" applyNumberFormat="1">
      <alignment vertical="bottom"/>
    </xf>
    <xf borderId="106" fillId="2" fontId="1" numFmtId="168" xfId="0" applyAlignment="1" applyBorder="1" applyFont="1" applyNumberFormat="1">
      <alignment vertical="bottom"/>
    </xf>
    <xf borderId="107" fillId="2" fontId="1" numFmtId="168" xfId="0" applyAlignment="1" applyBorder="1" applyFont="1" applyNumberFormat="1">
      <alignment vertical="bottom"/>
    </xf>
    <xf borderId="108" fillId="2" fontId="1" numFmtId="168" xfId="0" applyAlignment="1" applyBorder="1" applyFont="1" applyNumberFormat="1">
      <alignment vertical="bottom"/>
    </xf>
    <xf borderId="48" fillId="6" fontId="1" numFmtId="0" xfId="0" applyAlignment="1" applyBorder="1" applyFont="1">
      <alignment horizontal="center" readingOrder="0" vertical="bottom"/>
    </xf>
    <xf borderId="73" fillId="17" fontId="1" numFmtId="0" xfId="0" applyAlignment="1" applyBorder="1" applyFont="1">
      <alignment horizontal="center" vertical="bottom"/>
    </xf>
    <xf borderId="21" fillId="19" fontId="1" numFmtId="0" xfId="0" applyAlignment="1" applyBorder="1" applyFont="1">
      <alignment vertical="bottom"/>
    </xf>
    <xf borderId="73" fillId="17" fontId="1" numFmtId="0" xfId="0" applyAlignment="1" applyBorder="1" applyFont="1">
      <alignment horizontal="center" vertical="bottom"/>
    </xf>
    <xf borderId="73" fillId="17" fontId="1" numFmtId="0" xfId="0" applyAlignment="1" applyBorder="1" applyFont="1">
      <alignment readingOrder="0" vertical="bottom"/>
    </xf>
    <xf borderId="46" fillId="19" fontId="1" numFmtId="0" xfId="0" applyAlignment="1" applyBorder="1" applyFont="1">
      <alignment readingOrder="0" vertical="bottom"/>
    </xf>
    <xf borderId="73" fillId="17" fontId="1" numFmtId="0" xfId="0" applyAlignment="1" applyBorder="1" applyFont="1">
      <alignment vertical="bottom"/>
    </xf>
    <xf borderId="0" fillId="6" fontId="154" numFmtId="0" xfId="0" applyAlignment="1" applyFont="1">
      <alignment vertical="bottom"/>
    </xf>
    <xf borderId="0" fillId="6" fontId="156" numFmtId="0" xfId="0" applyAlignment="1" applyFont="1">
      <alignment readingOrder="0" vertical="bottom"/>
    </xf>
    <xf borderId="46" fillId="6" fontId="1" numFmtId="0" xfId="0" applyAlignment="1" applyBorder="1" applyFont="1">
      <alignment horizontal="center" readingOrder="0" vertical="bottom"/>
    </xf>
    <xf borderId="51" fillId="6" fontId="1" numFmtId="0" xfId="0" applyAlignment="1" applyBorder="1" applyFont="1">
      <alignment horizontal="center" readingOrder="0" vertical="bottom"/>
    </xf>
    <xf borderId="46" fillId="6" fontId="3" numFmtId="0" xfId="0" applyAlignment="1" applyBorder="1" applyFont="1">
      <alignment readingOrder="0"/>
    </xf>
    <xf borderId="109" fillId="2" fontId="1" numFmtId="168" xfId="0" applyAlignment="1" applyBorder="1" applyFont="1" applyNumberFormat="1">
      <alignment vertical="bottom"/>
    </xf>
    <xf borderId="48" fillId="2" fontId="1" numFmtId="168" xfId="0" applyAlignment="1" applyBorder="1" applyFont="1" applyNumberFormat="1">
      <alignment vertical="bottom"/>
    </xf>
    <xf borderId="73" fillId="19" fontId="1" numFmtId="0" xfId="0" applyAlignment="1" applyBorder="1" applyFont="1">
      <alignment readingOrder="0" vertical="bottom"/>
    </xf>
    <xf borderId="50" fillId="19" fontId="1" numFmtId="0" xfId="0" applyAlignment="1" applyBorder="1" applyFont="1">
      <alignment vertical="bottom"/>
    </xf>
    <xf borderId="53" fillId="19" fontId="1" numFmtId="0" xfId="0" applyAlignment="1" applyBorder="1" applyFont="1">
      <alignment vertical="bottom"/>
    </xf>
    <xf borderId="0" fillId="17" fontId="1" numFmtId="0" xfId="0" applyAlignment="1" applyFont="1">
      <alignment readingOrder="0" vertical="bottom"/>
    </xf>
    <xf borderId="0" fillId="17" fontId="1" numFmtId="0" xfId="0" applyAlignment="1" applyFont="1">
      <alignment vertical="bottom"/>
    </xf>
    <xf borderId="21" fillId="6" fontId="1" numFmtId="0" xfId="0" applyAlignment="1" applyBorder="1" applyFont="1">
      <alignment horizontal="center" readingOrder="0" vertical="bottom"/>
    </xf>
    <xf borderId="30" fillId="6" fontId="1" numFmtId="0" xfId="0" applyAlignment="1" applyBorder="1" applyFont="1">
      <alignment horizontal="center" readingOrder="0" vertical="bottom"/>
    </xf>
    <xf borderId="21" fillId="6" fontId="3" numFmtId="0" xfId="0" applyAlignment="1" applyBorder="1" applyFont="1">
      <alignment readingOrder="0"/>
    </xf>
    <xf borderId="30" fillId="0" fontId="1" numFmtId="0" xfId="0" applyAlignment="1" applyBorder="1" applyFont="1">
      <alignment readingOrder="0" vertical="bottom"/>
    </xf>
    <xf borderId="31" fillId="0" fontId="1" numFmtId="0" xfId="0" applyAlignment="1" applyBorder="1" applyFont="1">
      <alignment readingOrder="0" vertical="bottom"/>
    </xf>
    <xf borderId="110" fillId="15" fontId="98" numFmtId="0" xfId="0" applyAlignment="1" applyBorder="1" applyFont="1">
      <alignment horizontal="center" readingOrder="0" vertical="center"/>
    </xf>
    <xf borderId="45" fillId="6" fontId="1" numFmtId="0" xfId="0" applyAlignment="1" applyBorder="1" applyFont="1">
      <alignment horizontal="center" readingOrder="0" vertical="bottom"/>
    </xf>
    <xf borderId="111" fillId="2" fontId="1" numFmtId="168" xfId="0" applyAlignment="1" applyBorder="1" applyFont="1" applyNumberFormat="1">
      <alignment vertical="bottom"/>
    </xf>
    <xf borderId="6" fillId="2" fontId="1" numFmtId="168" xfId="0" applyAlignment="1" applyBorder="1" applyFont="1" applyNumberFormat="1">
      <alignment vertical="bottom"/>
    </xf>
    <xf borderId="77" fillId="2" fontId="1" numFmtId="168" xfId="0" applyAlignment="1" applyBorder="1" applyFont="1" applyNumberFormat="1">
      <alignment vertical="bottom"/>
    </xf>
    <xf borderId="87" fillId="5" fontId="34" numFmtId="0" xfId="0" applyAlignment="1" applyBorder="1" applyFont="1">
      <alignment vertical="bottom"/>
    </xf>
    <xf borderId="0" fillId="12" fontId="158" numFmtId="0" xfId="0" applyAlignment="1" applyFont="1">
      <alignment readingOrder="0" vertical="bottom"/>
    </xf>
    <xf borderId="0" fillId="12" fontId="158" numFmtId="0" xfId="0" applyAlignment="1" applyFont="1">
      <alignment readingOrder="0" vertical="bottom"/>
    </xf>
    <xf borderId="0" fillId="12" fontId="157" numFmtId="0" xfId="0" applyAlignment="1" applyFont="1">
      <alignment readingOrder="0" vertical="bottom"/>
    </xf>
    <xf borderId="112" fillId="2" fontId="1" numFmtId="168" xfId="0" applyAlignment="1" applyBorder="1" applyFont="1" applyNumberFormat="1">
      <alignment vertical="bottom"/>
    </xf>
    <xf borderId="113" fillId="2" fontId="1" numFmtId="168" xfId="0" applyAlignment="1" applyBorder="1" applyFont="1" applyNumberFormat="1">
      <alignment vertical="bottom"/>
    </xf>
    <xf borderId="0" fillId="7" fontId="57" numFmtId="0" xfId="0" applyAlignment="1" applyFont="1">
      <alignment horizontal="left" readingOrder="0" shrinkToFit="0" vertical="bottom" wrapText="0"/>
    </xf>
    <xf borderId="31" fillId="7" fontId="57" numFmtId="0" xfId="0" applyAlignment="1" applyBorder="1" applyFont="1">
      <alignment horizontal="left" readingOrder="0" shrinkToFit="0" vertical="bottom" wrapText="0"/>
    </xf>
    <xf borderId="101" fillId="15" fontId="98" numFmtId="0" xfId="0" applyAlignment="1" applyBorder="1" applyFont="1">
      <alignment horizontal="center" readingOrder="0" vertical="center"/>
    </xf>
    <xf borderId="71" fillId="2" fontId="151" numFmtId="0" xfId="0" applyBorder="1" applyFont="1"/>
    <xf borderId="73" fillId="19" fontId="1" numFmtId="0" xfId="0" applyAlignment="1" applyBorder="1" applyFont="1">
      <alignment horizontal="center" vertical="bottom"/>
    </xf>
    <xf borderId="50" fillId="19" fontId="1" numFmtId="0" xfId="0" applyAlignment="1" applyBorder="1" applyFont="1">
      <alignment horizontal="center" vertical="bottom"/>
    </xf>
    <xf borderId="50" fillId="17" fontId="1" numFmtId="0" xfId="0" applyAlignment="1" applyBorder="1" applyFont="1">
      <alignment horizontal="center" readingOrder="0" vertical="bottom"/>
    </xf>
    <xf borderId="87" fillId="6" fontId="154" numFmtId="0" xfId="0" applyAlignment="1" applyBorder="1" applyFont="1">
      <alignment readingOrder="0" vertical="bottom"/>
    </xf>
    <xf borderId="114" fillId="0" fontId="3" numFmtId="0" xfId="0" applyBorder="1" applyFont="1"/>
    <xf borderId="115" fillId="2" fontId="1" numFmtId="168" xfId="0" applyAlignment="1" applyBorder="1" applyFont="1" applyNumberFormat="1">
      <alignment vertical="bottom"/>
    </xf>
    <xf borderId="0" fillId="6" fontId="159" numFmtId="0" xfId="0" applyAlignment="1" applyFont="1">
      <alignment readingOrder="0"/>
    </xf>
    <xf borderId="0" fillId="2" fontId="151" numFmtId="0" xfId="0" applyAlignment="1" applyFont="1">
      <alignment vertical="bottom"/>
    </xf>
    <xf borderId="50" fillId="17" fontId="1" numFmtId="0" xfId="0" applyAlignment="1" applyBorder="1" applyFont="1">
      <alignment horizontal="center" vertical="bottom"/>
    </xf>
    <xf borderId="0" fillId="2" fontId="152" numFmtId="0" xfId="0" applyAlignment="1" applyFont="1">
      <alignment readingOrder="0" vertical="bottom"/>
    </xf>
    <xf borderId="21" fillId="19" fontId="1" numFmtId="0" xfId="0" applyAlignment="1" applyBorder="1" applyFont="1">
      <alignment horizontal="center" vertical="bottom"/>
    </xf>
    <xf borderId="22" fillId="17" fontId="1" numFmtId="0" xfId="0" applyAlignment="1" applyBorder="1" applyFont="1">
      <alignment horizontal="center" vertical="bottom"/>
    </xf>
    <xf borderId="21" fillId="17" fontId="1" numFmtId="0" xfId="0" applyAlignment="1" applyBorder="1" applyFont="1">
      <alignment horizontal="center" vertical="bottom"/>
    </xf>
    <xf borderId="22" fillId="19" fontId="1" numFmtId="0" xfId="0" applyAlignment="1" applyBorder="1" applyFont="1">
      <alignment horizontal="center" vertical="bottom"/>
    </xf>
    <xf borderId="0" fillId="2" fontId="152" numFmtId="0" xfId="0" applyAlignment="1" applyFont="1">
      <alignment vertical="bottom"/>
    </xf>
    <xf borderId="46" fillId="6" fontId="1" numFmtId="0" xfId="0" applyAlignment="1" applyBorder="1" applyFont="1">
      <alignment horizontal="center" readingOrder="0" vertical="bottom"/>
    </xf>
    <xf borderId="45" fillId="6" fontId="1" numFmtId="0" xfId="0" applyAlignment="1" applyBorder="1" applyFont="1">
      <alignment horizontal="center" readingOrder="0" vertical="bottom"/>
    </xf>
    <xf borderId="0" fillId="2" fontId="152" numFmtId="0" xfId="0" applyAlignment="1" applyFont="1">
      <alignment horizontal="left" readingOrder="0"/>
    </xf>
    <xf borderId="0" fillId="12" fontId="72" numFmtId="0" xfId="0" applyAlignment="1" applyFont="1">
      <alignment readingOrder="0" vertical="bottom"/>
    </xf>
    <xf borderId="21" fillId="6" fontId="50" numFmtId="0" xfId="0" applyAlignment="1" applyBorder="1" applyFont="1">
      <alignment horizontal="center" vertical="bottom"/>
    </xf>
    <xf borderId="22" fillId="6" fontId="50" numFmtId="0" xfId="0" applyAlignment="1" applyBorder="1" applyFont="1">
      <alignment horizontal="center" vertical="bottom"/>
    </xf>
    <xf borderId="87" fillId="6" fontId="154" numFmtId="0" xfId="0" applyAlignment="1" applyBorder="1" applyFont="1">
      <alignment readingOrder="0" vertical="bottom"/>
    </xf>
    <xf borderId="22" fillId="33" fontId="1" numFmtId="0" xfId="0" applyAlignment="1" applyBorder="1" applyFill="1" applyFont="1">
      <alignment horizontal="center" vertical="bottom"/>
    </xf>
    <xf borderId="50" fillId="6" fontId="50" numFmtId="0" xfId="0" applyAlignment="1" applyBorder="1" applyFont="1">
      <alignment horizontal="center" vertical="bottom"/>
    </xf>
    <xf borderId="71" fillId="6" fontId="1" numFmtId="0" xfId="0" applyAlignment="1" applyBorder="1" applyFont="1">
      <alignment horizontal="center" readingOrder="0" vertical="bottom"/>
    </xf>
    <xf borderId="0" fillId="5" fontId="160" numFmtId="0" xfId="0" applyAlignment="1" applyFont="1">
      <alignment readingOrder="0" vertical="bottom"/>
    </xf>
    <xf borderId="73" fillId="6" fontId="50" numFmtId="0" xfId="0" applyAlignment="1" applyBorder="1" applyFont="1">
      <alignment horizontal="center" vertical="bottom"/>
    </xf>
    <xf borderId="73" fillId="6" fontId="64" numFmtId="0" xfId="0" applyAlignment="1" applyBorder="1" applyFont="1">
      <alignment horizontal="center" readingOrder="0" vertical="bottom"/>
    </xf>
    <xf borderId="50" fillId="6" fontId="64" numFmtId="0" xfId="0" applyAlignment="1" applyBorder="1" applyFont="1">
      <alignment horizontal="center" readingOrder="0" vertical="bottom"/>
    </xf>
    <xf borderId="50" fillId="6" fontId="1" numFmtId="0" xfId="0" applyAlignment="1" applyBorder="1" applyFont="1">
      <alignment horizontal="center" readingOrder="0" vertical="bottom"/>
    </xf>
    <xf borderId="73" fillId="6" fontId="1" numFmtId="0" xfId="0" applyAlignment="1" applyBorder="1" applyFont="1">
      <alignment horizontal="center" readingOrder="0" vertical="bottom"/>
    </xf>
    <xf borderId="1" fillId="2" fontId="1" numFmtId="0" xfId="0" applyAlignment="1" applyBorder="1" applyFont="1">
      <alignment vertical="bottom"/>
    </xf>
    <xf borderId="116" fillId="2" fontId="1" numFmtId="0" xfId="0" applyAlignment="1" applyBorder="1" applyFont="1">
      <alignment horizontal="center" readingOrder="0" vertical="bottom"/>
    </xf>
    <xf borderId="113" fillId="0" fontId="3" numFmtId="0" xfId="0" applyBorder="1" applyFont="1"/>
    <xf borderId="117" fillId="0" fontId="3" numFmtId="0" xfId="0" applyBorder="1" applyFont="1"/>
    <xf borderId="105" fillId="2" fontId="1" numFmtId="0" xfId="0" applyAlignment="1" applyBorder="1" applyFont="1">
      <alignment vertical="bottom"/>
    </xf>
    <xf borderId="113" fillId="0" fontId="3" numFmtId="0" xfId="0" applyBorder="1" applyFont="1"/>
    <xf borderId="109" fillId="0" fontId="3" numFmtId="0" xfId="0" applyBorder="1" applyFont="1"/>
    <xf borderId="0" fillId="11" fontId="157" numFmtId="0" xfId="0" applyAlignment="1" applyFont="1">
      <alignment vertical="bottom"/>
    </xf>
    <xf borderId="73" fillId="6" fontId="50" numFmtId="0" xfId="0" applyAlignment="1" applyBorder="1" applyFont="1">
      <alignment horizontal="center" readingOrder="0" vertical="bottom"/>
    </xf>
    <xf borderId="50" fillId="6" fontId="50" numFmtId="0" xfId="0" applyAlignment="1" applyBorder="1" applyFont="1">
      <alignment horizontal="center" readingOrder="0" vertical="bottom"/>
    </xf>
    <xf borderId="0" fillId="2" fontId="161" numFmtId="0" xfId="0" applyAlignment="1" applyFont="1">
      <alignment horizontal="center" vertical="bottom"/>
    </xf>
    <xf borderId="108" fillId="0" fontId="3" numFmtId="0" xfId="0" applyBorder="1" applyFont="1"/>
    <xf borderId="26" fillId="0" fontId="3" numFmtId="0" xfId="0" applyBorder="1" applyFont="1"/>
    <xf borderId="0" fillId="11" fontId="157" numFmtId="0" xfId="0" applyAlignment="1" applyFont="1">
      <alignment readingOrder="0" vertical="bottom"/>
    </xf>
    <xf borderId="0" fillId="11" fontId="157" numFmtId="0" xfId="0" applyAlignment="1" applyFont="1">
      <alignment vertical="bottom"/>
    </xf>
    <xf borderId="118" fillId="2" fontId="1" numFmtId="0" xfId="0" applyAlignment="1" applyBorder="1" applyFont="1">
      <alignment vertical="bottom"/>
    </xf>
    <xf borderId="77" fillId="0" fontId="3" numFmtId="0" xfId="0" applyBorder="1" applyFont="1"/>
    <xf borderId="119" fillId="0" fontId="3" numFmtId="0" xfId="0" applyBorder="1" applyFont="1"/>
    <xf borderId="6" fillId="0" fontId="3" numFmtId="0" xfId="0" applyBorder="1" applyFont="1"/>
    <xf borderId="1" fillId="2" fontId="1" numFmtId="0" xfId="0" applyAlignment="1" applyBorder="1" applyFont="1">
      <alignment readingOrder="0" vertical="bottom"/>
    </xf>
    <xf borderId="0" fillId="2" fontId="152" numFmtId="0" xfId="0" applyAlignment="1" applyFont="1">
      <alignment readingOrder="0" vertical="bottom"/>
    </xf>
    <xf borderId="0" fillId="2" fontId="162" numFmtId="0" xfId="0" applyAlignment="1" applyFont="1">
      <alignment readingOrder="0" vertical="bottom"/>
    </xf>
    <xf borderId="0" fillId="2" fontId="162" numFmtId="0" xfId="0" applyAlignment="1" applyFont="1">
      <alignment vertical="bottom"/>
    </xf>
    <xf borderId="87" fillId="5" fontId="144" numFmtId="0" xfId="0" applyAlignment="1" applyBorder="1" applyFont="1">
      <alignment readingOrder="0" vertical="bottom"/>
    </xf>
    <xf borderId="9" fillId="2" fontId="1" numFmtId="0" xfId="0" applyAlignment="1" applyBorder="1" applyFont="1">
      <alignment vertical="bottom"/>
    </xf>
    <xf borderId="48" fillId="2" fontId="1" numFmtId="0" xfId="0" applyAlignment="1" applyBorder="1" applyFont="1">
      <alignment horizontal="center" readingOrder="0" vertical="bottom"/>
    </xf>
    <xf borderId="48" fillId="26" fontId="161" numFmtId="0" xfId="0" applyAlignment="1" applyBorder="1" applyFont="1">
      <alignment horizontal="center" vertical="bottom"/>
    </xf>
    <xf borderId="49" fillId="26" fontId="161" numFmtId="0" xfId="0" applyAlignment="1" applyBorder="1" applyFont="1">
      <alignment horizontal="center" vertical="bottom"/>
    </xf>
    <xf borderId="87" fillId="25" fontId="103" numFmtId="0" xfId="0" applyAlignment="1" applyBorder="1" applyFont="1">
      <alignment readingOrder="0" vertical="bottom"/>
    </xf>
    <xf borderId="87" fillId="25" fontId="103" numFmtId="0" xfId="0" applyAlignment="1" applyBorder="1" applyFont="1">
      <alignment vertical="bottom"/>
    </xf>
    <xf borderId="0" fillId="25" fontId="163" numFmtId="0" xfId="0" applyAlignment="1" applyFont="1">
      <alignment readingOrder="0" vertical="bottom"/>
    </xf>
    <xf borderId="48" fillId="26" fontId="1" numFmtId="0" xfId="0" applyAlignment="1" applyBorder="1" applyFont="1">
      <alignment horizontal="center" readingOrder="0" vertical="bottom"/>
    </xf>
    <xf borderId="0" fillId="25" fontId="164" numFmtId="0" xfId="0" applyAlignment="1" applyFont="1">
      <alignment readingOrder="0" vertical="bottom"/>
    </xf>
    <xf borderId="0" fillId="18" fontId="165" numFmtId="0" xfId="0" applyAlignment="1" applyFont="1">
      <alignment readingOrder="0" vertical="bottom"/>
    </xf>
    <xf borderId="0" fillId="18" fontId="165" numFmtId="0" xfId="0" applyAlignment="1" applyFont="1">
      <alignment vertical="bottom"/>
    </xf>
    <xf borderId="0" fillId="18" fontId="166" numFmtId="0" xfId="0" applyAlignment="1" applyFont="1">
      <alignment readingOrder="0" vertical="bottom"/>
    </xf>
    <xf borderId="120" fillId="2" fontId="1" numFmtId="0" xfId="0" applyAlignment="1" applyBorder="1" applyFont="1">
      <alignment horizontal="center" readingOrder="0" vertical="bottom"/>
    </xf>
    <xf borderId="121" fillId="0" fontId="3" numFmtId="0" xfId="0" applyBorder="1" applyFont="1"/>
    <xf borderId="122" fillId="0" fontId="3" numFmtId="0" xfId="0" applyBorder="1" applyFont="1"/>
    <xf borderId="30" fillId="2" fontId="1" numFmtId="0" xfId="0" applyAlignment="1" applyBorder="1" applyFont="1">
      <alignment horizontal="center" readingOrder="0" vertical="bottom"/>
    </xf>
    <xf borderId="0" fillId="18" fontId="167" numFmtId="0" xfId="0" applyAlignment="1" applyFont="1">
      <alignment vertical="bottom"/>
    </xf>
    <xf borderId="0" fillId="18" fontId="167" numFmtId="0" xfId="0" applyAlignment="1" applyFont="1">
      <alignment readingOrder="0" vertical="bottom"/>
    </xf>
    <xf borderId="0" fillId="15" fontId="1" numFmtId="0" xfId="0" applyAlignment="1" applyFont="1">
      <alignment vertical="bottom"/>
    </xf>
    <xf borderId="86" fillId="15" fontId="98" numFmtId="0" xfId="0" applyAlignment="1" applyBorder="1" applyFont="1">
      <alignment horizontal="center" readingOrder="0"/>
    </xf>
    <xf borderId="53" fillId="0" fontId="1" numFmtId="0" xfId="0" applyAlignment="1" applyBorder="1" applyFont="1">
      <alignment readingOrder="0" vertical="bottom"/>
    </xf>
    <xf borderId="110" fillId="15" fontId="98" numFmtId="0" xfId="0" applyAlignment="1" applyBorder="1" applyFont="1">
      <alignment horizontal="center" readingOrder="0" vertical="center"/>
    </xf>
    <xf borderId="73" fillId="0" fontId="1" numFmtId="0" xfId="0" applyAlignment="1" applyBorder="1" applyFont="1">
      <alignment horizontal="center" readingOrder="0" vertical="bottom"/>
    </xf>
    <xf borderId="0" fillId="6" fontId="1" numFmtId="0" xfId="0" applyAlignment="1" applyFont="1">
      <alignment horizontal="center" readingOrder="0" vertical="bottom"/>
    </xf>
    <xf borderId="0" fillId="25" fontId="103" numFmtId="0" xfId="0" applyAlignment="1" applyFont="1">
      <alignment readingOrder="0" vertical="bottom"/>
    </xf>
    <xf borderId="0" fillId="25" fontId="103" numFmtId="0" xfId="0" applyAlignment="1" applyFont="1">
      <alignment vertical="bottom"/>
    </xf>
    <xf borderId="0" fillId="25" fontId="163" numFmtId="0" xfId="0" applyAlignment="1" applyFont="1">
      <alignment readingOrder="0" vertical="bottom"/>
    </xf>
    <xf borderId="0" fillId="18" fontId="165" numFmtId="0" xfId="0" applyAlignment="1" applyFont="1">
      <alignment readingOrder="0" vertical="bottom"/>
    </xf>
    <xf borderId="0" fillId="18" fontId="166" numFmtId="0" xfId="0" applyAlignment="1" applyFont="1">
      <alignment readingOrder="0" vertical="bottom"/>
    </xf>
    <xf borderId="0" fillId="18" fontId="166" numFmtId="0" xfId="0" applyAlignment="1" applyFont="1">
      <alignment readingOrder="0" vertical="bottom"/>
    </xf>
    <xf borderId="0" fillId="34" fontId="72" numFmtId="0" xfId="0" applyAlignment="1" applyFill="1" applyFont="1">
      <alignment readingOrder="0" vertical="bottom"/>
    </xf>
    <xf borderId="0" fillId="34" fontId="72" numFmtId="0" xfId="0" applyAlignment="1" applyFont="1">
      <alignment vertical="bottom"/>
    </xf>
    <xf borderId="0" fillId="0" fontId="1" numFmtId="0" xfId="0" applyAlignment="1" applyFont="1">
      <alignment horizontal="center" readingOrder="0" vertical="bottom"/>
    </xf>
    <xf borderId="0" fillId="34" fontId="98" numFmtId="0" xfId="0" applyAlignment="1" applyFont="1">
      <alignment readingOrder="0" vertical="bottom"/>
    </xf>
    <xf borderId="87" fillId="11" fontId="72" numFmtId="0" xfId="0" applyAlignment="1" applyBorder="1" applyFont="1">
      <alignment readingOrder="0" vertical="bottom"/>
    </xf>
    <xf borderId="87" fillId="11" fontId="72" numFmtId="0" xfId="0" applyAlignment="1" applyBorder="1" applyFont="1">
      <alignment vertical="bottom"/>
    </xf>
    <xf borderId="0" fillId="11" fontId="98" numFmtId="0" xfId="0" applyAlignment="1" applyFont="1">
      <alignment readingOrder="0" vertical="bottom"/>
    </xf>
    <xf borderId="0" fillId="2" fontId="168" numFmtId="0" xfId="0" applyAlignment="1" applyFont="1">
      <alignment readingOrder="0"/>
    </xf>
    <xf borderId="50" fillId="19" fontId="1" numFmtId="0" xfId="0" applyAlignment="1" applyBorder="1" applyFont="1">
      <alignment horizontal="center" readingOrder="0" vertical="bottom"/>
    </xf>
    <xf borderId="0" fillId="2" fontId="169" numFmtId="0" xfId="0" applyAlignment="1" applyFont="1">
      <alignment readingOrder="0"/>
    </xf>
    <xf borderId="0" fillId="2" fontId="169" numFmtId="0" xfId="0" applyAlignment="1" applyFont="1">
      <alignment readingOrder="0"/>
    </xf>
    <xf borderId="73" fillId="17" fontId="1" numFmtId="0" xfId="0" applyAlignment="1" applyBorder="1" applyFont="1">
      <alignment horizontal="center" readingOrder="0" vertical="bottom"/>
    </xf>
    <xf borderId="0" fillId="2" fontId="170" numFmtId="0" xfId="0" applyAlignment="1" applyFont="1">
      <alignment readingOrder="0"/>
    </xf>
    <xf borderId="29" fillId="0" fontId="3" numFmtId="0" xfId="0" applyBorder="1" applyFont="1"/>
    <xf borderId="0" fillId="2" fontId="1" numFmtId="0" xfId="0" applyAlignment="1" applyFont="1">
      <alignment horizontal="center" readingOrder="0" vertical="bottom"/>
    </xf>
    <xf borderId="0" fillId="22" fontId="171" numFmtId="0" xfId="0" applyAlignment="1" applyFont="1">
      <alignment readingOrder="0" vertical="bottom"/>
    </xf>
    <xf borderId="0" fillId="22" fontId="172" numFmtId="9" xfId="0" applyAlignment="1" applyFont="1" applyNumberFormat="1">
      <alignment vertical="bottom"/>
    </xf>
    <xf borderId="110" fillId="15" fontId="98" numFmtId="0" xfId="0" applyAlignment="1" applyBorder="1" applyFont="1">
      <alignment horizontal="center" vertical="center"/>
    </xf>
    <xf borderId="0" fillId="18" fontId="1" numFmtId="0" xfId="0" applyAlignment="1" applyFont="1">
      <alignment readingOrder="0" vertical="bottom"/>
    </xf>
    <xf borderId="53" fillId="18" fontId="3" numFmtId="0" xfId="0" applyBorder="1" applyFont="1"/>
    <xf borderId="0" fillId="18" fontId="3" numFmtId="0" xfId="0" applyFont="1"/>
    <xf borderId="0" fillId="20" fontId="1" numFmtId="0" xfId="0" applyAlignment="1" applyFont="1">
      <alignment readingOrder="0" vertical="bottom"/>
    </xf>
    <xf borderId="53" fillId="20" fontId="3" numFmtId="0" xfId="0" applyBorder="1" applyFont="1"/>
    <xf borderId="0" fillId="20" fontId="3" numFmtId="0" xfId="0" applyFont="1"/>
    <xf borderId="53" fillId="21" fontId="3" numFmtId="0" xfId="0" applyBorder="1" applyFont="1"/>
    <xf borderId="0" fillId="21" fontId="3" numFmtId="0" xfId="0" applyFont="1"/>
    <xf borderId="53" fillId="6" fontId="173" numFmtId="0" xfId="0" applyBorder="1" applyFont="1"/>
    <xf borderId="0" fillId="6" fontId="173" numFmtId="0" xfId="0" applyFont="1"/>
    <xf borderId="53" fillId="22" fontId="1" numFmtId="0" xfId="0" applyAlignment="1" applyBorder="1" applyFont="1">
      <alignment horizontal="right" vertical="bottom"/>
    </xf>
    <xf borderId="0" fillId="22" fontId="1" numFmtId="0" xfId="0" applyAlignment="1" applyFont="1">
      <alignment horizontal="right" vertical="bottom"/>
    </xf>
    <xf borderId="53" fillId="0" fontId="1" numFmtId="0" xfId="0" applyAlignment="1" applyBorder="1" applyFont="1">
      <alignment horizontal="right" vertical="bottom"/>
    </xf>
    <xf borderId="0" fillId="0" fontId="1" numFmtId="0" xfId="0" applyAlignment="1" applyFont="1">
      <alignment horizontal="right" vertical="bottom"/>
    </xf>
    <xf borderId="53" fillId="0" fontId="1" numFmtId="9" xfId="0" applyAlignment="1" applyBorder="1" applyFont="1" applyNumberFormat="1">
      <alignment horizontal="right" vertical="bottom"/>
    </xf>
    <xf borderId="0" fillId="0" fontId="1" numFmtId="9" xfId="0" applyAlignment="1" applyFont="1" applyNumberFormat="1">
      <alignment horizontal="right" vertical="bottom"/>
    </xf>
    <xf borderId="123" fillId="2" fontId="3" numFmtId="0" xfId="0" applyBorder="1" applyFont="1"/>
    <xf borderId="0" fillId="2" fontId="3" numFmtId="0" xfId="0" applyFont="1"/>
    <xf borderId="116" fillId="15" fontId="3" numFmtId="0" xfId="0" applyBorder="1" applyFont="1"/>
    <xf borderId="1" fillId="2" fontId="3" numFmtId="0" xfId="0" applyBorder="1" applyFont="1"/>
    <xf borderId="86" fillId="15" fontId="98" numFmtId="0" xfId="0" applyAlignment="1" applyBorder="1" applyFont="1">
      <alignment horizontal="center" readingOrder="0" vertical="bottom"/>
    </xf>
    <xf borderId="30" fillId="0" fontId="1" numFmtId="0" xfId="0" applyAlignment="1" applyBorder="1" applyFont="1">
      <alignment vertical="bottom"/>
    </xf>
    <xf borderId="31" fillId="0" fontId="1" numFmtId="0" xfId="0" applyAlignment="1" applyBorder="1" applyFont="1">
      <alignment vertical="bottom"/>
    </xf>
    <xf borderId="0" fillId="2" fontId="1" numFmtId="0" xfId="0" applyAlignment="1" applyFont="1">
      <alignment vertical="bottom"/>
    </xf>
    <xf borderId="0" fillId="5" fontId="1" numFmtId="0" xfId="0" applyAlignment="1" applyFont="1">
      <alignment vertical="bottom"/>
    </xf>
    <xf borderId="44" fillId="19" fontId="1" numFmtId="0" xfId="0" applyAlignment="1" applyBorder="1" applyFont="1">
      <alignment horizontal="center" vertical="bottom"/>
    </xf>
    <xf borderId="33" fillId="19" fontId="1" numFmtId="0" xfId="0" applyAlignment="1" applyBorder="1" applyFont="1">
      <alignment horizontal="center" vertical="bottom"/>
    </xf>
    <xf borderId="33" fillId="33" fontId="1" numFmtId="0" xfId="0" applyAlignment="1" applyBorder="1" applyFont="1">
      <alignment horizontal="center" vertical="bottom"/>
    </xf>
    <xf borderId="48" fillId="2" fontId="1" numFmtId="0" xfId="0" applyAlignment="1" applyBorder="1" applyFont="1">
      <alignment vertical="bottom"/>
    </xf>
    <xf borderId="73" fillId="33" fontId="1" numFmtId="0" xfId="0" applyAlignment="1" applyBorder="1" applyFont="1">
      <alignment horizontal="center" vertical="bottom"/>
    </xf>
    <xf borderId="0" fillId="34" fontId="98" numFmtId="0" xfId="0" applyAlignment="1" applyFont="1">
      <alignment vertical="bottom"/>
    </xf>
    <xf borderId="0" fillId="34" fontId="157" numFmtId="0" xfId="0" applyAlignment="1" applyFont="1">
      <alignment vertical="bottom"/>
    </xf>
    <xf borderId="0" fillId="35" fontId="158" numFmtId="0" xfId="0" applyAlignment="1" applyFill="1" applyFont="1">
      <alignment vertical="bottom"/>
    </xf>
    <xf borderId="50" fillId="33" fontId="1" numFmtId="0" xfId="0" applyAlignment="1" applyBorder="1" applyFont="1">
      <alignment horizontal="center" vertical="bottom"/>
    </xf>
    <xf borderId="113" fillId="2" fontId="1" numFmtId="0" xfId="0" applyAlignment="1" applyBorder="1" applyFont="1">
      <alignment horizontal="center" readingOrder="0" vertical="bottom"/>
    </xf>
    <xf borderId="105" fillId="2" fontId="1" numFmtId="0" xfId="0" applyAlignment="1" applyBorder="1" applyFont="1">
      <alignment horizontal="center" readingOrder="0" vertical="bottom"/>
    </xf>
    <xf borderId="0" fillId="35" fontId="157" numFmtId="0" xfId="0" applyAlignment="1" applyFont="1">
      <alignment vertical="bottom"/>
    </xf>
    <xf borderId="33" fillId="17" fontId="1" numFmtId="0" xfId="0" applyAlignment="1" applyBorder="1" applyFont="1">
      <alignment horizontal="center" vertical="bottom"/>
    </xf>
    <xf borderId="33" fillId="6" fontId="50" numFmtId="0" xfId="0" applyAlignment="1" applyBorder="1" applyFont="1">
      <alignment horizontal="center" vertical="bottom"/>
    </xf>
    <xf borderId="87" fillId="28" fontId="174" numFmtId="0" xfId="0" applyAlignment="1" applyBorder="1" applyFont="1">
      <alignment vertical="bottom"/>
    </xf>
    <xf borderId="6" fillId="2" fontId="1" numFmtId="0" xfId="0" applyAlignment="1" applyBorder="1" applyFont="1">
      <alignment vertical="bottom"/>
    </xf>
    <xf borderId="0" fillId="28" fontId="175" numFmtId="0" xfId="0" applyAlignment="1" applyFont="1">
      <alignment vertical="bottom"/>
    </xf>
    <xf borderId="31" fillId="19" fontId="1" numFmtId="0" xfId="0" applyAlignment="1" applyBorder="1" applyFont="1">
      <alignment horizontal="center" vertical="bottom"/>
    </xf>
    <xf borderId="31" fillId="17" fontId="1" numFmtId="0" xfId="0" applyAlignment="1" applyBorder="1" applyFont="1">
      <alignment horizontal="center" vertical="bottom"/>
    </xf>
    <xf borderId="22" fillId="19" fontId="1" numFmtId="0" xfId="0" applyAlignment="1" applyBorder="1" applyFont="1">
      <alignment horizontal="center" vertical="bottom"/>
    </xf>
    <xf borderId="22" fillId="17" fontId="1" numFmtId="0" xfId="0" applyAlignment="1" applyBorder="1" applyFont="1">
      <alignment horizontal="center" vertical="bottom"/>
    </xf>
    <xf borderId="22" fillId="6" fontId="50" numFmtId="0" xfId="0" applyAlignment="1" applyBorder="1" applyFont="1">
      <alignment horizontal="center" vertical="bottom"/>
    </xf>
    <xf borderId="31" fillId="6" fontId="50" numFmtId="0" xfId="0" applyAlignment="1" applyBorder="1" applyFont="1">
      <alignment horizontal="center" vertical="bottom"/>
    </xf>
    <xf borderId="0" fillId="25" fontId="163" numFmtId="0" xfId="0" applyAlignment="1" applyFont="1">
      <alignment vertical="bottom"/>
    </xf>
    <xf borderId="31" fillId="19" fontId="1" numFmtId="0" xfId="0" applyAlignment="1" applyBorder="1" applyFont="1">
      <alignment horizontal="center" vertical="bottom"/>
    </xf>
    <xf borderId="0" fillId="36" fontId="176" numFmtId="0" xfId="0" applyAlignment="1" applyFill="1" applyFont="1">
      <alignment vertical="bottom"/>
    </xf>
    <xf borderId="44" fillId="17" fontId="1" numFmtId="0" xfId="0" applyAlignment="1" applyBorder="1" applyFont="1">
      <alignment horizontal="center" vertical="bottom"/>
    </xf>
    <xf borderId="0" fillId="36" fontId="177" numFmtId="0" xfId="0" applyAlignment="1" applyFont="1">
      <alignment vertical="bottom"/>
    </xf>
    <xf borderId="0" fillId="19" fontId="1" numFmtId="0" xfId="0" applyAlignment="1" applyFont="1">
      <alignment horizontal="center" vertical="bottom"/>
    </xf>
    <xf borderId="0" fillId="36" fontId="178" numFmtId="0" xfId="0" applyAlignment="1" applyFont="1">
      <alignment vertical="bottom"/>
    </xf>
    <xf borderId="22" fillId="17" fontId="64" numFmtId="0" xfId="0" applyAlignment="1" applyBorder="1" applyFont="1">
      <alignment horizontal="center" vertical="bottom"/>
    </xf>
    <xf borderId="22" fillId="19" fontId="64" numFmtId="0" xfId="0" applyAlignment="1" applyBorder="1" applyFont="1">
      <alignment horizontal="center" vertical="bottom"/>
    </xf>
    <xf borderId="22" fillId="6" fontId="50" numFmtId="0" xfId="0" applyAlignment="1" applyBorder="1" applyFont="1">
      <alignment vertical="bottom"/>
    </xf>
    <xf borderId="118" fillId="2" fontId="1" numFmtId="0" xfId="0" applyAlignment="1" applyBorder="1" applyFont="1">
      <alignment horizontal="center" readingOrder="0" vertical="bottom"/>
    </xf>
    <xf borderId="3" fillId="2" fontId="1" numFmtId="0" xfId="0" applyAlignment="1" applyBorder="1" applyFont="1">
      <alignment horizontal="center" readingOrder="0" vertical="bottom"/>
    </xf>
    <xf borderId="0" fillId="18" fontId="166" numFmtId="0" xfId="0" applyAlignment="1" applyFont="1">
      <alignment vertical="bottom"/>
    </xf>
    <xf borderId="31" fillId="6" fontId="50" numFmtId="0" xfId="0" applyAlignment="1" applyBorder="1" applyFont="1">
      <alignment horizontal="center" vertical="bottom"/>
    </xf>
    <xf borderId="0" fillId="37" fontId="72" numFmtId="0" xfId="0" applyAlignment="1" applyFill="1" applyFont="1">
      <alignment vertical="bottom"/>
    </xf>
    <xf borderId="1" fillId="2" fontId="1" numFmtId="0" xfId="0" applyAlignment="1" applyBorder="1" applyFont="1">
      <alignment horizontal="right" vertical="bottom"/>
    </xf>
    <xf borderId="1" fillId="2" fontId="50" numFmtId="0" xfId="0" applyAlignment="1" applyBorder="1" applyFont="1">
      <alignment horizontal="right" vertical="bottom"/>
    </xf>
    <xf borderId="1" fillId="2" fontId="1" numFmtId="0" xfId="0" applyAlignment="1" applyBorder="1" applyFont="1">
      <alignment horizontal="right" vertical="bottom"/>
    </xf>
    <xf borderId="1" fillId="2" fontId="1" numFmtId="9" xfId="0" applyAlignment="1" applyBorder="1" applyFont="1" applyNumberFormat="1">
      <alignment vertical="bottom"/>
    </xf>
    <xf borderId="0" fillId="2" fontId="1" numFmtId="9" xfId="0" applyAlignment="1" applyFont="1" applyNumberFormat="1">
      <alignment vertical="bottom"/>
    </xf>
    <xf borderId="53" fillId="2" fontId="3" numFmtId="0" xfId="0" applyBorder="1" applyFont="1"/>
    <xf borderId="124" fillId="0" fontId="1" numFmtId="0" xfId="0" applyAlignment="1" applyBorder="1" applyFont="1">
      <alignment vertical="bottom"/>
    </xf>
    <xf borderId="125" fillId="0" fontId="1" numFmtId="0" xfId="0" applyAlignment="1" applyBorder="1" applyFont="1">
      <alignment vertical="bottom"/>
    </xf>
    <xf borderId="126" fillId="17" fontId="1" numFmtId="0" xfId="0" applyAlignment="1" applyBorder="1" applyFont="1">
      <alignment horizontal="center" vertical="bottom"/>
    </xf>
    <xf borderId="127" fillId="17" fontId="1" numFmtId="0" xfId="0" applyAlignment="1" applyBorder="1" applyFont="1">
      <alignment horizontal="center" vertical="bottom"/>
    </xf>
    <xf borderId="127" fillId="19" fontId="1" numFmtId="0" xfId="0" applyAlignment="1" applyBorder="1" applyFont="1">
      <alignment horizontal="center" vertical="bottom"/>
    </xf>
    <xf borderId="127" fillId="17" fontId="1" numFmtId="0" xfId="0" applyAlignment="1" applyBorder="1" applyFont="1">
      <alignment horizontal="center" vertical="bottom"/>
    </xf>
    <xf borderId="127" fillId="19" fontId="1" numFmtId="0" xfId="0" applyAlignment="1" applyBorder="1" applyFont="1">
      <alignment horizontal="center" vertical="bottom"/>
    </xf>
    <xf borderId="125" fillId="17" fontId="1" numFmtId="0" xfId="0" applyAlignment="1" applyBorder="1" applyFont="1">
      <alignment horizontal="center" vertical="bottom"/>
    </xf>
    <xf borderId="126" fillId="6" fontId="50" numFmtId="0" xfId="0" applyAlignment="1" applyBorder="1" applyFont="1">
      <alignment horizontal="center" vertical="bottom"/>
    </xf>
    <xf borderId="127" fillId="6" fontId="50" numFmtId="0" xfId="0" applyAlignment="1" applyBorder="1" applyFont="1">
      <alignment horizontal="center" vertical="bottom"/>
    </xf>
    <xf borderId="127" fillId="6" fontId="50" numFmtId="0" xfId="0" applyAlignment="1" applyBorder="1" applyFont="1">
      <alignment horizontal="center" vertical="bottom"/>
    </xf>
    <xf borderId="125" fillId="6" fontId="50" numFmtId="0" xfId="0" applyAlignment="1" applyBorder="1" applyFont="1">
      <alignment horizontal="center" vertical="bottom"/>
    </xf>
    <xf borderId="127" fillId="19" fontId="1" numFmtId="0" xfId="0" applyAlignment="1" applyBorder="1" applyFont="1">
      <alignment horizontal="center" vertical="bottom"/>
    </xf>
    <xf borderId="125" fillId="19" fontId="1" numFmtId="0" xfId="0" applyAlignment="1" applyBorder="1" applyFont="1">
      <alignment horizontal="center" vertical="bottom"/>
    </xf>
    <xf borderId="126" fillId="6" fontId="50" numFmtId="0" xfId="0" applyAlignment="1" applyBorder="1" applyFont="1">
      <alignment horizontal="center" vertical="bottom"/>
    </xf>
    <xf borderId="124" fillId="2" fontId="179" numFmtId="0" xfId="0" applyAlignment="1" applyBorder="1" applyFont="1">
      <alignment horizontal="center" vertical="bottom"/>
    </xf>
    <xf borderId="125" fillId="0" fontId="3" numFmtId="0" xfId="0" applyBorder="1" applyFont="1"/>
    <xf borderId="127" fillId="0" fontId="3" numFmtId="0" xfId="0" applyBorder="1" applyFont="1"/>
    <xf borderId="0" fillId="11" fontId="158" numFmtId="0" xfId="0" applyAlignment="1" applyFont="1">
      <alignment vertical="bottom"/>
    </xf>
    <xf borderId="127" fillId="33" fontId="1" numFmtId="0" xfId="0" applyAlignment="1" applyBorder="1" applyFont="1">
      <alignment horizontal="center" vertical="bottom"/>
    </xf>
    <xf borderId="125" fillId="2" fontId="179" numFmtId="0" xfId="0" applyAlignment="1" applyBorder="1" applyFont="1">
      <alignment horizontal="center" vertical="bottom"/>
    </xf>
    <xf borderId="1" fillId="2" fontId="179" numFmtId="0" xfId="0" applyAlignment="1" applyBorder="1" applyFont="1">
      <alignment horizontal="center" vertical="bottom"/>
    </xf>
    <xf borderId="0" fillId="2" fontId="179" numFmtId="0" xfId="0" applyAlignment="1" applyFont="1">
      <alignment horizontal="center" vertical="bottom"/>
    </xf>
    <xf borderId="128" fillId="19" fontId="1" numFmtId="0" xfId="0" applyAlignment="1" applyBorder="1" applyFont="1">
      <alignment horizontal="center" vertical="bottom"/>
    </xf>
    <xf borderId="128" fillId="17" fontId="1" numFmtId="0" xfId="0" applyAlignment="1" applyBorder="1" applyFont="1">
      <alignment horizontal="center" vertical="bottom"/>
    </xf>
    <xf borderId="128" fillId="17" fontId="1" numFmtId="0" xfId="0" applyAlignment="1" applyBorder="1" applyFont="1">
      <alignment horizontal="center" vertical="bottom"/>
    </xf>
    <xf borderId="128" fillId="19" fontId="1" numFmtId="0" xfId="0" applyAlignment="1" applyBorder="1" applyFont="1">
      <alignment horizontal="center" vertical="bottom"/>
    </xf>
    <xf borderId="128" fillId="33" fontId="1" numFmtId="0" xfId="0" applyAlignment="1" applyBorder="1" applyFont="1">
      <alignment horizontal="center" vertical="bottom"/>
    </xf>
    <xf borderId="0" fillId="19" fontId="1" numFmtId="0" xfId="0" applyAlignment="1" applyFont="1">
      <alignment horizontal="center" vertical="bottom"/>
    </xf>
    <xf borderId="0" fillId="5" fontId="153" numFmtId="0" xfId="0" applyAlignment="1" applyFont="1">
      <alignment vertical="bottom"/>
    </xf>
    <xf borderId="125" fillId="6" fontId="50" numFmtId="0" xfId="0" applyAlignment="1" applyBorder="1" applyFont="1">
      <alignment horizontal="center" vertical="bottom"/>
    </xf>
    <xf borderId="48" fillId="2" fontId="179" numFmtId="0" xfId="0" applyAlignment="1" applyBorder="1" applyFont="1">
      <alignment horizontal="center" vertical="bottom"/>
    </xf>
    <xf borderId="129" fillId="0" fontId="3" numFmtId="0" xfId="0" applyBorder="1" applyFont="1"/>
    <xf borderId="127" fillId="33" fontId="1" numFmtId="0" xfId="0" applyAlignment="1" applyBorder="1" applyFont="1">
      <alignment horizontal="center" vertical="bottom"/>
    </xf>
    <xf borderId="0" fillId="38" fontId="180" numFmtId="0" xfId="0" applyAlignment="1" applyFill="1" applyFont="1">
      <alignment vertical="bottom"/>
    </xf>
    <xf borderId="0" fillId="38" fontId="181" numFmtId="0" xfId="0" applyAlignment="1" applyFont="1">
      <alignment vertical="bottom"/>
    </xf>
    <xf borderId="130" fillId="19" fontId="1" numFmtId="0" xfId="0" applyAlignment="1" applyBorder="1" applyFont="1">
      <alignment horizontal="center" vertical="bottom"/>
    </xf>
    <xf borderId="128" fillId="33" fontId="1" numFmtId="0" xfId="0" applyAlignment="1" applyBorder="1" applyFont="1">
      <alignment horizontal="center" vertical="bottom"/>
    </xf>
    <xf borderId="48" fillId="2" fontId="179" numFmtId="0" xfId="0" applyAlignment="1" applyBorder="1" applyFont="1">
      <alignment horizontal="center" vertical="bottom"/>
    </xf>
    <xf borderId="126" fillId="19" fontId="1" numFmtId="0" xfId="0" applyAlignment="1" applyBorder="1" applyFont="1">
      <alignment horizontal="center" vertical="bottom"/>
    </xf>
    <xf borderId="125" fillId="17" fontId="1" numFmtId="0" xfId="0" applyAlignment="1" applyBorder="1" applyFont="1">
      <alignment horizontal="center" vertical="bottom"/>
    </xf>
    <xf borderId="86" fillId="27" fontId="72" numFmtId="0" xfId="0" applyAlignment="1" applyBorder="1" applyFont="1">
      <alignment vertical="bottom"/>
    </xf>
    <xf borderId="128" fillId="6" fontId="50" numFmtId="0" xfId="0" applyAlignment="1" applyBorder="1" applyFont="1">
      <alignment horizontal="center" vertical="bottom"/>
    </xf>
    <xf borderId="0" fillId="6" fontId="50" numFmtId="0" xfId="0" applyAlignment="1" applyFont="1">
      <alignment horizontal="center" vertical="bottom"/>
    </xf>
    <xf borderId="0" fillId="18" fontId="182" numFmtId="0" xfId="0" applyAlignment="1" applyFont="1">
      <alignment vertical="bottom"/>
    </xf>
    <xf borderId="130" fillId="17" fontId="1" numFmtId="0" xfId="0" applyAlignment="1" applyBorder="1" applyFont="1">
      <alignment horizontal="center" vertical="bottom"/>
    </xf>
    <xf borderId="0" fillId="17" fontId="1" numFmtId="0" xfId="0" applyAlignment="1" applyFont="1">
      <alignment horizontal="center" vertical="bottom"/>
    </xf>
    <xf borderId="48" fillId="2" fontId="3" numFmtId="0" xfId="0" applyAlignment="1" applyBorder="1" applyFont="1">
      <alignment horizontal="center" readingOrder="0"/>
    </xf>
    <xf borderId="48" fillId="2" fontId="183" numFmtId="0" xfId="0" applyAlignment="1" applyBorder="1" applyFont="1">
      <alignment horizontal="center"/>
    </xf>
    <xf borderId="126" fillId="17" fontId="1" numFmtId="0" xfId="0" applyAlignment="1" applyBorder="1" applyFont="1">
      <alignment horizontal="center" vertical="bottom"/>
    </xf>
    <xf borderId="0" fillId="17" fontId="1" numFmtId="0" xfId="0" applyAlignment="1" applyFont="1">
      <alignment horizontal="center" vertical="bottom"/>
    </xf>
    <xf borderId="0" fillId="18" fontId="167" numFmtId="0" xfId="0" applyAlignment="1" applyFont="1">
      <alignment vertical="bottom"/>
    </xf>
    <xf borderId="125" fillId="33" fontId="1" numFmtId="0" xfId="0" applyAlignment="1" applyBorder="1" applyFont="1">
      <alignment horizontal="center" vertical="bottom"/>
    </xf>
    <xf borderId="30" fillId="2" fontId="3" numFmtId="0" xfId="0" applyAlignment="1" applyBorder="1" applyFont="1">
      <alignment horizontal="center" readingOrder="0"/>
    </xf>
    <xf borderId="131" fillId="17" fontId="1" numFmtId="0" xfId="0" applyAlignment="1" applyBorder="1" applyFont="1">
      <alignment horizontal="center" vertical="bottom"/>
    </xf>
    <xf borderId="125" fillId="33" fontId="1" numFmtId="0" xfId="0" applyAlignment="1" applyBorder="1" applyFont="1">
      <alignment horizontal="center" vertical="bottom"/>
    </xf>
    <xf borderId="0" fillId="28" fontId="184" numFmtId="0" xfId="0" applyAlignment="1" applyFont="1">
      <alignment vertical="bottom"/>
    </xf>
    <xf borderId="0" fillId="28" fontId="185" numFmtId="0" xfId="0" applyAlignment="1" applyFont="1">
      <alignment vertical="bottom"/>
    </xf>
    <xf borderId="0" fillId="37" fontId="98" numFmtId="0" xfId="0" applyAlignment="1" applyFont="1">
      <alignment vertical="bottom"/>
    </xf>
    <xf borderId="116" fillId="15" fontId="183" numFmtId="0" xfId="0" applyAlignment="1" applyBorder="1" applyFont="1">
      <alignment horizontal="center"/>
    </xf>
    <xf borderId="0" fillId="21" fontId="1" numFmtId="0" xfId="0" applyAlignment="1" applyFont="1">
      <alignment vertical="bottom"/>
    </xf>
    <xf borderId="0" fillId="0" fontId="1" numFmtId="0" xfId="0" applyAlignment="1" applyFont="1">
      <alignment vertical="bottom"/>
    </xf>
    <xf borderId="0" fillId="15" fontId="72" numFmtId="0" xfId="0" applyAlignment="1" applyFont="1">
      <alignment vertical="bottom"/>
    </xf>
    <xf borderId="30" fillId="0" fontId="1" numFmtId="9" xfId="0" applyAlignment="1" applyBorder="1" applyFont="1" applyNumberFormat="1">
      <alignment vertical="bottom"/>
    </xf>
    <xf borderId="31" fillId="0" fontId="1" numFmtId="9" xfId="0" applyAlignment="1" applyBorder="1" applyFont="1" applyNumberFormat="1">
      <alignment vertical="bottom"/>
    </xf>
    <xf borderId="3" fillId="2" fontId="1" numFmtId="9" xfId="0" applyAlignment="1" applyBorder="1" applyFont="1" applyNumberFormat="1">
      <alignment vertical="bottom"/>
    </xf>
    <xf borderId="101" fillId="15" fontId="98" numFmtId="0" xfId="0" applyAlignment="1" applyBorder="1" applyFont="1">
      <alignment horizontal="center" vertical="center"/>
    </xf>
    <xf borderId="0" fillId="11" fontId="72" numFmtId="0" xfId="0" applyAlignment="1" applyFont="1">
      <alignment vertical="bottom"/>
    </xf>
    <xf borderId="21" fillId="19" fontId="1" numFmtId="0" xfId="0" applyAlignment="1" applyBorder="1" applyFont="1">
      <alignment horizontal="center" vertical="bottom"/>
    </xf>
    <xf borderId="22" fillId="17" fontId="1" numFmtId="0" xfId="0" applyAlignment="1" applyBorder="1" applyFont="1">
      <alignment horizontal="center" vertical="bottom"/>
    </xf>
    <xf borderId="22" fillId="19" fontId="1" numFmtId="0" xfId="0" applyAlignment="1" applyBorder="1" applyFont="1">
      <alignment horizontal="center" vertical="bottom"/>
    </xf>
    <xf borderId="22" fillId="33" fontId="1" numFmtId="0" xfId="0" applyAlignment="1" applyBorder="1" applyFont="1">
      <alignment horizontal="center" vertical="bottom"/>
    </xf>
    <xf borderId="22" fillId="6" fontId="50" numFmtId="0" xfId="0" applyAlignment="1" applyBorder="1" applyFont="1">
      <alignment horizontal="center" vertical="bottom"/>
    </xf>
    <xf borderId="31" fillId="17" fontId="1" numFmtId="0" xfId="0" applyAlignment="1" applyBorder="1" applyFont="1">
      <alignment horizontal="center" vertical="bottom"/>
    </xf>
    <xf borderId="0" fillId="11" fontId="98" numFmtId="0" xfId="0" applyAlignment="1" applyFont="1">
      <alignment vertical="bottom"/>
    </xf>
    <xf borderId="21" fillId="19" fontId="1" numFmtId="0" xfId="0" applyAlignment="1" applyBorder="1" applyFont="1">
      <alignment horizontal="center" vertical="bottom"/>
    </xf>
    <xf borderId="22" fillId="17" fontId="1" numFmtId="0" xfId="0" applyAlignment="1" applyBorder="1" applyFont="1">
      <alignment horizontal="center" vertical="bottom"/>
    </xf>
    <xf borderId="22" fillId="19" fontId="1" numFmtId="0" xfId="0" applyAlignment="1" applyBorder="1" applyFont="1">
      <alignment horizontal="center" vertical="bottom"/>
    </xf>
    <xf borderId="22" fillId="33" fontId="1" numFmtId="0" xfId="0" applyAlignment="1" applyBorder="1" applyFont="1">
      <alignment horizontal="center" vertical="bottom"/>
    </xf>
    <xf borderId="31" fillId="17" fontId="1" numFmtId="0" xfId="0" applyAlignment="1" applyBorder="1" applyFont="1">
      <alignment horizontal="center" vertical="bottom"/>
    </xf>
    <xf borderId="44" fillId="19" fontId="1" numFmtId="0" xfId="0" applyAlignment="1" applyBorder="1" applyFont="1">
      <alignment horizontal="center" vertical="bottom"/>
    </xf>
    <xf borderId="33" fillId="17" fontId="1" numFmtId="0" xfId="0" applyAlignment="1" applyBorder="1" applyFont="1">
      <alignment horizontal="center" vertical="bottom"/>
    </xf>
    <xf borderId="33" fillId="19" fontId="1" numFmtId="0" xfId="0" applyAlignment="1" applyBorder="1" applyFont="1">
      <alignment horizontal="center" vertical="bottom"/>
    </xf>
    <xf borderId="0" fillId="17" fontId="1" numFmtId="0" xfId="0" applyAlignment="1" applyFont="1">
      <alignment horizontal="center" vertical="bottom"/>
    </xf>
    <xf borderId="0" fillId="28" fontId="184" numFmtId="0" xfId="0" applyAlignment="1" applyFont="1">
      <alignment vertical="bottom"/>
    </xf>
    <xf borderId="0" fillId="28" fontId="185" numFmtId="0" xfId="0" applyAlignment="1" applyFont="1">
      <alignment vertical="bottom"/>
    </xf>
    <xf borderId="0" fillId="28" fontId="186" numFmtId="0" xfId="0" applyAlignment="1" applyFont="1">
      <alignment vertical="bottom"/>
    </xf>
    <xf borderId="120" fillId="2" fontId="3" numFmtId="0" xfId="0" applyAlignment="1" applyBorder="1" applyFont="1">
      <alignment horizontal="center" readingOrder="0"/>
    </xf>
    <xf borderId="3" fillId="2" fontId="3" numFmtId="0" xfId="0" applyAlignment="1" applyBorder="1" applyFont="1">
      <alignment horizontal="center" readingOrder="0"/>
    </xf>
    <xf borderId="1" fillId="2" fontId="3" numFmtId="0" xfId="0" applyAlignment="1" applyBorder="1" applyFont="1">
      <alignment horizontal="center" readingOrder="0"/>
    </xf>
    <xf borderId="53" fillId="2" fontId="3" numFmtId="0" xfId="0" applyAlignment="1" applyBorder="1" applyFont="1">
      <alignment horizontal="center" readingOrder="0"/>
    </xf>
    <xf borderId="132" fillId="0" fontId="3" numFmtId="0" xfId="0" applyBorder="1" applyFont="1"/>
    <xf borderId="0" fillId="37" fontId="72" numFmtId="0" xfId="0" applyAlignment="1" applyFont="1">
      <alignment vertical="bottom"/>
    </xf>
    <xf borderId="86" fillId="37" fontId="98" numFmtId="0" xfId="0" applyAlignment="1" applyBorder="1" applyFont="1">
      <alignment vertical="bottom"/>
    </xf>
    <xf borderId="31" fillId="19" fontId="1" numFmtId="0" xfId="0" applyAlignment="1" applyBorder="1" applyFont="1">
      <alignment horizontal="center" vertical="bottom"/>
    </xf>
    <xf borderId="0" fillId="25" fontId="103" numFmtId="0" xfId="0" applyAlignment="1" applyFont="1">
      <alignment vertical="bottom"/>
    </xf>
    <xf borderId="0" fillId="25" fontId="163" numFmtId="0" xfId="0" applyAlignment="1" applyFont="1">
      <alignment vertical="bottom"/>
    </xf>
    <xf borderId="0" fillId="18" fontId="165" numFmtId="0" xfId="0" applyAlignment="1" applyFont="1">
      <alignment vertical="bottom"/>
    </xf>
    <xf borderId="51" fillId="2" fontId="3" numFmtId="0" xfId="0" applyAlignment="1" applyBorder="1" applyFont="1">
      <alignment horizontal="center" readingOrder="0"/>
    </xf>
    <xf borderId="0" fillId="18" fontId="166" numFmtId="0" xfId="0" applyAlignment="1" applyFont="1">
      <alignment vertical="bottom"/>
    </xf>
    <xf borderId="31" fillId="33" fontId="1" numFmtId="0" xfId="0" applyAlignment="1" applyBorder="1" applyFont="1">
      <alignment horizontal="center" vertical="bottom"/>
    </xf>
    <xf borderId="0" fillId="34" fontId="72" numFmtId="0" xfId="0" applyAlignment="1" applyFont="1">
      <alignment vertical="bottom"/>
    </xf>
    <xf borderId="21" fillId="17" fontId="1" numFmtId="0" xfId="0" applyAlignment="1" applyBorder="1" applyFont="1">
      <alignment horizontal="center" vertical="bottom"/>
    </xf>
    <xf borderId="0" fillId="34" fontId="98" numFmtId="0" xfId="0" applyAlignment="1" applyFont="1">
      <alignment vertical="bottom"/>
    </xf>
    <xf borderId="21" fillId="17" fontId="1" numFmtId="0" xfId="0" applyAlignment="1" applyBorder="1" applyFont="1">
      <alignment horizontal="center" vertical="bottom"/>
    </xf>
    <xf borderId="21" fillId="33" fontId="1" numFmtId="0" xfId="0" applyAlignment="1" applyBorder="1" applyFont="1">
      <alignment horizontal="center" vertical="bottom"/>
    </xf>
    <xf borderId="0" fillId="5" fontId="34" numFmtId="0" xfId="0" applyAlignment="1" applyFont="1">
      <alignment vertical="bottom"/>
    </xf>
    <xf borderId="0" fillId="5" fontId="1" numFmtId="0" xfId="0" applyAlignment="1" applyFont="1">
      <alignment vertical="bottom"/>
    </xf>
    <xf borderId="86" fillId="27" fontId="72" numFmtId="0" xfId="0" applyAlignment="1" applyBorder="1" applyFont="1">
      <alignment vertical="bottom"/>
    </xf>
    <xf borderId="0" fillId="15" fontId="183" numFmtId="0" xfId="0" applyAlignment="1" applyFont="1">
      <alignment readingOrder="0"/>
    </xf>
    <xf borderId="133" fillId="15" fontId="3" numFmtId="0" xfId="0" applyAlignment="1" applyBorder="1" applyFont="1">
      <alignment horizontal="center" readingOrder="0"/>
    </xf>
    <xf borderId="134" fillId="0" fontId="3" numFmtId="0" xfId="0" applyBorder="1" applyFont="1"/>
    <xf borderId="1" fillId="2" fontId="50" numFmtId="0" xfId="0" applyAlignment="1" applyBorder="1" applyFont="1">
      <alignment horizontal="right" vertical="bottom"/>
    </xf>
    <xf borderId="113" fillId="2" fontId="3" numFmtId="0" xfId="0" applyAlignment="1" applyBorder="1" applyFont="1">
      <alignment horizontal="center" readingOrder="0"/>
    </xf>
    <xf borderId="0" fillId="2" fontId="3" numFmtId="0" xfId="0" applyAlignment="1" applyFont="1">
      <alignment horizontal="center" readingOrder="0"/>
    </xf>
    <xf borderId="124" fillId="15" fontId="3" numFmtId="0" xfId="0" applyAlignment="1" applyBorder="1" applyFont="1">
      <alignment horizontal="center" readingOrder="0"/>
    </xf>
    <xf borderId="123" fillId="0" fontId="1" numFmtId="0" xfId="0" applyBorder="1" applyFont="1"/>
    <xf borderId="105" fillId="2" fontId="3" numFmtId="0" xfId="0" applyBorder="1" applyFont="1"/>
    <xf borderId="124" fillId="0" fontId="1" numFmtId="9" xfId="0" applyAlignment="1" applyBorder="1" applyFont="1" applyNumberFormat="1">
      <alignment vertical="bottom"/>
    </xf>
    <xf borderId="125" fillId="0" fontId="1" numFmtId="9" xfId="0" applyAlignment="1" applyBorder="1" applyFont="1" applyNumberFormat="1">
      <alignment vertical="bottom"/>
    </xf>
    <xf borderId="135" fillId="0" fontId="1" numFmtId="9" xfId="0" applyAlignment="1" applyBorder="1" applyFont="1" applyNumberFormat="1">
      <alignment vertical="bottom"/>
    </xf>
    <xf borderId="101" fillId="15" fontId="98" numFmtId="0" xfId="0" applyAlignment="1" applyBorder="1" applyFont="1">
      <alignment horizontal="center" vertical="center"/>
    </xf>
    <xf borderId="0" fillId="28" fontId="184" numFmtId="0" xfId="0" applyAlignment="1" applyFont="1">
      <alignment vertical="bottom"/>
    </xf>
    <xf borderId="126" fillId="33" fontId="1" numFmtId="0" xfId="0" applyAlignment="1" applyBorder="1" applyFont="1">
      <alignment horizontal="center" vertical="bottom"/>
    </xf>
    <xf borderId="127" fillId="33" fontId="1" numFmtId="0" xfId="0" applyAlignment="1" applyBorder="1" applyFont="1">
      <alignment horizontal="center" vertical="bottom"/>
    </xf>
    <xf borderId="127" fillId="17" fontId="1" numFmtId="0" xfId="0" applyAlignment="1" applyBorder="1" applyFont="1">
      <alignment horizontal="center" vertical="bottom"/>
    </xf>
    <xf borderId="131" fillId="33" fontId="1" numFmtId="0" xfId="0" applyAlignment="1" applyBorder="1" applyFont="1">
      <alignment horizontal="center" vertical="bottom"/>
    </xf>
    <xf borderId="126" fillId="17" fontId="1" numFmtId="0" xfId="0" applyAlignment="1" applyBorder="1" applyFont="1">
      <alignment horizontal="center" vertical="bottom"/>
    </xf>
    <xf borderId="131" fillId="19" fontId="1" numFmtId="0" xfId="0" applyAlignment="1" applyBorder="1" applyFont="1">
      <alignment horizontal="center" vertical="bottom"/>
    </xf>
    <xf borderId="126" fillId="0" fontId="50" numFmtId="0" xfId="0" applyAlignment="1" applyBorder="1" applyFont="1">
      <alignment horizontal="center" vertical="bottom"/>
    </xf>
    <xf borderId="127" fillId="0" fontId="50" numFmtId="0" xfId="0" applyAlignment="1" applyBorder="1" applyFont="1">
      <alignment horizontal="center" vertical="bottom"/>
    </xf>
    <xf borderId="127" fillId="17" fontId="1" numFmtId="0" xfId="0" applyAlignment="1" applyBorder="1" applyFont="1">
      <alignment horizontal="center" vertical="bottom"/>
    </xf>
    <xf borderId="131" fillId="17" fontId="1" numFmtId="0" xfId="0" applyAlignment="1" applyBorder="1" applyFont="1">
      <alignment horizontal="center" vertical="bottom"/>
    </xf>
    <xf borderId="22" fillId="0" fontId="50" numFmtId="0" xfId="0" applyAlignment="1" applyBorder="1" applyFont="1">
      <alignment horizontal="center" vertical="bottom"/>
    </xf>
    <xf borderId="31" fillId="0" fontId="50" numFmtId="0" xfId="0" applyAlignment="1" applyBorder="1" applyFont="1">
      <alignment horizontal="center" vertical="bottom"/>
    </xf>
    <xf borderId="131" fillId="17" fontId="1" numFmtId="0" xfId="0" applyAlignment="1" applyBorder="1" applyFont="1">
      <alignment horizontal="center" vertical="bottom"/>
    </xf>
    <xf borderId="31" fillId="19" fontId="1" numFmtId="0" xfId="0" applyAlignment="1" applyBorder="1" applyFont="1">
      <alignment horizontal="center" vertical="bottom"/>
    </xf>
    <xf borderId="126" fillId="0" fontId="50" numFmtId="0" xfId="0" applyAlignment="1" applyBorder="1" applyFont="1">
      <alignment horizontal="center" vertical="bottom"/>
    </xf>
    <xf borderId="127" fillId="0" fontId="50" numFmtId="0" xfId="0" applyAlignment="1" applyBorder="1" applyFont="1">
      <alignment horizontal="center" vertical="bottom"/>
    </xf>
    <xf borderId="126" fillId="19" fontId="1" numFmtId="0" xfId="0" applyAlignment="1" applyBorder="1" applyFont="1">
      <alignment horizontal="center" vertical="bottom"/>
    </xf>
    <xf borderId="130" fillId="0" fontId="50" numFmtId="0" xfId="0" applyAlignment="1" applyBorder="1" applyFont="1">
      <alignment horizontal="center" vertical="bottom"/>
    </xf>
    <xf borderId="128" fillId="0" fontId="50" numFmtId="0" xfId="0" applyAlignment="1" applyBorder="1" applyFont="1">
      <alignment horizontal="center" vertical="bottom"/>
    </xf>
    <xf borderId="128" fillId="17" fontId="1" numFmtId="0" xfId="0" applyAlignment="1" applyBorder="1" applyFont="1">
      <alignment horizontal="center" vertical="bottom"/>
    </xf>
    <xf borderId="33" fillId="19" fontId="1" numFmtId="0" xfId="0" applyAlignment="1" applyBorder="1" applyFont="1">
      <alignment horizontal="center" vertical="bottom"/>
    </xf>
    <xf borderId="22" fillId="0" fontId="50" numFmtId="0" xfId="0" applyAlignment="1" applyBorder="1" applyFont="1">
      <alignment horizontal="center" vertical="bottom"/>
    </xf>
    <xf borderId="120" fillId="2" fontId="179" numFmtId="0" xfId="0" applyAlignment="1" applyBorder="1" applyFont="1">
      <alignment horizontal="center" vertical="bottom"/>
    </xf>
    <xf borderId="73" fillId="19" fontId="1" numFmtId="0" xfId="0" applyAlignment="1" applyBorder="1" applyFont="1">
      <alignment horizontal="center" vertical="bottom"/>
    </xf>
    <xf borderId="73" fillId="33" fontId="1" numFmtId="0" xfId="0" applyAlignment="1" applyBorder="1" applyFont="1">
      <alignment horizontal="center" vertical="bottom"/>
    </xf>
    <xf borderId="73" fillId="33" fontId="1" numFmtId="0" xfId="0" applyAlignment="1" applyBorder="1" applyFont="1">
      <alignment horizontal="center" vertical="bottom"/>
    </xf>
    <xf borderId="73" fillId="19" fontId="1" numFmtId="0" xfId="0" applyAlignment="1" applyBorder="1" applyFont="1">
      <alignment horizontal="center" vertical="bottom"/>
    </xf>
    <xf borderId="0" fillId="37" fontId="98" numFmtId="0" xfId="0" applyAlignment="1" applyFont="1">
      <alignment vertical="bottom"/>
    </xf>
    <xf borderId="30" fillId="2" fontId="3" numFmtId="0" xfId="0" applyBorder="1" applyFont="1"/>
    <xf borderId="0" fillId="37" fontId="157" numFmtId="0" xfId="0" applyAlignment="1" applyFont="1">
      <alignment vertical="bottom"/>
    </xf>
    <xf borderId="21" fillId="0" fontId="50" numFmtId="0" xfId="0" applyAlignment="1" applyBorder="1" applyFont="1">
      <alignment horizontal="center" vertical="bottom"/>
    </xf>
    <xf borderId="103" fillId="2" fontId="3" numFmtId="0" xfId="0" applyBorder="1" applyFont="1"/>
    <xf borderId="86" fillId="37" fontId="158" numFmtId="0" xfId="0" applyAlignment="1" applyBorder="1" applyFont="1">
      <alignment vertical="bottom"/>
    </xf>
    <xf borderId="136" fillId="2" fontId="3" numFmtId="0" xfId="0" applyBorder="1" applyFont="1"/>
    <xf borderId="136" fillId="0" fontId="3" numFmtId="0" xfId="0" applyBorder="1" applyFont="1"/>
    <xf borderId="137" fillId="17" fontId="1" numFmtId="0" xfId="0" applyAlignment="1" applyBorder="1" applyFont="1">
      <alignment horizontal="center" vertical="bottom"/>
    </xf>
    <xf borderId="22" fillId="33" fontId="1" numFmtId="0" xfId="0" applyAlignment="1" applyBorder="1" applyFont="1">
      <alignment horizontal="center" vertical="bottom"/>
    </xf>
    <xf borderId="31" fillId="33" fontId="1" numFmtId="0" xfId="0" applyAlignment="1" applyBorder="1" applyFont="1">
      <alignment horizontal="center" vertical="bottom"/>
    </xf>
    <xf borderId="0" fillId="34" fontId="157" numFmtId="0" xfId="0" applyAlignment="1" applyFont="1">
      <alignment vertical="bottom"/>
    </xf>
    <xf borderId="131" fillId="19" fontId="1" numFmtId="0" xfId="0" applyAlignment="1" applyBorder="1" applyFont="1">
      <alignment horizontal="center" vertical="bottom"/>
    </xf>
    <xf borderId="138" fillId="2" fontId="3" numFmtId="0" xfId="0" applyBorder="1" applyFont="1"/>
    <xf borderId="137" fillId="19" fontId="1" numFmtId="0" xfId="0" applyAlignment="1" applyBorder="1" applyFont="1">
      <alignment horizontal="center" vertical="bottom"/>
    </xf>
    <xf borderId="139" fillId="17" fontId="1" numFmtId="0" xfId="0" applyAlignment="1" applyBorder="1" applyFont="1">
      <alignment horizontal="center" vertical="bottom"/>
    </xf>
    <xf borderId="139" fillId="17" fontId="1" numFmtId="0" xfId="0" applyAlignment="1" applyBorder="1" applyFont="1">
      <alignment horizontal="center" vertical="bottom"/>
    </xf>
    <xf borderId="139" fillId="19" fontId="1" numFmtId="0" xfId="0" applyAlignment="1" applyBorder="1" applyFont="1">
      <alignment horizontal="center" vertical="bottom"/>
    </xf>
    <xf borderId="0" fillId="11" fontId="157" numFmtId="0" xfId="0" applyAlignment="1" applyFont="1">
      <alignment vertical="bottom"/>
    </xf>
    <xf borderId="33" fillId="0" fontId="50" numFmtId="0" xfId="0" applyAlignment="1" applyBorder="1" applyFont="1">
      <alignment horizontal="center" vertical="bottom"/>
    </xf>
    <xf borderId="0" fillId="3" fontId="187" numFmtId="0" xfId="0" applyAlignment="1" applyFont="1">
      <alignment vertical="bottom"/>
    </xf>
    <xf borderId="0" fillId="3" fontId="188" numFmtId="0" xfId="0" applyAlignment="1" applyFont="1">
      <alignment vertical="bottom"/>
    </xf>
    <xf borderId="51" fillId="2" fontId="3" numFmtId="0" xfId="0" applyBorder="1" applyFont="1"/>
    <xf borderId="0" fillId="5" fontId="1" numFmtId="0" xfId="0" applyAlignment="1" applyFont="1">
      <alignment vertical="bottom"/>
    </xf>
    <xf borderId="126" fillId="19" fontId="1" numFmtId="0" xfId="0" applyAlignment="1" applyBorder="1" applyFont="1">
      <alignment horizontal="center" vertical="bottom"/>
    </xf>
    <xf borderId="0" fillId="5" fontId="153" numFmtId="0" xfId="0" applyAlignment="1" applyFont="1">
      <alignment vertical="bottom"/>
    </xf>
    <xf borderId="0" fillId="27" fontId="158" numFmtId="0" xfId="0" applyAlignment="1" applyFont="1">
      <alignment vertical="bottom"/>
    </xf>
    <xf borderId="127" fillId="19" fontId="1" numFmtId="0" xfId="0" applyAlignment="1" applyBorder="1" applyFont="1">
      <alignment horizontal="center" vertical="bottom"/>
    </xf>
    <xf borderId="86" fillId="12" fontId="158" numFmtId="0" xfId="0" applyAlignment="1" applyBorder="1" applyFont="1">
      <alignment vertical="bottom"/>
    </xf>
    <xf borderId="0" fillId="15" fontId="85" numFmtId="0" xfId="0" applyAlignment="1" applyFont="1">
      <alignment readingOrder="0"/>
    </xf>
    <xf borderId="140" fillId="0" fontId="3" numFmtId="0" xfId="0" applyBorder="1" applyFont="1"/>
    <xf borderId="0" fillId="18" fontId="1" numFmtId="0" xfId="0" applyAlignment="1" applyFont="1">
      <alignment vertical="bottom"/>
    </xf>
    <xf borderId="0" fillId="20" fontId="1" numFmtId="0" xfId="0" applyAlignment="1" applyFont="1">
      <alignment vertical="bottom"/>
    </xf>
    <xf borderId="0" fillId="21" fontId="1" numFmtId="0" xfId="0" applyAlignment="1" applyFont="1">
      <alignment vertical="bottom"/>
    </xf>
    <xf borderId="0" fillId="6" fontId="50" numFmtId="0" xfId="0" applyAlignment="1" applyFont="1">
      <alignment vertical="bottom"/>
    </xf>
    <xf borderId="0" fillId="22" fontId="1" numFmtId="0" xfId="0" applyAlignment="1" applyFont="1">
      <alignment vertical="bottom"/>
    </xf>
    <xf borderId="0" fillId="0" fontId="1" numFmtId="9" xfId="0" applyAlignment="1" applyFont="1" applyNumberFormat="1">
      <alignment vertical="bottom"/>
    </xf>
    <xf borderId="102" fillId="2" fontId="3" numFmtId="0" xfId="0" applyAlignment="1" applyBorder="1" applyFont="1">
      <alignment horizontal="center" readingOrder="0"/>
    </xf>
    <xf borderId="92" fillId="2" fontId="93" numFmtId="0" xfId="0" applyAlignment="1" applyBorder="1" applyFont="1">
      <alignment horizontal="center" readingOrder="0" vertical="center"/>
    </xf>
    <xf borderId="0" fillId="15" fontId="72" numFmtId="9" xfId="0" applyAlignment="1" applyFont="1" applyNumberFormat="1">
      <alignment vertical="bottom"/>
    </xf>
    <xf borderId="53" fillId="15" fontId="3" numFmtId="9" xfId="0" applyBorder="1" applyFont="1" applyNumberFormat="1"/>
    <xf borderId="0" fillId="11" fontId="72" numFmtId="9" xfId="0" applyAlignment="1" applyFont="1" applyNumberFormat="1">
      <alignment vertical="bottom"/>
    </xf>
    <xf borderId="126" fillId="19" fontId="1" numFmtId="9" xfId="0" applyAlignment="1" applyBorder="1" applyFont="1" applyNumberFormat="1">
      <alignment horizontal="center" vertical="bottom"/>
    </xf>
    <xf borderId="127" fillId="17" fontId="1" numFmtId="9" xfId="0" applyAlignment="1" applyBorder="1" applyFont="1" applyNumberFormat="1">
      <alignment horizontal="center" vertical="bottom"/>
    </xf>
    <xf borderId="127" fillId="19" fontId="1" numFmtId="9" xfId="0" applyAlignment="1" applyBorder="1" applyFont="1" applyNumberFormat="1">
      <alignment horizontal="center" vertical="bottom"/>
    </xf>
    <xf borderId="141" fillId="17" fontId="1" numFmtId="9" xfId="0" applyAlignment="1" applyBorder="1" applyFont="1" applyNumberFormat="1">
      <alignment horizontal="center" vertical="bottom"/>
    </xf>
    <xf borderId="131" fillId="19" fontId="1" numFmtId="9" xfId="0" applyAlignment="1" applyBorder="1" applyFont="1" applyNumberFormat="1">
      <alignment horizontal="center" vertical="bottom"/>
    </xf>
    <xf borderId="22" fillId="19" fontId="1" numFmtId="9" xfId="0" applyAlignment="1" applyBorder="1" applyFont="1" applyNumberFormat="1">
      <alignment horizontal="center" vertical="bottom"/>
    </xf>
    <xf borderId="22" fillId="33" fontId="1" numFmtId="9" xfId="0" applyAlignment="1" applyBorder="1" applyFont="1" applyNumberFormat="1">
      <alignment horizontal="center" vertical="bottom"/>
    </xf>
    <xf borderId="22" fillId="17" fontId="1" numFmtId="9" xfId="0" applyAlignment="1" applyBorder="1" applyFont="1" applyNumberFormat="1">
      <alignment horizontal="center" vertical="bottom"/>
    </xf>
    <xf borderId="31" fillId="17" fontId="1" numFmtId="9" xfId="0" applyAlignment="1" applyBorder="1" applyFont="1" applyNumberFormat="1">
      <alignment horizontal="center" vertical="bottom"/>
    </xf>
    <xf borderId="0" fillId="11" fontId="98" numFmtId="9" xfId="0" applyAlignment="1" applyFont="1" applyNumberFormat="1">
      <alignment vertical="bottom"/>
    </xf>
    <xf borderId="127" fillId="33" fontId="1" numFmtId="9" xfId="0" applyAlignment="1" applyBorder="1" applyFont="1" applyNumberFormat="1">
      <alignment horizontal="center" vertical="bottom"/>
    </xf>
    <xf borderId="142" fillId="17" fontId="1" numFmtId="9" xfId="0" applyAlignment="1" applyBorder="1" applyFont="1" applyNumberFormat="1">
      <alignment horizontal="center" vertical="bottom"/>
    </xf>
    <xf borderId="143" fillId="17" fontId="1" numFmtId="9" xfId="0" applyAlignment="1" applyBorder="1" applyFont="1" applyNumberFormat="1">
      <alignment horizontal="center" vertical="bottom"/>
    </xf>
    <xf borderId="131" fillId="17" fontId="1" numFmtId="9" xfId="0" applyAlignment="1" applyBorder="1" applyFont="1" applyNumberFormat="1">
      <alignment horizontal="center" vertical="bottom"/>
    </xf>
    <xf borderId="130" fillId="19" fontId="1" numFmtId="9" xfId="0" applyAlignment="1" applyBorder="1" applyFont="1" applyNumberFormat="1">
      <alignment horizontal="center" vertical="bottom"/>
    </xf>
    <xf borderId="128" fillId="0" fontId="50" numFmtId="9" xfId="0" applyAlignment="1" applyBorder="1" applyFont="1" applyNumberFormat="1">
      <alignment horizontal="center" vertical="bottom"/>
    </xf>
    <xf borderId="128" fillId="17" fontId="1" numFmtId="9" xfId="0" applyAlignment="1" applyBorder="1" applyFont="1" applyNumberFormat="1">
      <alignment horizontal="center" vertical="bottom"/>
    </xf>
    <xf borderId="128" fillId="19" fontId="1" numFmtId="9" xfId="0" applyAlignment="1" applyBorder="1" applyFont="1" applyNumberFormat="1">
      <alignment horizontal="center" vertical="bottom"/>
    </xf>
    <xf borderId="102" fillId="2" fontId="179" numFmtId="9" xfId="0" applyAlignment="1" applyBorder="1" applyFont="1" applyNumberFormat="1">
      <alignment horizontal="center" vertical="bottom"/>
    </xf>
    <xf borderId="0" fillId="0" fontId="50" numFmtId="9" xfId="0" applyAlignment="1" applyFont="1" applyNumberFormat="1">
      <alignment horizontal="center" vertical="bottom"/>
    </xf>
    <xf borderId="144" fillId="0" fontId="50" numFmtId="9" xfId="0" applyAlignment="1" applyBorder="1" applyFont="1" applyNumberFormat="1">
      <alignment horizontal="center" vertical="bottom"/>
    </xf>
    <xf borderId="33" fillId="17" fontId="1" numFmtId="9" xfId="0" applyAlignment="1" applyBorder="1" applyFont="1" applyNumberFormat="1">
      <alignment horizontal="center" vertical="bottom"/>
    </xf>
    <xf borderId="33" fillId="19" fontId="1" numFmtId="9" xfId="0" applyAlignment="1" applyBorder="1" applyFont="1" applyNumberFormat="1">
      <alignment horizontal="center" vertical="bottom"/>
    </xf>
    <xf borderId="33" fillId="33" fontId="1" numFmtId="9" xfId="0" applyAlignment="1" applyBorder="1" applyFont="1" applyNumberFormat="1">
      <alignment horizontal="center" vertical="bottom"/>
    </xf>
    <xf borderId="0" fillId="17" fontId="1" numFmtId="9" xfId="0" applyAlignment="1" applyFont="1" applyNumberFormat="1">
      <alignment horizontal="center" vertical="bottom"/>
    </xf>
    <xf borderId="0" fillId="11" fontId="157" numFmtId="9" xfId="0" applyAlignment="1" applyFont="1" applyNumberFormat="1">
      <alignment vertical="bottom"/>
    </xf>
    <xf borderId="145" fillId="19" fontId="1" numFmtId="9" xfId="0" applyAlignment="1" applyBorder="1" applyFont="1" applyNumberFormat="1">
      <alignment horizontal="center" vertical="bottom"/>
    </xf>
    <xf borderId="141" fillId="0" fontId="50" numFmtId="9" xfId="0" applyAlignment="1" applyBorder="1" applyFont="1" applyNumberFormat="1">
      <alignment horizontal="center" vertical="bottom"/>
    </xf>
    <xf borderId="141" fillId="19" fontId="1" numFmtId="9" xfId="0" applyAlignment="1" applyBorder="1" applyFont="1" applyNumberFormat="1">
      <alignment horizontal="center" vertical="bottom"/>
    </xf>
    <xf borderId="146" fillId="17" fontId="1" numFmtId="9" xfId="0" applyAlignment="1" applyBorder="1" applyFont="1" applyNumberFormat="1">
      <alignment horizontal="center" vertical="bottom"/>
    </xf>
    <xf borderId="118" fillId="2" fontId="3" numFmtId="9" xfId="0" applyBorder="1" applyFont="1" applyNumberFormat="1"/>
    <xf borderId="105" fillId="2" fontId="3" numFmtId="9" xfId="0" applyBorder="1" applyFont="1" applyNumberFormat="1"/>
    <xf borderId="127" fillId="0" fontId="50" numFmtId="9" xfId="0" applyAlignment="1" applyBorder="1" applyFont="1" applyNumberFormat="1">
      <alignment horizontal="center" vertical="bottom"/>
    </xf>
    <xf borderId="125" fillId="17" fontId="1" numFmtId="9" xfId="0" applyAlignment="1" applyBorder="1" applyFont="1" applyNumberFormat="1">
      <alignment horizontal="center" vertical="bottom"/>
    </xf>
    <xf borderId="0" fillId="28" fontId="184" numFmtId="9" xfId="0" applyAlignment="1" applyFont="1" applyNumberFormat="1">
      <alignment vertical="bottom"/>
    </xf>
    <xf borderId="0" fillId="28" fontId="185" numFmtId="9" xfId="0" applyAlignment="1" applyFont="1" applyNumberFormat="1">
      <alignment vertical="bottom"/>
    </xf>
    <xf borderId="124" fillId="2" fontId="179" numFmtId="9" xfId="0" applyAlignment="1" applyBorder="1" applyFont="1" applyNumberFormat="1">
      <alignment horizontal="center" vertical="bottom"/>
    </xf>
    <xf borderId="128" fillId="33" fontId="1" numFmtId="9" xfId="0" applyAlignment="1" applyBorder="1" applyFont="1" applyNumberFormat="1">
      <alignment horizontal="center" vertical="bottom"/>
    </xf>
    <xf borderId="128" fillId="6" fontId="50" numFmtId="9" xfId="0" applyAlignment="1" applyBorder="1" applyFont="1" applyNumberFormat="1">
      <alignment horizontal="center" vertical="bottom"/>
    </xf>
    <xf borderId="33" fillId="6" fontId="50" numFmtId="9" xfId="0" applyAlignment="1" applyBorder="1" applyFont="1" applyNumberFormat="1">
      <alignment horizontal="center" vertical="bottom"/>
    </xf>
    <xf borderId="0" fillId="6" fontId="50" numFmtId="9" xfId="0" applyAlignment="1" applyFont="1" applyNumberFormat="1">
      <alignment horizontal="center" vertical="bottom"/>
    </xf>
    <xf borderId="0" fillId="28" fontId="186" numFmtId="9" xfId="0" applyAlignment="1" applyFont="1" applyNumberFormat="1">
      <alignment vertical="bottom"/>
    </xf>
    <xf borderId="125" fillId="0" fontId="50" numFmtId="9" xfId="0" applyAlignment="1" applyBorder="1" applyFont="1" applyNumberFormat="1">
      <alignment horizontal="center" vertical="bottom"/>
    </xf>
    <xf borderId="0" fillId="37" fontId="72" numFmtId="9" xfId="0" applyAlignment="1" applyFont="1" applyNumberFormat="1">
      <alignment vertical="bottom"/>
    </xf>
    <xf borderId="0" fillId="37" fontId="98" numFmtId="9" xfId="0" applyAlignment="1" applyFont="1" applyNumberFormat="1">
      <alignment vertical="bottom"/>
    </xf>
    <xf borderId="86" fillId="37" fontId="157" numFmtId="9" xfId="0" applyAlignment="1" applyBorder="1" applyFont="1" applyNumberFormat="1">
      <alignment vertical="bottom"/>
    </xf>
    <xf borderId="125" fillId="33" fontId="1" numFmtId="9" xfId="0" applyAlignment="1" applyBorder="1" applyFont="1" applyNumberFormat="1">
      <alignment horizontal="center" vertical="bottom"/>
    </xf>
    <xf borderId="0" fillId="5" fontId="144" numFmtId="9" xfId="0" applyAlignment="1" applyFont="1" applyNumberFormat="1">
      <alignment vertical="bottom"/>
    </xf>
    <xf borderId="0" fillId="5" fontId="34" numFmtId="9" xfId="0" applyAlignment="1" applyFont="1" applyNumberFormat="1">
      <alignment vertical="bottom"/>
    </xf>
    <xf borderId="31" fillId="19" fontId="1" numFmtId="9" xfId="0" applyAlignment="1" applyBorder="1" applyFont="1" applyNumberFormat="1">
      <alignment horizontal="center" vertical="bottom"/>
    </xf>
    <xf borderId="0" fillId="5" fontId="64" numFmtId="9" xfId="0" applyAlignment="1" applyFont="1" applyNumberFormat="1">
      <alignment vertical="bottom"/>
    </xf>
    <xf borderId="0" fillId="5" fontId="1" numFmtId="9" xfId="0" applyAlignment="1" applyFont="1" applyNumberFormat="1">
      <alignment vertical="bottom"/>
    </xf>
    <xf borderId="0" fillId="25" fontId="103" numFmtId="9" xfId="0" applyAlignment="1" applyFont="1" applyNumberFormat="1">
      <alignment vertical="bottom"/>
    </xf>
    <xf borderId="0" fillId="25" fontId="163" numFmtId="9" xfId="0" applyAlignment="1" applyFont="1" applyNumberFormat="1">
      <alignment vertical="bottom"/>
    </xf>
    <xf borderId="131" fillId="33" fontId="1" numFmtId="9" xfId="0" applyAlignment="1" applyBorder="1" applyFont="1" applyNumberFormat="1">
      <alignment horizontal="center" vertical="bottom"/>
    </xf>
    <xf borderId="0" fillId="25" fontId="164" numFmtId="9" xfId="0" applyAlignment="1" applyFont="1" applyNumberFormat="1">
      <alignment vertical="bottom"/>
    </xf>
    <xf borderId="126" fillId="0" fontId="50" numFmtId="9" xfId="0" applyAlignment="1" applyBorder="1" applyFont="1" applyNumberFormat="1">
      <alignment horizontal="center" vertical="bottom"/>
    </xf>
    <xf borderId="139" fillId="0" fontId="50" numFmtId="9" xfId="0" applyAlignment="1" applyBorder="1" applyFont="1" applyNumberFormat="1">
      <alignment horizontal="center" vertical="bottom"/>
    </xf>
    <xf borderId="31" fillId="0" fontId="50" numFmtId="9" xfId="0" applyAlignment="1" applyBorder="1" applyFont="1" applyNumberFormat="1">
      <alignment horizontal="center" vertical="bottom"/>
    </xf>
    <xf borderId="0" fillId="12" fontId="72" numFmtId="9" xfId="0" applyAlignment="1" applyFont="1" applyNumberFormat="1">
      <alignment vertical="bottom"/>
    </xf>
    <xf borderId="0" fillId="12" fontId="98" numFmtId="9" xfId="0" applyAlignment="1" applyFont="1" applyNumberFormat="1">
      <alignment vertical="bottom"/>
    </xf>
    <xf borderId="0" fillId="27" fontId="72" numFmtId="9" xfId="0" applyAlignment="1" applyFont="1" applyNumberFormat="1">
      <alignment vertical="bottom"/>
    </xf>
    <xf borderId="0" fillId="19" fontId="1" numFmtId="9" xfId="0" applyAlignment="1" applyFont="1" applyNumberFormat="1">
      <alignment horizontal="center" vertical="bottom"/>
    </xf>
    <xf borderId="0" fillId="22" fontId="160" numFmtId="9" xfId="0" applyAlignment="1" applyFont="1" applyNumberFormat="1">
      <alignment vertical="bottom"/>
    </xf>
    <xf borderId="0" fillId="22" fontId="153" numFmtId="9" xfId="0" applyAlignment="1" applyFont="1" applyNumberFormat="1">
      <alignment vertical="bottom"/>
    </xf>
    <xf borderId="0" fillId="34" fontId="72" numFmtId="9" xfId="0" applyAlignment="1" applyFont="1" applyNumberFormat="1">
      <alignment vertical="bottom"/>
    </xf>
    <xf borderId="86" fillId="4" fontId="72" numFmtId="9" xfId="0" applyAlignment="1" applyBorder="1" applyFont="1" applyNumberFormat="1">
      <alignment vertical="bottom"/>
    </xf>
    <xf borderId="126" fillId="17" fontId="1" numFmtId="9" xfId="0" applyAlignment="1" applyBorder="1" applyFont="1" applyNumberFormat="1">
      <alignment horizontal="center" vertical="bottom"/>
    </xf>
    <xf borderId="0" fillId="15" fontId="3" numFmtId="9" xfId="0" applyAlignment="1" applyFont="1" applyNumberFormat="1">
      <alignment readingOrder="0"/>
    </xf>
    <xf borderId="0" fillId="18" fontId="1" numFmtId="9" xfId="0" applyAlignment="1" applyFont="1" applyNumberFormat="1">
      <alignment vertical="bottom"/>
    </xf>
    <xf borderId="0" fillId="20" fontId="1" numFmtId="9" xfId="0" applyAlignment="1" applyFont="1" applyNumberFormat="1">
      <alignment vertical="bottom"/>
    </xf>
    <xf borderId="0" fillId="21" fontId="1" numFmtId="9" xfId="0" applyAlignment="1" applyFont="1" applyNumberFormat="1">
      <alignment vertical="bottom"/>
    </xf>
    <xf borderId="0" fillId="6" fontId="50" numFmtId="9" xfId="0" applyAlignment="1" applyFont="1" applyNumberFormat="1">
      <alignment vertical="bottom"/>
    </xf>
    <xf borderId="0" fillId="22" fontId="1" numFmtId="9" xfId="0" applyAlignment="1" applyFont="1" applyNumberFormat="1">
      <alignment vertical="bottom"/>
    </xf>
    <xf borderId="0" fillId="15" fontId="98" numFmtId="0" xfId="0" applyAlignment="1" applyFont="1">
      <alignment horizontal="center" vertical="center"/>
    </xf>
    <xf borderId="106" fillId="2" fontId="3" numFmtId="0" xfId="0" applyBorder="1" applyFont="1"/>
    <xf borderId="62" fillId="15" fontId="1" numFmtId="0" xfId="0" applyAlignment="1" applyBorder="1" applyFont="1">
      <alignment vertical="bottom"/>
    </xf>
    <xf borderId="62" fillId="15" fontId="72" numFmtId="0" xfId="0" applyAlignment="1" applyBorder="1" applyFont="1">
      <alignment vertical="bottom"/>
    </xf>
    <xf borderId="147" fillId="15" fontId="1" numFmtId="0" xfId="0" applyAlignment="1" applyBorder="1" applyFont="1">
      <alignment vertical="bottom"/>
    </xf>
    <xf borderId="148" fillId="15" fontId="98" numFmtId="0" xfId="0" applyAlignment="1" applyBorder="1" applyFont="1">
      <alignment horizontal="center" readingOrder="0" vertical="bottom"/>
    </xf>
    <xf borderId="84" fillId="0" fontId="3" numFmtId="0" xfId="0" applyBorder="1" applyFont="1"/>
    <xf borderId="32" fillId="24" fontId="34" numFmtId="0" xfId="0" applyAlignment="1" applyBorder="1" applyFont="1">
      <alignment horizontal="center" readingOrder="0" vertical="bottom"/>
    </xf>
    <xf borderId="0" fillId="5" fontId="64" numFmtId="0" xfId="0" applyFont="1"/>
    <xf borderId="74" fillId="0" fontId="93" numFmtId="0" xfId="0" applyAlignment="1" applyBorder="1" applyFont="1">
      <alignment readingOrder="0"/>
    </xf>
    <xf borderId="0" fillId="11" fontId="98" numFmtId="0" xfId="0" applyFont="1"/>
    <xf borderId="87" fillId="12" fontId="72" numFmtId="0" xfId="0" applyAlignment="1" applyBorder="1" applyFont="1">
      <alignment readingOrder="0" vertical="center"/>
    </xf>
    <xf borderId="87" fillId="12" fontId="98" numFmtId="0" xfId="0" applyAlignment="1" applyBorder="1" applyFont="1">
      <alignment vertical="center"/>
    </xf>
    <xf borderId="149" fillId="13" fontId="72" numFmtId="0" xfId="0" applyBorder="1" applyFont="1"/>
    <xf borderId="149" fillId="13" fontId="98" numFmtId="0" xfId="0" applyBorder="1" applyFont="1"/>
    <xf borderId="0" fillId="7" fontId="72" numFmtId="0" xfId="0" applyFont="1"/>
    <xf borderId="0" fillId="7" fontId="98" numFmtId="0" xfId="0" applyFont="1"/>
    <xf borderId="86" fillId="7" fontId="72" numFmtId="0" xfId="0" applyAlignment="1" applyBorder="1" applyFont="1">
      <alignment readingOrder="0"/>
    </xf>
    <xf borderId="86" fillId="7" fontId="98" numFmtId="0" xfId="0" applyBorder="1" applyFont="1"/>
    <xf borderId="0" fillId="9" fontId="72" numFmtId="0" xfId="0" applyFont="1"/>
    <xf borderId="0" fillId="9" fontId="98" numFmtId="0" xfId="0" applyFont="1"/>
    <xf borderId="74" fillId="6" fontId="64" numFmtId="0" xfId="0" applyAlignment="1" applyBorder="1" applyFont="1">
      <alignment vertical="bottom"/>
    </xf>
    <xf borderId="149" fillId="0" fontId="3" numFmtId="0" xfId="0" applyBorder="1" applyFont="1"/>
    <xf borderId="86" fillId="2" fontId="151" numFmtId="0" xfId="0" applyBorder="1" applyFont="1"/>
    <xf borderId="86" fillId="2" fontId="152" numFmtId="0" xfId="0" applyBorder="1" applyFont="1"/>
    <xf borderId="92" fillId="15" fontId="98" numFmtId="0" xfId="0" applyAlignment="1" applyBorder="1" applyFont="1">
      <alignment horizontal="center" vertical="center"/>
    </xf>
    <xf borderId="32" fillId="15" fontId="189" numFmtId="0" xfId="0" applyAlignment="1" applyBorder="1" applyFont="1">
      <alignment vertical="bottom"/>
    </xf>
    <xf borderId="32" fillId="18" fontId="1" numFmtId="0" xfId="0" applyAlignment="1" applyBorder="1" applyFont="1">
      <alignment horizontal="right" vertical="bottom"/>
    </xf>
    <xf borderId="32" fillId="20" fontId="1" numFmtId="0" xfId="0" applyAlignment="1" applyBorder="1" applyFont="1">
      <alignment horizontal="right" vertical="bottom"/>
    </xf>
    <xf borderId="32" fillId="21" fontId="1" numFmtId="0" xfId="0" applyAlignment="1" applyBorder="1" applyFont="1">
      <alignment horizontal="right" vertical="bottom"/>
    </xf>
    <xf borderId="32" fillId="6" fontId="50" numFmtId="0" xfId="0" applyAlignment="1" applyBorder="1" applyFont="1">
      <alignment horizontal="right" vertical="bottom"/>
    </xf>
    <xf borderId="34" fillId="0" fontId="1" numFmtId="9" xfId="0" applyAlignment="1" applyBorder="1" applyFont="1" applyNumberFormat="1">
      <alignment vertical="bottom"/>
    </xf>
    <xf borderId="35" fillId="0" fontId="1" numFmtId="9" xfId="0" applyAlignment="1" applyBorder="1" applyFont="1" applyNumberFormat="1">
      <alignment horizontal="right" vertical="bottom"/>
    </xf>
    <xf borderId="63" fillId="15" fontId="3" numFmtId="0" xfId="0" applyBorder="1" applyFont="1"/>
    <xf borderId="148" fillId="15" fontId="98" numFmtId="0" xfId="0" applyAlignment="1" applyBorder="1" applyFont="1">
      <alignment horizontal="center" readingOrder="0"/>
    </xf>
    <xf borderId="74" fillId="24" fontId="34" numFmtId="0" xfId="0" applyAlignment="1" applyBorder="1" applyFont="1">
      <alignment horizontal="center" readingOrder="0" vertical="bottom"/>
    </xf>
    <xf borderId="0" fillId="15" fontId="98" numFmtId="0" xfId="0" applyAlignment="1" applyFont="1">
      <alignment horizontal="center" readingOrder="0" vertical="center"/>
    </xf>
    <xf borderId="0" fillId="5" fontId="34" numFmtId="0" xfId="0" applyAlignment="1" applyFont="1">
      <alignment readingOrder="0" vertical="center"/>
    </xf>
    <xf borderId="0" fillId="5" fontId="64" numFmtId="0" xfId="0" applyAlignment="1" applyFont="1">
      <alignment vertical="center"/>
    </xf>
    <xf borderId="0" fillId="11" fontId="72" numFmtId="0" xfId="0" applyAlignment="1" applyFont="1">
      <alignment readingOrder="0" vertical="center"/>
    </xf>
    <xf borderId="0" fillId="11" fontId="98" numFmtId="0" xfId="0" applyAlignment="1" applyFont="1">
      <alignment vertical="center"/>
    </xf>
    <xf borderId="0" fillId="9" fontId="54" numFmtId="0" xfId="0" applyAlignment="1" applyFont="1">
      <alignment readingOrder="0" vertical="center"/>
    </xf>
    <xf borderId="0" fillId="9" fontId="85" numFmtId="0" xfId="0" applyAlignment="1" applyFont="1">
      <alignment readingOrder="0" vertical="center"/>
    </xf>
    <xf borderId="0" fillId="13" fontId="57" numFmtId="0" xfId="0" applyAlignment="1" applyFont="1">
      <alignment horizontal="left" readingOrder="0" shrinkToFit="0" vertical="center" wrapText="0"/>
    </xf>
    <xf borderId="0" fillId="13" fontId="58" numFmtId="0" xfId="0" applyAlignment="1" applyFont="1">
      <alignment horizontal="left" readingOrder="0" shrinkToFit="0" vertical="center" wrapText="0"/>
    </xf>
    <xf borderId="150" fillId="15" fontId="98" numFmtId="0" xfId="0" applyAlignment="1" applyBorder="1" applyFont="1">
      <alignment horizontal="center" readingOrder="0" vertical="center"/>
    </xf>
    <xf borderId="150" fillId="7" fontId="72" numFmtId="0" xfId="0" applyAlignment="1" applyBorder="1" applyFont="1">
      <alignment horizontal="left" readingOrder="0" vertical="center"/>
    </xf>
    <xf borderId="150" fillId="7" fontId="98" numFmtId="0" xfId="0" applyAlignment="1" applyBorder="1" applyFont="1">
      <alignment readingOrder="0" vertical="center"/>
    </xf>
    <xf borderId="0" fillId="7" fontId="72" numFmtId="0" xfId="0" applyAlignment="1" applyFont="1">
      <alignment horizontal="left" readingOrder="0" vertical="center"/>
    </xf>
    <xf borderId="0" fillId="7" fontId="98" numFmtId="0" xfId="0" applyAlignment="1" applyFont="1">
      <alignment readingOrder="0" vertical="center"/>
    </xf>
    <xf borderId="0" fillId="2" fontId="151" numFmtId="0" xfId="0" applyAlignment="1" applyFont="1">
      <alignment readingOrder="0" vertical="center"/>
    </xf>
    <xf borderId="0" fillId="2" fontId="152" numFmtId="0" xfId="0" applyAlignment="1" applyFont="1">
      <alignment vertical="center"/>
    </xf>
    <xf borderId="57" fillId="6" fontId="1" numFmtId="0" xfId="0" applyAlignment="1" applyBorder="1" applyFont="1">
      <alignment readingOrder="0" vertical="bottom"/>
    </xf>
    <xf borderId="87" fillId="15" fontId="72" numFmtId="0" xfId="0" applyAlignment="1" applyBorder="1" applyFont="1">
      <alignment vertical="bottom"/>
    </xf>
    <xf borderId="69" fillId="15" fontId="190" numFmtId="0" xfId="0" applyAlignment="1" applyBorder="1" applyFont="1">
      <alignment readingOrder="0"/>
    </xf>
    <xf borderId="151" fillId="0" fontId="3" numFmtId="0" xfId="0" applyBorder="1" applyFont="1"/>
    <xf borderId="62" fillId="15" fontId="3" numFmtId="0" xfId="0" applyBorder="1" applyFont="1"/>
    <xf borderId="74" fillId="24" fontId="34" numFmtId="0" xfId="0" applyAlignment="1" applyBorder="1" applyFont="1">
      <alignment readingOrder="0" vertical="bottom"/>
    </xf>
    <xf borderId="33" fillId="11" fontId="98" numFmtId="0" xfId="0" applyAlignment="1" applyBorder="1" applyFont="1">
      <alignment vertical="bottom"/>
    </xf>
    <xf borderId="22" fillId="6" fontId="1" numFmtId="0" xfId="0" applyAlignment="1" applyBorder="1" applyFont="1">
      <alignment readingOrder="0" vertical="bottom"/>
    </xf>
    <xf borderId="47" fillId="6" fontId="1" numFmtId="0" xfId="0" applyAlignment="1" applyBorder="1" applyFont="1">
      <alignment readingOrder="0" vertical="bottom"/>
    </xf>
    <xf borderId="33" fillId="2" fontId="152" numFmtId="0" xfId="0" applyAlignment="1" applyBorder="1" applyFont="1">
      <alignment vertical="bottom"/>
    </xf>
    <xf borderId="21" fillId="6" fontId="1" numFmtId="0" xfId="0" applyAlignment="1" applyBorder="1" applyFont="1">
      <alignment readingOrder="0" vertical="bottom"/>
    </xf>
    <xf borderId="0" fillId="5" fontId="1" numFmtId="0" xfId="0" applyAlignment="1" applyFont="1">
      <alignment readingOrder="0" vertical="bottom"/>
    </xf>
    <xf borderId="33" fillId="5" fontId="64" numFmtId="0" xfId="0" applyAlignment="1" applyBorder="1" applyFont="1">
      <alignment vertical="bottom"/>
    </xf>
    <xf borderId="87" fillId="12" fontId="98" numFmtId="0" xfId="0" applyAlignment="1" applyBorder="1" applyFont="1">
      <alignment readingOrder="0" vertical="bottom"/>
    </xf>
    <xf borderId="152" fillId="12" fontId="98" numFmtId="0" xfId="0" applyAlignment="1" applyBorder="1" applyFont="1">
      <alignment vertical="bottom"/>
    </xf>
    <xf borderId="0" fillId="12" fontId="98" numFmtId="0" xfId="0" applyAlignment="1" applyFont="1">
      <alignment horizontal="left" readingOrder="0" vertical="center"/>
    </xf>
    <xf borderId="33" fillId="12" fontId="98" numFmtId="0" xfId="0" applyAlignment="1" applyBorder="1" applyFont="1">
      <alignment vertical="bottom"/>
    </xf>
    <xf borderId="0" fillId="7" fontId="98" numFmtId="0" xfId="0" applyAlignment="1" applyFont="1">
      <alignment horizontal="left" readingOrder="0" vertical="center"/>
    </xf>
    <xf borderId="0" fillId="7" fontId="98" numFmtId="0" xfId="0" applyAlignment="1" applyFont="1">
      <alignment readingOrder="0" vertical="bottom"/>
    </xf>
    <xf borderId="0" fillId="15" fontId="190" numFmtId="0" xfId="0" applyAlignment="1" applyFont="1">
      <alignment readingOrder="0"/>
    </xf>
    <xf borderId="0" fillId="18" fontId="1" numFmtId="0" xfId="0" applyAlignment="1" applyFont="1">
      <alignment horizontal="right" vertical="bottom"/>
    </xf>
    <xf borderId="0" fillId="20" fontId="1" numFmtId="0" xfId="0" applyAlignment="1" applyFont="1">
      <alignment horizontal="right" vertical="bottom"/>
    </xf>
    <xf borderId="0" fillId="21" fontId="1" numFmtId="0" xfId="0" applyAlignment="1" applyFont="1">
      <alignment horizontal="right" vertical="bottom"/>
    </xf>
    <xf borderId="0" fillId="6" fontId="50" numFmtId="0" xfId="0" applyAlignment="1" applyFont="1">
      <alignment horizontal="right" vertical="bottom"/>
    </xf>
    <xf borderId="34" fillId="0" fontId="1" numFmtId="9" xfId="0" applyAlignment="1" applyBorder="1" applyFont="1" applyNumberFormat="1">
      <alignment horizontal="right" vertical="bottom"/>
    </xf>
    <xf borderId="9" fillId="2" fontId="3" numFmtId="0" xfId="0" applyBorder="1" applyFont="1"/>
    <xf borderId="31" fillId="15" fontId="3" numFmtId="0" xfId="0" applyBorder="1" applyFont="1"/>
    <xf borderId="31" fillId="0" fontId="1" numFmtId="0" xfId="0" applyAlignment="1" applyBorder="1" applyFont="1">
      <alignment readingOrder="0" vertical="bottom"/>
    </xf>
    <xf borderId="31" fillId="6" fontId="1" numFmtId="0" xfId="0" applyAlignment="1" applyBorder="1" applyFont="1">
      <alignment readingOrder="0" vertical="bottom"/>
    </xf>
    <xf borderId="0" fillId="15" fontId="98" numFmtId="0" xfId="0" applyAlignment="1" applyFont="1">
      <alignment horizontal="center"/>
    </xf>
    <xf borderId="0" fillId="6" fontId="155" numFmtId="0" xfId="0" applyAlignment="1" applyFont="1">
      <alignment vertical="bottom"/>
    </xf>
    <xf borderId="33" fillId="6" fontId="155" numFmtId="0" xfId="0" applyAlignment="1" applyBorder="1" applyFont="1">
      <alignment vertical="bottom"/>
    </xf>
    <xf borderId="0" fillId="12" fontId="98" numFmtId="0" xfId="0" applyAlignment="1" applyFont="1">
      <alignment vertical="bottom"/>
    </xf>
    <xf borderId="0" fillId="13" fontId="98" numFmtId="0" xfId="0" applyAlignment="1" applyFont="1">
      <alignment vertical="bottom"/>
    </xf>
    <xf borderId="33" fillId="13" fontId="98" numFmtId="0" xfId="0" applyAlignment="1" applyBorder="1" applyFont="1">
      <alignment vertical="bottom"/>
    </xf>
    <xf borderId="92" fillId="15" fontId="98" numFmtId="0" xfId="0" applyAlignment="1" applyBorder="1" applyFont="1">
      <alignment horizontal="center"/>
    </xf>
    <xf borderId="77" fillId="0" fontId="1" numFmtId="9" xfId="0" applyAlignment="1" applyBorder="1" applyFont="1" applyNumberFormat="1">
      <alignment vertical="bottom"/>
    </xf>
    <xf borderId="31" fillId="0" fontId="1" numFmtId="9" xfId="0" applyAlignment="1" applyBorder="1" applyFont="1" applyNumberFormat="1">
      <alignment horizontal="right" vertical="bottom"/>
    </xf>
    <xf borderId="31" fillId="2" fontId="1" numFmtId="0" xfId="0" applyAlignment="1" applyBorder="1" applyFont="1">
      <alignment vertical="bottom"/>
    </xf>
    <xf borderId="118" fillId="2" fontId="3" numFmtId="0" xfId="0" applyBorder="1" applyFont="1"/>
    <xf borderId="22" fillId="0" fontId="1" numFmtId="0" xfId="0" applyAlignment="1" applyBorder="1" applyFont="1">
      <alignment vertical="bottom"/>
    </xf>
    <xf borderId="21" fillId="6" fontId="1" numFmtId="0" xfId="0" applyAlignment="1" applyBorder="1" applyFont="1">
      <alignment vertical="bottom"/>
    </xf>
    <xf borderId="73" fillId="0" fontId="3" numFmtId="0" xfId="0" applyAlignment="1" applyBorder="1" applyFont="1">
      <alignment horizontal="center" readingOrder="0"/>
    </xf>
    <xf borderId="73" fillId="6" fontId="1" numFmtId="0" xfId="0" applyAlignment="1" applyBorder="1" applyFont="1">
      <alignment vertical="bottom"/>
    </xf>
    <xf borderId="0" fillId="15" fontId="3" numFmtId="0" xfId="0" applyAlignment="1" applyFont="1">
      <alignment readingOrder="0"/>
    </xf>
    <xf borderId="33" fillId="18" fontId="1" numFmtId="0" xfId="0" applyAlignment="1" applyBorder="1" applyFont="1">
      <alignment horizontal="right" vertical="bottom"/>
    </xf>
    <xf borderId="33" fillId="20" fontId="1" numFmtId="0" xfId="0" applyAlignment="1" applyBorder="1" applyFont="1">
      <alignment horizontal="right" vertical="bottom"/>
    </xf>
    <xf borderId="33" fillId="21" fontId="1" numFmtId="0" xfId="0" applyAlignment="1" applyBorder="1" applyFont="1">
      <alignment horizontal="right" vertical="bottom"/>
    </xf>
    <xf borderId="33" fillId="6" fontId="50" numFmtId="0" xfId="0" applyAlignment="1" applyBorder="1" applyFont="1">
      <alignment horizontal="right" vertical="bottom"/>
    </xf>
    <xf borderId="33" fillId="22" fontId="1" numFmtId="0" xfId="0" applyAlignment="1" applyBorder="1" applyFont="1">
      <alignment horizontal="right" vertical="bottom"/>
    </xf>
    <xf borderId="33" fillId="0" fontId="1" numFmtId="0" xfId="0" applyAlignment="1" applyBorder="1" applyFont="1">
      <alignment horizontal="right" vertical="bottom"/>
    </xf>
    <xf borderId="3" fillId="2" fontId="3" numFmtId="0" xfId="0" applyBorder="1" applyFont="1"/>
    <xf borderId="53" fillId="15" fontId="58" numFmtId="0" xfId="0" applyAlignment="1" applyBorder="1" applyFont="1">
      <alignment horizontal="center" readingOrder="0" vertical="center"/>
    </xf>
    <xf borderId="87" fillId="15" fontId="98" numFmtId="0" xfId="0" applyAlignment="1" applyBorder="1" applyFont="1">
      <alignment horizontal="center" readingOrder="0" vertical="center"/>
    </xf>
    <xf borderId="22" fillId="0" fontId="1" numFmtId="0" xfId="0" applyAlignment="1" applyBorder="1" applyFont="1">
      <alignment readingOrder="0" vertical="bottom"/>
    </xf>
    <xf borderId="0" fillId="12" fontId="85" numFmtId="0" xfId="0" applyAlignment="1" applyFont="1">
      <alignment readingOrder="0"/>
    </xf>
    <xf borderId="48" fillId="0" fontId="1" numFmtId="0" xfId="0" applyAlignment="1" applyBorder="1" applyFont="1">
      <alignment horizontal="center" vertical="bottom"/>
    </xf>
    <xf borderId="33" fillId="6" fontId="155" numFmtId="0" xfId="0" applyAlignment="1" applyBorder="1" applyFont="1">
      <alignment readingOrder="0" vertical="bottom"/>
    </xf>
    <xf borderId="0" fillId="5" fontId="3" numFmtId="0" xfId="0" applyAlignment="1" applyFont="1">
      <alignment readingOrder="0"/>
    </xf>
    <xf borderId="0" fillId="7" fontId="58" numFmtId="0" xfId="0" applyAlignment="1" applyFont="1">
      <alignment horizontal="left" readingOrder="0" shrinkToFit="0" vertical="bottom" wrapText="0"/>
    </xf>
    <xf borderId="0" fillId="15" fontId="3" numFmtId="0" xfId="0" applyAlignment="1" applyFont="1">
      <alignment horizontal="center"/>
    </xf>
    <xf borderId="33" fillId="2" fontId="151" numFmtId="0" xfId="0" applyAlignment="1" applyBorder="1" applyFont="1">
      <alignment vertical="bottom"/>
    </xf>
    <xf borderId="73" fillId="0" fontId="1" numFmtId="0" xfId="0" applyAlignment="1" applyBorder="1" applyFont="1">
      <alignment horizontal="center" readingOrder="0" vertical="bottom"/>
    </xf>
    <xf borderId="0" fillId="5" fontId="183" numFmtId="0" xfId="0" applyAlignment="1" applyFont="1">
      <alignment readingOrder="0"/>
    </xf>
    <xf borderId="48" fillId="2" fontId="3" numFmtId="0" xfId="0" applyAlignment="1" applyBorder="1" applyFont="1">
      <alignment horizontal="center"/>
    </xf>
    <xf borderId="49" fillId="2" fontId="3" numFmtId="0" xfId="0" applyAlignment="1" applyBorder="1" applyFont="1">
      <alignment horizontal="center"/>
    </xf>
    <xf borderId="50" fillId="2" fontId="3" numFmtId="0" xfId="0" applyAlignment="1" applyBorder="1" applyFont="1">
      <alignment horizontal="center"/>
    </xf>
    <xf borderId="92" fillId="15" fontId="98" numFmtId="0" xfId="0" applyAlignment="1" applyBorder="1" applyFont="1">
      <alignment horizontal="center" readingOrder="0" vertical="center"/>
    </xf>
    <xf borderId="87" fillId="25" fontId="191" numFmtId="0" xfId="0" applyAlignment="1" applyBorder="1" applyFont="1">
      <alignment readingOrder="0"/>
    </xf>
    <xf borderId="50" fillId="0" fontId="1" numFmtId="0" xfId="0" applyAlignment="1" applyBorder="1" applyFont="1">
      <alignment horizontal="center" readingOrder="0" vertical="bottom"/>
    </xf>
    <xf borderId="0" fillId="18" fontId="192" numFmtId="0" xfId="0" applyAlignment="1" applyFont="1">
      <alignment readingOrder="0"/>
    </xf>
    <xf borderId="0" fillId="18" fontId="193" numFmtId="0" xfId="0" applyAlignment="1" applyFont="1">
      <alignment readingOrder="0"/>
    </xf>
    <xf borderId="0" fillId="18" fontId="194" numFmtId="0" xfId="0" applyAlignment="1" applyFont="1">
      <alignment readingOrder="0"/>
    </xf>
    <xf borderId="138" fillId="2" fontId="3" numFmtId="0" xfId="0" applyAlignment="1" applyBorder="1" applyFont="1">
      <alignment horizontal="center" readingOrder="0"/>
    </xf>
    <xf borderId="153" fillId="0" fontId="3" numFmtId="0" xfId="0" applyBorder="1" applyFont="1"/>
    <xf borderId="154" fillId="2" fontId="3" numFmtId="0" xfId="0" applyBorder="1" applyFont="1"/>
    <xf borderId="50" fillId="0" fontId="1" numFmtId="0" xfId="0" applyAlignment="1" applyBorder="1" applyFont="1">
      <alignment horizontal="center" readingOrder="0" vertical="bottom"/>
    </xf>
    <xf borderId="155" fillId="0" fontId="3" numFmtId="0" xfId="0" applyBorder="1" applyFont="1"/>
    <xf borderId="92" fillId="26" fontId="85" numFmtId="0" xfId="0" applyAlignment="1" applyBorder="1" applyFont="1">
      <alignment horizontal="center" readingOrder="0" vertical="center"/>
    </xf>
    <xf borderId="77" fillId="2" fontId="3" numFmtId="0" xfId="0" applyBorder="1" applyFont="1"/>
    <xf borderId="0" fillId="15" fontId="58" numFmtId="0" xfId="0" applyAlignment="1" applyFont="1">
      <alignment readingOrder="0" vertical="bottom"/>
    </xf>
    <xf borderId="0" fillId="15" fontId="57" numFmtId="0" xfId="0" applyAlignment="1" applyFont="1">
      <alignment vertical="bottom"/>
    </xf>
    <xf borderId="0" fillId="0" fontId="195" numFmtId="0" xfId="0" applyAlignment="1" applyFont="1">
      <alignment readingOrder="0" vertical="bottom"/>
    </xf>
    <xf borderId="1" fillId="2" fontId="60" numFmtId="0" xfId="0" applyAlignment="1" applyBorder="1" applyFont="1">
      <alignment readingOrder="0" vertical="bottom"/>
    </xf>
    <xf borderId="87" fillId="15" fontId="58" numFmtId="0" xfId="0" applyAlignment="1" applyBorder="1" applyFont="1">
      <alignment horizontal="center" readingOrder="0" vertical="center"/>
    </xf>
    <xf borderId="71" fillId="18" fontId="193" numFmtId="0" xfId="0" applyAlignment="1" applyBorder="1" applyFont="1">
      <alignment readingOrder="0"/>
    </xf>
    <xf borderId="1" fillId="2" fontId="1" numFmtId="0" xfId="0" applyAlignment="1" applyBorder="1" applyFont="1">
      <alignment horizontal="center" readingOrder="0" vertical="bottom"/>
    </xf>
    <xf borderId="1" fillId="2" fontId="1" numFmtId="0" xfId="0" applyAlignment="1" applyBorder="1" applyFont="1">
      <alignment horizontal="center" vertical="bottom"/>
    </xf>
    <xf borderId="73" fillId="17" fontId="1" numFmtId="0" xfId="0" applyAlignment="1" applyBorder="1" applyFont="1">
      <alignment horizontal="center" vertical="bottom"/>
    </xf>
    <xf borderId="73" fillId="17" fontId="1" numFmtId="0" xfId="0" applyAlignment="1" applyBorder="1" applyFont="1">
      <alignment horizontal="center" readingOrder="0" vertical="bottom"/>
    </xf>
    <xf borderId="0" fillId="34" fontId="85" numFmtId="0" xfId="0" applyAlignment="1" applyFont="1">
      <alignment readingOrder="0"/>
    </xf>
    <xf borderId="31" fillId="25" fontId="191" numFmtId="0" xfId="0" applyAlignment="1" applyBorder="1" applyFont="1">
      <alignment readingOrder="0"/>
    </xf>
    <xf borderId="92" fillId="15" fontId="58" numFmtId="0" xfId="0" applyAlignment="1" applyBorder="1" applyFont="1">
      <alignment horizontal="center" readingOrder="0" vertical="center"/>
    </xf>
    <xf borderId="71" fillId="2" fontId="169" numFmtId="0" xfId="0" applyAlignment="1" applyBorder="1" applyFont="1">
      <alignment readingOrder="0"/>
    </xf>
    <xf borderId="71" fillId="2" fontId="168" numFmtId="0" xfId="0" applyAlignment="1" applyBorder="1" applyFont="1">
      <alignment readingOrder="0"/>
    </xf>
    <xf borderId="46" fillId="0" fontId="1" numFmtId="0" xfId="0" applyAlignment="1" applyBorder="1" applyFont="1">
      <alignment horizontal="center" readingOrder="0" vertical="bottom"/>
    </xf>
    <xf borderId="0" fillId="2" fontId="196" numFmtId="0" xfId="0" applyAlignment="1" applyFont="1">
      <alignment readingOrder="0"/>
    </xf>
    <xf borderId="73" fillId="2" fontId="1" numFmtId="0" xfId="0" applyAlignment="1" applyBorder="1" applyFont="1">
      <alignment horizontal="center" readingOrder="0" vertical="bottom"/>
    </xf>
    <xf borderId="3" fillId="2" fontId="1" numFmtId="0" xfId="0" applyAlignment="1" applyBorder="1" applyFont="1">
      <alignment horizontal="center" vertical="bottom"/>
    </xf>
    <xf borderId="21" fillId="0" fontId="1" numFmtId="0" xfId="0" applyAlignment="1" applyBorder="1" applyFont="1">
      <alignment horizontal="center" readingOrder="0" vertical="bottom"/>
    </xf>
    <xf borderId="0" fillId="11" fontId="85" numFmtId="0" xfId="0" applyAlignment="1" applyFont="1">
      <alignment readingOrder="0"/>
    </xf>
    <xf borderId="91" fillId="15" fontId="98" numFmtId="0" xfId="0" applyAlignment="1" applyBorder="1" applyFont="1">
      <alignment horizontal="center" vertical="center"/>
    </xf>
    <xf borderId="1" fillId="2" fontId="3" numFmtId="0" xfId="0" applyAlignment="1" applyBorder="1" applyFont="1">
      <alignment horizontal="center"/>
    </xf>
    <xf borderId="0" fillId="18" fontId="1" numFmtId="0" xfId="0" applyAlignment="1" applyFont="1">
      <alignment vertical="bottom"/>
    </xf>
    <xf borderId="33" fillId="18" fontId="1" numFmtId="0" xfId="0" applyAlignment="1" applyBorder="1" applyFont="1">
      <alignment horizontal="right" vertical="bottom"/>
    </xf>
    <xf borderId="0" fillId="20" fontId="1" numFmtId="0" xfId="0" applyAlignment="1" applyFont="1">
      <alignment vertical="bottom"/>
    </xf>
    <xf borderId="33" fillId="20" fontId="1" numFmtId="0" xfId="0" applyAlignment="1" applyBorder="1" applyFont="1">
      <alignment horizontal="right" vertical="bottom"/>
    </xf>
    <xf borderId="0" fillId="21" fontId="1" numFmtId="0" xfId="0" applyAlignment="1" applyFont="1">
      <alignment vertical="bottom"/>
    </xf>
    <xf borderId="33" fillId="21" fontId="1" numFmtId="0" xfId="0" applyAlignment="1" applyBorder="1" applyFont="1">
      <alignment horizontal="right" vertical="bottom"/>
    </xf>
    <xf borderId="0" fillId="6" fontId="50" numFmtId="0" xfId="0" applyAlignment="1" applyFont="1">
      <alignment vertical="bottom"/>
    </xf>
    <xf borderId="33" fillId="6" fontId="50" numFmtId="0" xfId="0" applyAlignment="1" applyBorder="1" applyFont="1">
      <alignment horizontal="right" vertical="bottom"/>
    </xf>
    <xf borderId="0" fillId="22" fontId="1" numFmtId="0" xfId="0" applyAlignment="1" applyFont="1">
      <alignment vertical="bottom"/>
    </xf>
    <xf borderId="33" fillId="22" fontId="1" numFmtId="0" xfId="0" applyAlignment="1" applyBorder="1" applyFont="1">
      <alignment horizontal="right" vertical="bottom"/>
    </xf>
    <xf borderId="0" fillId="0" fontId="1" numFmtId="0" xfId="0" applyAlignment="1" applyFont="1">
      <alignment vertical="bottom"/>
    </xf>
    <xf borderId="33" fillId="0" fontId="1" numFmtId="0" xfId="0" applyAlignment="1" applyBorder="1" applyFont="1">
      <alignment horizontal="right" vertical="bottom"/>
    </xf>
    <xf borderId="31" fillId="0" fontId="1" numFmtId="9" xfId="0" applyAlignment="1" applyBorder="1" applyFont="1" applyNumberFormat="1">
      <alignment horizontal="right" vertical="bottom"/>
    </xf>
    <xf borderId="22" fillId="0" fontId="1" numFmtId="9" xfId="0" applyAlignment="1" applyBorder="1" applyFont="1" applyNumberFormat="1">
      <alignment horizontal="right" vertical="bottom"/>
    </xf>
    <xf borderId="1" fillId="2" fontId="1" numFmtId="9" xfId="0" applyAlignment="1" applyBorder="1" applyFont="1" applyNumberFormat="1">
      <alignment horizontal="right" vertical="bottom"/>
    </xf>
    <xf borderId="3" fillId="2" fontId="50" numFmtId="0" xfId="0" applyAlignment="1" applyBorder="1" applyFont="1">
      <alignment horizontal="right" vertical="bottom"/>
    </xf>
    <xf borderId="148" fillId="15" fontId="58" numFmtId="0" xfId="0" applyAlignment="1" applyBorder="1" applyFont="1">
      <alignment horizontal="center" readingOrder="0" vertical="center"/>
    </xf>
    <xf borderId="91" fillId="15" fontId="58" numFmtId="0" xfId="0" applyAlignment="1" applyBorder="1" applyFont="1">
      <alignment horizontal="center" readingOrder="0" vertical="center"/>
    </xf>
    <xf borderId="0" fillId="28" fontId="197" numFmtId="0" xfId="0" applyAlignment="1" applyFont="1">
      <alignment readingOrder="0"/>
    </xf>
    <xf borderId="156" fillId="37" fontId="85" numFmtId="0" xfId="0" applyAlignment="1" applyBorder="1" applyFont="1">
      <alignment readingOrder="0"/>
    </xf>
    <xf borderId="0" fillId="36" fontId="198" numFmtId="0" xfId="0" applyAlignment="1" applyFont="1">
      <alignment readingOrder="0"/>
    </xf>
    <xf borderId="156" fillId="18" fontId="193" numFmtId="0" xfId="0" applyAlignment="1" applyBorder="1" applyFont="1">
      <alignment readingOrder="0"/>
    </xf>
    <xf borderId="0" fillId="18" fontId="60" numFmtId="0" xfId="0" applyAlignment="1" applyFont="1">
      <alignment vertical="bottom"/>
    </xf>
    <xf borderId="0" fillId="18" fontId="60" numFmtId="0" xfId="0" applyAlignment="1" applyFont="1">
      <alignment horizontal="right" vertical="bottom"/>
    </xf>
    <xf borderId="0" fillId="20" fontId="60" numFmtId="0" xfId="0" applyAlignment="1" applyFont="1">
      <alignment vertical="bottom"/>
    </xf>
    <xf borderId="0" fillId="20" fontId="60" numFmtId="0" xfId="0" applyAlignment="1" applyFont="1">
      <alignment horizontal="right" vertical="bottom"/>
    </xf>
    <xf borderId="0" fillId="21" fontId="60" numFmtId="0" xfId="0" applyAlignment="1" applyFont="1">
      <alignment vertical="bottom"/>
    </xf>
    <xf borderId="0" fillId="21" fontId="60" numFmtId="0" xfId="0" applyAlignment="1" applyFont="1">
      <alignment horizontal="right" vertical="bottom"/>
    </xf>
    <xf borderId="0" fillId="6" fontId="199" numFmtId="0" xfId="0" applyAlignment="1" applyFont="1">
      <alignment vertical="bottom"/>
    </xf>
    <xf borderId="0" fillId="6" fontId="199" numFmtId="0" xfId="0" applyAlignment="1" applyFont="1">
      <alignment horizontal="right" vertical="bottom"/>
    </xf>
    <xf borderId="0" fillId="22" fontId="60" numFmtId="0" xfId="0" applyAlignment="1" applyFont="1">
      <alignment vertical="bottom"/>
    </xf>
    <xf borderId="0" fillId="22" fontId="60" numFmtId="0" xfId="0" applyAlignment="1" applyFont="1">
      <alignment horizontal="right" vertical="bottom"/>
    </xf>
    <xf borderId="0" fillId="0" fontId="60" numFmtId="0" xfId="0" applyAlignment="1" applyFont="1">
      <alignment vertical="bottom"/>
    </xf>
    <xf borderId="0" fillId="0" fontId="60" numFmtId="0" xfId="0" applyAlignment="1" applyFont="1">
      <alignment horizontal="right" vertical="bottom"/>
    </xf>
    <xf borderId="0" fillId="0" fontId="60" numFmtId="9" xfId="0" applyAlignment="1" applyFont="1" applyNumberFormat="1">
      <alignment vertical="bottom"/>
    </xf>
    <xf borderId="0" fillId="0" fontId="3" numFmtId="9" xfId="0" applyFont="1" applyNumberFormat="1"/>
    <xf borderId="0" fillId="15" fontId="60" numFmtId="0" xfId="0" applyAlignment="1" applyFont="1">
      <alignment vertical="bottom"/>
    </xf>
    <xf borderId="31" fillId="0" fontId="60" numFmtId="0" xfId="0" applyAlignment="1" applyBorder="1" applyFont="1">
      <alignment readingOrder="0" vertical="bottom"/>
    </xf>
    <xf borderId="86" fillId="27" fontId="85" numFmtId="0" xfId="0" applyAlignment="1" applyBorder="1" applyFont="1">
      <alignment readingOrder="0"/>
    </xf>
    <xf borderId="53" fillId="2" fontId="85" numFmtId="0" xfId="0" applyAlignment="1" applyBorder="1" applyFont="1">
      <alignment horizontal="center" readingOrder="0" vertical="center"/>
    </xf>
    <xf borderId="86" fillId="15" fontId="58" numFmtId="0" xfId="0" applyAlignment="1" applyBorder="1" applyFont="1">
      <alignment horizontal="center" readingOrder="0"/>
    </xf>
    <xf borderId="48" fillId="2" fontId="195" numFmtId="0" xfId="0" applyAlignment="1" applyBorder="1" applyFont="1">
      <alignment horizontal="center" vertical="bottom"/>
    </xf>
    <xf borderId="0" fillId="25" fontId="200" numFmtId="0" xfId="0" applyAlignment="1" applyFont="1">
      <alignment readingOrder="0"/>
    </xf>
    <xf borderId="110" fillId="15" fontId="58" numFmtId="0" xfId="0" applyAlignment="1" applyBorder="1" applyFont="1">
      <alignment horizontal="center" vertical="center"/>
    </xf>
    <xf borderId="31" fillId="0" fontId="3" numFmtId="9" xfId="0" applyBorder="1" applyFont="1" applyNumberFormat="1"/>
    <xf borderId="123" fillId="0" fontId="3" numFmtId="0" xfId="0" applyBorder="1" applyFont="1"/>
    <xf borderId="113" fillId="2" fontId="3" numFmtId="0" xfId="0" applyBorder="1" applyFont="1"/>
    <xf borderId="48" fillId="0" fontId="3" numFmtId="0" xfId="0" applyAlignment="1" applyBorder="1" applyFont="1">
      <alignment readingOrder="0"/>
    </xf>
    <xf borderId="146" fillId="0" fontId="60" numFmtId="0" xfId="0" applyAlignment="1" applyBorder="1" applyFont="1">
      <alignment readingOrder="0" vertical="bottom"/>
    </xf>
    <xf borderId="110" fillId="15" fontId="58" numFmtId="0" xfId="0" applyAlignment="1" applyBorder="1" applyFont="1">
      <alignment horizontal="center" readingOrder="0" vertical="center"/>
    </xf>
    <xf borderId="48" fillId="2" fontId="60" numFmtId="0" xfId="0" applyAlignment="1" applyBorder="1" applyFont="1">
      <alignment horizontal="center" vertical="bottom"/>
    </xf>
    <xf borderId="157" fillId="0" fontId="3" numFmtId="0" xfId="0" applyAlignment="1" applyBorder="1" applyFont="1">
      <alignment horizontal="center" readingOrder="0"/>
    </xf>
    <xf borderId="158" fillId="0" fontId="3" numFmtId="0" xfId="0" applyAlignment="1" applyBorder="1" applyFont="1">
      <alignment horizontal="center" readingOrder="0"/>
    </xf>
    <xf borderId="46" fillId="0" fontId="3" numFmtId="0" xfId="0" applyAlignment="1" applyBorder="1" applyFont="1">
      <alignment horizontal="center" readingOrder="0"/>
    </xf>
    <xf borderId="0" fillId="28" fontId="201" numFmtId="0" xfId="0" applyAlignment="1" applyFont="1">
      <alignment readingOrder="0"/>
    </xf>
    <xf borderId="159" fillId="0" fontId="3" numFmtId="0" xfId="0" applyAlignment="1" applyBorder="1" applyFont="1">
      <alignment horizontal="center" readingOrder="0"/>
    </xf>
    <xf borderId="159" fillId="0" fontId="1" numFmtId="0" xfId="0" applyAlignment="1" applyBorder="1" applyFont="1">
      <alignment horizontal="center" vertical="bottom"/>
    </xf>
    <xf borderId="160" fillId="0" fontId="3" numFmtId="0" xfId="0" applyAlignment="1" applyBorder="1" applyFont="1">
      <alignment horizontal="center" readingOrder="0"/>
    </xf>
    <xf borderId="0" fillId="25" fontId="191" numFmtId="0" xfId="0" applyAlignment="1" applyFont="1">
      <alignment readingOrder="0"/>
    </xf>
    <xf borderId="0" fillId="37" fontId="85" numFmtId="0" xfId="0" applyAlignment="1" applyFont="1">
      <alignment readingOrder="0"/>
    </xf>
    <xf borderId="88" fillId="0" fontId="3" numFmtId="0" xfId="0" applyAlignment="1" applyBorder="1" applyFont="1">
      <alignment horizontal="center" readingOrder="0"/>
    </xf>
    <xf borderId="161" fillId="0" fontId="60" numFmtId="0" xfId="0" applyAlignment="1" applyBorder="1" applyFont="1">
      <alignment horizontal="center" readingOrder="0" vertical="bottom"/>
    </xf>
    <xf borderId="88" fillId="0" fontId="1" numFmtId="0" xfId="0" applyAlignment="1" applyBorder="1" applyFont="1">
      <alignment horizontal="center" vertical="bottom"/>
    </xf>
    <xf borderId="87" fillId="11" fontId="85" numFmtId="0" xfId="0" applyAlignment="1" applyBorder="1" applyFont="1">
      <alignment readingOrder="0"/>
    </xf>
    <xf borderId="158" fillId="0" fontId="1" numFmtId="0" xfId="0" applyAlignment="1" applyBorder="1" applyFont="1">
      <alignment horizontal="center" vertical="bottom"/>
    </xf>
    <xf borderId="162" fillId="0" fontId="60" numFmtId="0" xfId="0" applyAlignment="1" applyBorder="1" applyFont="1">
      <alignment horizontal="center" readingOrder="0" vertical="bottom"/>
    </xf>
    <xf borderId="0" fillId="27" fontId="202" numFmtId="0" xfId="0" applyAlignment="1" applyFont="1">
      <alignment readingOrder="0"/>
    </xf>
    <xf borderId="128" fillId="0" fontId="3" numFmtId="0" xfId="0" applyAlignment="1" applyBorder="1" applyFont="1">
      <alignment horizontal="center" readingOrder="0"/>
    </xf>
    <xf borderId="163" fillId="0" fontId="3" numFmtId="0" xfId="0" applyAlignment="1" applyBorder="1" applyFont="1">
      <alignment horizontal="center" readingOrder="0"/>
    </xf>
    <xf borderId="164" fillId="0" fontId="60" numFmtId="0" xfId="0" applyAlignment="1" applyBorder="1" applyFont="1">
      <alignment horizontal="center" readingOrder="0" vertical="bottom"/>
    </xf>
    <xf borderId="163" fillId="0" fontId="1" numFmtId="0" xfId="0" applyAlignment="1" applyBorder="1" applyFont="1">
      <alignment horizontal="center" vertical="bottom"/>
    </xf>
    <xf borderId="165" fillId="0" fontId="1" numFmtId="0" xfId="0" applyAlignment="1" applyBorder="1" applyFont="1">
      <alignment horizontal="center" vertical="bottom"/>
    </xf>
    <xf borderId="0" fillId="3" fontId="203" numFmtId="0" xfId="0" applyAlignment="1" applyFont="1">
      <alignment readingOrder="0"/>
    </xf>
    <xf borderId="0" fillId="12" fontId="202" numFmtId="0" xfId="0" applyAlignment="1" applyFont="1">
      <alignment readingOrder="0"/>
    </xf>
    <xf borderId="127" fillId="0" fontId="3" numFmtId="0" xfId="0" applyAlignment="1" applyBorder="1" applyFont="1">
      <alignment horizontal="center" readingOrder="0"/>
    </xf>
    <xf borderId="160" fillId="0" fontId="1" numFmtId="0" xfId="0" applyAlignment="1" applyBorder="1" applyFont="1">
      <alignment horizontal="center" vertical="bottom"/>
    </xf>
    <xf borderId="140" fillId="0" fontId="3" numFmtId="0" xfId="0" applyAlignment="1" applyBorder="1" applyFont="1">
      <alignment horizontal="center" readingOrder="0"/>
    </xf>
    <xf borderId="30" fillId="0" fontId="3" numFmtId="0" xfId="0" applyAlignment="1" applyBorder="1" applyFont="1">
      <alignment horizontal="center" readingOrder="0"/>
    </xf>
    <xf borderId="21" fillId="0" fontId="3" numFmtId="0" xfId="0" applyAlignment="1" applyBorder="1" applyFont="1">
      <alignment horizontal="center" readingOrder="0"/>
    </xf>
    <xf borderId="108" fillId="2" fontId="3" numFmtId="0" xfId="0" applyBorder="1" applyFont="1"/>
    <xf borderId="86" fillId="15" fontId="85" numFmtId="0" xfId="0" applyAlignment="1" applyBorder="1" applyFont="1">
      <alignment horizontal="center" readingOrder="0" vertical="center"/>
    </xf>
    <xf borderId="83" fillId="15" fontId="54" numFmtId="0" xfId="0" applyAlignment="1" applyBorder="1" applyFont="1">
      <alignment horizontal="center" readingOrder="0" vertical="center"/>
    </xf>
    <xf borderId="34" fillId="15" fontId="54" numFmtId="0" xfId="0" applyAlignment="1" applyBorder="1" applyFont="1">
      <alignment horizontal="center" readingOrder="0" vertical="center"/>
    </xf>
    <xf borderId="39" fillId="0" fontId="3" numFmtId="0" xfId="0" applyBorder="1" applyFont="1"/>
    <xf borderId="42" fillId="15" fontId="54" numFmtId="0" xfId="0" applyAlignment="1" applyBorder="1" applyFont="1">
      <alignment horizontal="center" readingOrder="0" vertical="center"/>
    </xf>
    <xf borderId="166" fillId="15" fontId="54" numFmtId="0" xfId="0" applyAlignment="1" applyBorder="1" applyFont="1">
      <alignment horizontal="center" readingOrder="0" vertical="center"/>
    </xf>
    <xf borderId="167" fillId="15" fontId="54" numFmtId="0" xfId="0" applyAlignment="1" applyBorder="1" applyFont="1">
      <alignment horizontal="center" readingOrder="0" vertical="center"/>
    </xf>
    <xf borderId="97" fillId="15" fontId="54" numFmtId="0" xfId="0" applyAlignment="1" applyBorder="1" applyFont="1">
      <alignment horizontal="center" vertical="center"/>
    </xf>
    <xf borderId="34" fillId="15" fontId="54" numFmtId="0" xfId="0" applyAlignment="1" applyBorder="1" applyFont="1">
      <alignment horizontal="center" vertical="center"/>
    </xf>
    <xf borderId="33" fillId="15" fontId="54" numFmtId="0" xfId="0" applyAlignment="1" applyBorder="1" applyFont="1">
      <alignment horizontal="center" readingOrder="0" vertical="center"/>
    </xf>
    <xf borderId="31" fillId="39" fontId="41" numFmtId="0" xfId="0" applyAlignment="1" applyBorder="1" applyFill="1" applyFont="1">
      <alignment horizontal="center" readingOrder="0"/>
    </xf>
    <xf borderId="22" fillId="39" fontId="41" numFmtId="0" xfId="0" applyAlignment="1" applyBorder="1" applyFont="1">
      <alignment horizontal="center" readingOrder="0"/>
    </xf>
    <xf borderId="30" fillId="39" fontId="41" numFmtId="0" xfId="0" applyAlignment="1" applyBorder="1" applyFont="1">
      <alignment horizontal="center" readingOrder="0"/>
    </xf>
    <xf borderId="21" fillId="39" fontId="41" numFmtId="0" xfId="0" applyAlignment="1" applyBorder="1" applyFont="1">
      <alignment horizontal="center" readingOrder="0"/>
    </xf>
    <xf borderId="168" fillId="39" fontId="41" numFmtId="0" xfId="0" applyAlignment="1" applyBorder="1" applyFont="1">
      <alignment horizontal="center" readingOrder="0"/>
    </xf>
    <xf borderId="17" fillId="15" fontId="3" numFmtId="0" xfId="0" applyBorder="1" applyFont="1"/>
    <xf borderId="31" fillId="39" fontId="3" numFmtId="0" xfId="0" applyBorder="1" applyFont="1"/>
    <xf borderId="73" fillId="0" fontId="41" numFmtId="0" xfId="0" applyAlignment="1" applyBorder="1" applyFont="1">
      <alignment horizontal="center" readingOrder="0"/>
    </xf>
    <xf borderId="0" fillId="40" fontId="54" numFmtId="0" xfId="0" applyAlignment="1" applyFill="1" applyFont="1">
      <alignment horizontal="center" readingOrder="0"/>
    </xf>
    <xf borderId="33" fillId="0" fontId="41" numFmtId="0" xfId="0" applyAlignment="1" applyBorder="1" applyFont="1">
      <alignment horizontal="center" readingOrder="0"/>
    </xf>
    <xf borderId="0" fillId="6" fontId="204" numFmtId="0" xfId="0" applyAlignment="1" applyFont="1">
      <alignment horizontal="center" readingOrder="0"/>
    </xf>
    <xf borderId="44" fillId="0" fontId="41" numFmtId="0" xfId="0" applyAlignment="1" applyBorder="1" applyFont="1">
      <alignment horizontal="center" readingOrder="0"/>
    </xf>
    <xf borderId="169" fillId="0" fontId="41" numFmtId="0" xfId="0" applyAlignment="1" applyBorder="1" applyFont="1">
      <alignment horizontal="center" readingOrder="0"/>
    </xf>
    <xf borderId="5" fillId="15" fontId="3" numFmtId="0" xfId="0" applyAlignment="1" applyBorder="1" applyFont="1">
      <alignment horizontal="center"/>
    </xf>
    <xf borderId="0" fillId="0" fontId="3" numFmtId="0" xfId="0" applyAlignment="1" applyFont="1">
      <alignment horizontal="center"/>
    </xf>
    <xf borderId="0" fillId="40" fontId="54" numFmtId="0" xfId="0" applyAlignment="1" applyFont="1">
      <alignment horizontal="center" readingOrder="0" vertical="center"/>
    </xf>
    <xf borderId="53" fillId="6" fontId="204" numFmtId="0" xfId="0" applyAlignment="1" applyBorder="1" applyFont="1">
      <alignment horizontal="center" readingOrder="0"/>
    </xf>
    <xf borderId="5" fillId="40" fontId="54" numFmtId="0" xfId="0" applyAlignment="1" applyBorder="1" applyFont="1">
      <alignment horizontal="center" readingOrder="0" vertical="center"/>
    </xf>
    <xf borderId="73" fillId="0" fontId="81" numFmtId="0" xfId="0" applyAlignment="1" applyBorder="1" applyFont="1">
      <alignment horizontal="center" readingOrder="0"/>
    </xf>
    <xf borderId="73" fillId="7" fontId="72" numFmtId="0" xfId="0" applyAlignment="1" applyBorder="1" applyFont="1">
      <alignment horizontal="center" readingOrder="0" vertical="center"/>
    </xf>
    <xf borderId="73" fillId="13" fontId="75" numFmtId="0" xfId="0" applyAlignment="1" applyBorder="1" applyFont="1">
      <alignment horizontal="center" readingOrder="0"/>
    </xf>
    <xf borderId="73" fillId="31" fontId="41" numFmtId="0" xfId="0" applyAlignment="1" applyBorder="1" applyFont="1">
      <alignment horizontal="center" readingOrder="0"/>
    </xf>
    <xf borderId="170" fillId="0" fontId="3" numFmtId="0" xfId="0" applyBorder="1" applyFont="1"/>
    <xf borderId="171" fillId="0" fontId="41" numFmtId="0" xfId="0" applyAlignment="1" applyBorder="1" applyFont="1">
      <alignment horizontal="center" readingOrder="0"/>
    </xf>
    <xf borderId="7" fillId="40" fontId="54" numFmtId="0" xfId="0" applyAlignment="1" applyBorder="1" applyFont="1">
      <alignment horizontal="center" readingOrder="0"/>
    </xf>
    <xf borderId="172" fillId="40" fontId="54" numFmtId="0" xfId="0" applyAlignment="1" applyBorder="1" applyFont="1">
      <alignment horizontal="center" readingOrder="0"/>
    </xf>
    <xf borderId="173" fillId="0" fontId="41" numFmtId="0" xfId="0" applyAlignment="1" applyBorder="1" applyFont="1">
      <alignment horizontal="center" readingOrder="0"/>
    </xf>
    <xf borderId="8" fillId="15" fontId="3" numFmtId="0" xfId="0" applyAlignment="1" applyBorder="1" applyFont="1">
      <alignment horizontal="center"/>
    </xf>
    <xf borderId="7" fillId="0" fontId="3" numFmtId="0" xfId="0" applyAlignment="1" applyBorder="1" applyFont="1">
      <alignment horizontal="center"/>
    </xf>
    <xf borderId="5" fillId="15" fontId="41" numFmtId="0" xfId="0" applyBorder="1" applyFont="1"/>
    <xf borderId="5" fillId="15" fontId="3" numFmtId="0" xfId="0" applyBorder="1" applyFont="1"/>
    <xf borderId="33" fillId="0" fontId="41" numFmtId="169" xfId="0" applyAlignment="1" applyBorder="1" applyFont="1" applyNumberFormat="1">
      <alignment horizontal="center" readingOrder="0"/>
    </xf>
    <xf borderId="73" fillId="6" fontId="154" numFmtId="0" xfId="0" applyAlignment="1" applyBorder="1" applyFont="1">
      <alignment horizontal="center" readingOrder="0" vertical="center"/>
    </xf>
    <xf borderId="8" fillId="15" fontId="3" numFmtId="0" xfId="0" applyBorder="1" applyFont="1"/>
    <xf borderId="0" fillId="0" fontId="41" numFmtId="169" xfId="0" applyAlignment="1" applyFont="1" applyNumberFormat="1">
      <alignment horizontal="center" readingOrder="0"/>
    </xf>
    <xf borderId="0" fillId="0" fontId="41" numFmtId="0" xfId="0" applyAlignment="1" applyFont="1">
      <alignment horizontal="center"/>
    </xf>
    <xf borderId="170" fillId="39" fontId="41" numFmtId="0" xfId="0" applyBorder="1" applyFont="1"/>
    <xf borderId="7" fillId="22" fontId="41" numFmtId="0" xfId="0" applyAlignment="1" applyBorder="1" applyFont="1">
      <alignment horizontal="center" readingOrder="0"/>
    </xf>
    <xf borderId="174" fillId="22" fontId="41" numFmtId="0" xfId="0" applyAlignment="1" applyBorder="1" applyFont="1">
      <alignment horizontal="center"/>
    </xf>
    <xf borderId="173" fillId="22" fontId="41" numFmtId="0" xfId="0" applyAlignment="1" applyBorder="1" applyFont="1">
      <alignment horizontal="center"/>
    </xf>
    <xf borderId="33" fillId="15" fontId="3" numFmtId="0" xfId="0" applyBorder="1" applyFont="1"/>
    <xf borderId="53" fillId="0" fontId="3" numFmtId="0" xfId="0" applyAlignment="1" applyBorder="1" applyFont="1">
      <alignment horizontal="center"/>
    </xf>
    <xf borderId="33" fillId="0" fontId="3" numFmtId="0" xfId="0" applyAlignment="1" applyBorder="1" applyFont="1">
      <alignment horizontal="center"/>
    </xf>
    <xf borderId="44" fillId="0" fontId="3" numFmtId="0" xfId="0" applyAlignment="1" applyBorder="1" applyFont="1">
      <alignment horizontal="center"/>
    </xf>
    <xf borderId="169" fillId="0" fontId="3" numFmtId="0" xfId="0" applyAlignment="1" applyBorder="1" applyFont="1">
      <alignment horizontal="center"/>
    </xf>
    <xf borderId="0" fillId="0" fontId="205" numFmtId="0" xfId="0" applyAlignment="1" applyFont="1">
      <alignment readingOrder="0"/>
    </xf>
    <xf borderId="0" fillId="0" fontId="206" numFmtId="0" xfId="0" applyAlignment="1" applyFont="1">
      <alignment readingOrder="0"/>
    </xf>
  </cellXfs>
  <cellStyles count="1">
    <cellStyle xfId="0" name="Normal" builtinId="0"/>
  </cellStyles>
  <dxfs count="45">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C53929"/>
      </font>
      <fill>
        <patternFill patternType="none"/>
      </fill>
      <border/>
    </dxf>
    <dxf>
      <font/>
      <fill>
        <patternFill patternType="solid">
          <fgColor rgb="FFFF9900"/>
          <bgColor rgb="FFFF9900"/>
        </patternFill>
      </fill>
      <border/>
    </dxf>
    <dxf>
      <font/>
      <fill>
        <patternFill patternType="solid">
          <fgColor rgb="FFD9D9D9"/>
          <bgColor rgb="FFD9D9D9"/>
        </patternFill>
      </fill>
      <border/>
    </dxf>
    <dxf>
      <font/>
      <fill>
        <patternFill patternType="solid">
          <fgColor rgb="FFF9CB9C"/>
          <bgColor rgb="FFF9CB9C"/>
        </patternFill>
      </fill>
      <border/>
    </dxf>
    <dxf>
      <font/>
      <fill>
        <patternFill patternType="solid">
          <fgColor rgb="FFFD8C24"/>
          <bgColor rgb="FFFD8C24"/>
        </patternFill>
      </fill>
      <border/>
    </dxf>
    <dxf>
      <font>
        <color rgb="FFFFFFFF"/>
      </font>
      <fill>
        <patternFill patternType="solid">
          <fgColor rgb="FF666666"/>
          <bgColor rgb="FF666666"/>
        </patternFill>
      </fill>
      <border/>
    </dxf>
    <dxf>
      <font>
        <color rgb="FFFFFFFF"/>
      </font>
      <fill>
        <patternFill patternType="solid">
          <fgColor rgb="FFFF0000"/>
          <bgColor rgb="FFFF0000"/>
        </patternFill>
      </fill>
      <border/>
    </dxf>
    <dxf>
      <font>
        <color rgb="FFFFFFFF"/>
      </font>
      <fill>
        <patternFill patternType="solid">
          <fgColor rgb="FF732A86"/>
          <bgColor rgb="FF732A86"/>
        </patternFill>
      </fill>
      <border/>
    </dxf>
    <dxf>
      <font>
        <color rgb="FFFFFFFF"/>
      </font>
      <fill>
        <patternFill patternType="solid">
          <fgColor rgb="FF434343"/>
          <bgColor rgb="FF434343"/>
        </patternFill>
      </fill>
      <border/>
    </dxf>
    <dxf>
      <font>
        <color rgb="FFFFE600"/>
      </font>
      <fill>
        <patternFill patternType="solid">
          <fgColor rgb="FF2E498E"/>
          <bgColor rgb="FF2E498E"/>
        </patternFill>
      </fill>
      <border/>
    </dxf>
    <dxf>
      <font>
        <color rgb="FFFFFFFF"/>
      </font>
      <fill>
        <patternFill patternType="solid">
          <fgColor rgb="FF00AF3F"/>
          <bgColor rgb="FF00AF3F"/>
        </patternFill>
      </fill>
      <border/>
    </dxf>
    <dxf>
      <font>
        <color rgb="FFFFFFFF"/>
      </font>
      <fill>
        <patternFill patternType="solid">
          <fgColor rgb="FFCC0000"/>
          <bgColor rgb="FFCC0000"/>
        </patternFill>
      </fill>
      <border/>
    </dxf>
    <dxf>
      <font>
        <color rgb="FFFFD966"/>
      </font>
      <fill>
        <patternFill patternType="solid">
          <fgColor rgb="FF990000"/>
          <bgColor rgb="FF990000"/>
        </patternFill>
      </fill>
      <border/>
    </dxf>
    <dxf>
      <font>
        <color rgb="FF990000"/>
      </font>
      <fill>
        <patternFill patternType="solid">
          <fgColor rgb="FF82BC00"/>
          <bgColor rgb="FF82BC00"/>
        </patternFill>
      </fill>
      <border/>
    </dxf>
    <dxf>
      <font>
        <color rgb="FFFFFFFF"/>
      </font>
      <fill>
        <patternFill patternType="solid">
          <fgColor rgb="FF153460"/>
          <bgColor rgb="FF153460"/>
        </patternFill>
      </fill>
      <border/>
    </dxf>
    <dxf>
      <font>
        <color rgb="FF82BC00"/>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B7B7B7"/>
          <bgColor rgb="FFB7B7B7"/>
        </patternFill>
      </fill>
      <border/>
    </dxf>
    <dxf>
      <font>
        <color rgb="FF000000"/>
      </font>
      <fill>
        <patternFill patternType="solid">
          <fgColor rgb="FFF9CB9C"/>
          <bgColor rgb="FFF9CB9C"/>
        </patternFill>
      </fill>
      <border/>
    </dxf>
    <dxf>
      <font>
        <b/>
        <color rgb="FFCC0000"/>
      </font>
      <fill>
        <patternFill patternType="solid">
          <fgColor rgb="FFD9EAD3"/>
          <bgColor rgb="FFD9EAD3"/>
        </patternFill>
      </fill>
      <border/>
    </dxf>
    <dxf>
      <font>
        <color rgb="FFFFEA00"/>
      </font>
      <fill>
        <patternFill patternType="solid">
          <fgColor rgb="FF2E498E"/>
          <bgColor rgb="FF2E498E"/>
        </patternFill>
      </fill>
      <border/>
    </dxf>
    <dxf>
      <font/>
      <fill>
        <patternFill patternType="solid">
          <fgColor rgb="FF38761D"/>
          <bgColor rgb="FF38761D"/>
        </patternFill>
      </fill>
      <border/>
    </dxf>
    <dxf>
      <font>
        <color rgb="FFFFFFFF"/>
      </font>
      <fill>
        <patternFill patternType="solid">
          <fgColor rgb="FFDE0000"/>
          <bgColor rgb="FFDE0000"/>
        </patternFill>
      </fill>
      <border/>
    </dxf>
    <dxf>
      <font>
        <color rgb="FF38761D"/>
      </font>
      <fill>
        <patternFill patternType="solid">
          <fgColor rgb="FFFFFFFF"/>
          <bgColor rgb="FFFFFFFF"/>
        </patternFill>
      </fill>
      <border/>
    </dxf>
    <dxf>
      <font>
        <b/>
        <color rgb="FFFF0000"/>
      </font>
      <fill>
        <patternFill patternType="solid">
          <fgColor rgb="FFFFFFFF"/>
          <bgColor rgb="FFFFFFFF"/>
        </patternFill>
      </fill>
      <border/>
    </dxf>
    <dxf>
      <font>
        <b/>
        <color rgb="FF38761D"/>
      </font>
      <fill>
        <patternFill patternType="solid">
          <fgColor rgb="FFFFFFFF"/>
          <bgColor rgb="FFFFFFFF"/>
        </patternFill>
      </fill>
      <border/>
    </dxf>
    <dxf>
      <font>
        <color rgb="FF000000"/>
      </font>
      <fill>
        <patternFill patternType="solid">
          <fgColor rgb="FFF6B26B"/>
          <bgColor rgb="FFF6B26B"/>
        </patternFill>
      </fill>
      <border/>
    </dxf>
    <dxf>
      <font/>
      <fill>
        <patternFill patternType="solid">
          <fgColor rgb="FFF6B26B"/>
          <bgColor rgb="FFF6B26B"/>
        </patternFill>
      </fill>
      <border/>
    </dxf>
    <dxf>
      <font>
        <color rgb="FF000000"/>
      </font>
      <fill>
        <patternFill patternType="solid">
          <fgColor rgb="FFFF9900"/>
          <bgColor rgb="FFFF9900"/>
        </patternFill>
      </fill>
      <border/>
    </dxf>
    <dxf>
      <font>
        <color rgb="FFF09300"/>
      </font>
      <fill>
        <patternFill patternType="none"/>
      </fill>
      <border/>
    </dxf>
    <dxf>
      <font>
        <color rgb="FFCC0000"/>
      </font>
      <fill>
        <patternFill patternType="solid">
          <fgColor rgb="FFFFFFFF"/>
          <bgColor rgb="FFFFFFFF"/>
        </patternFill>
      </fill>
      <border/>
    </dxf>
    <dxf>
      <font>
        <color rgb="FFB7E1CD"/>
      </font>
      <fill>
        <patternFill patternType="solid">
          <fgColor rgb="FFB7E1CD"/>
          <bgColor rgb="FFB7E1CD"/>
        </patternFill>
      </fill>
      <border/>
    </dxf>
    <dxf>
      <font>
        <color rgb="FFF4C7C3"/>
      </font>
      <fill>
        <patternFill patternType="solid">
          <fgColor rgb="FFF4C7C3"/>
          <bgColor rgb="FFF4C7C3"/>
        </patternFill>
      </fill>
      <border/>
    </dxf>
    <dxf>
      <font/>
      <fill>
        <patternFill patternType="solid">
          <fgColor rgb="FFCC0000"/>
          <bgColor rgb="FFCC0000"/>
        </patternFill>
      </fill>
      <border/>
    </dxf>
    <dxf>
      <font>
        <b/>
        <color rgb="FFFFFFFF"/>
      </font>
      <fill>
        <patternFill patternType="solid">
          <fgColor rgb="FF732A86"/>
          <bgColor rgb="FF732A86"/>
        </patternFill>
      </fill>
      <border/>
    </dxf>
    <dxf>
      <font/>
      <fill>
        <patternFill patternType="solid">
          <fgColor rgb="FFFFD900"/>
          <bgColor rgb="FFFFD9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1.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2.xml"/><Relationship Id="rId3"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eddit.com/r/RMTK/comments/6vktnq/m0233_motie_tot_vastleggen_voorrangspositie/" TargetMode="External"/><Relationship Id="rId42" Type="http://schemas.openxmlformats.org/officeDocument/2006/relationships/hyperlink" Target="https://www.reddit.com/r/RMTK/comments/6wm4yr/m0235_motie_tot_aanvraag_lidmaatschap_bij_de/" TargetMode="External"/><Relationship Id="rId41" Type="http://schemas.openxmlformats.org/officeDocument/2006/relationships/hyperlink" Target="https://www.reddit.com/r/RMTK/comments/6wm4cw/m0234_motie_tot_steunen_van_de_bolivariaanse/" TargetMode="External"/><Relationship Id="rId44" Type="http://schemas.openxmlformats.org/officeDocument/2006/relationships/hyperlink" Target="https://www.reddit.com/r/RMTK/comments/6xh0qa/m0237_motie_tot_afschaffen_collegegeld/" TargetMode="External"/><Relationship Id="rId43" Type="http://schemas.openxmlformats.org/officeDocument/2006/relationships/hyperlink" Target="https://www.reddit.com/r/RMTK/comments/6x1a8q/m0236_motie_tot_onteigening_van_de_rijken_om_het/" TargetMode="External"/><Relationship Id="rId46" Type="http://schemas.openxmlformats.org/officeDocument/2006/relationships/hyperlink" Target="https://www.reddit.com/r/RMTK/comments/6y0ppi/m0239_motie_tot_intensievere_samenwerking_omtrent/" TargetMode="External"/><Relationship Id="rId45" Type="http://schemas.openxmlformats.org/officeDocument/2006/relationships/hyperlink" Target="https://www.reddit.com/r/RMTK/comments/6y0pf7/m0238_motie_tot_het_opnemen_van_minimaal_30000/" TargetMode="External"/><Relationship Id="rId1" Type="http://schemas.openxmlformats.org/officeDocument/2006/relationships/comments" Target="../comments1.xml"/><Relationship Id="rId2" Type="http://schemas.openxmlformats.org/officeDocument/2006/relationships/hyperlink" Target="https://www.reddit.com/r/RMTK/comments/4hhk7w/m0061_motie_tot_strengere_cbrcontroles/" TargetMode="External"/><Relationship Id="rId3" Type="http://schemas.openxmlformats.org/officeDocument/2006/relationships/hyperlink" Target="https://www.reddit.com/r/RMTK/comments/4hwkl3/m0062_motie_tot_vervanging_renteaftrek_door_een/" TargetMode="External"/><Relationship Id="rId4" Type="http://schemas.openxmlformats.org/officeDocument/2006/relationships/hyperlink" Target="https://www.reddit.com/r/RMTK/comments/4jcacd/m0065_motie_tot_het_verbeteren_van_de_ouderenzorg/?ref=search_posts" TargetMode="External"/><Relationship Id="rId9" Type="http://schemas.openxmlformats.org/officeDocument/2006/relationships/hyperlink" Target="https://www.reddit.com/r/RMTK/comments/4k8lbi/m0070_motie_betreffende_mensenrechten_en/" TargetMode="External"/><Relationship Id="rId48" Type="http://schemas.openxmlformats.org/officeDocument/2006/relationships/hyperlink" Target="https://www.reddit.com/r/RMTK/comments/6ywynq/m0241_motie_tot_het_oprichten_van_een/" TargetMode="External"/><Relationship Id="rId47" Type="http://schemas.openxmlformats.org/officeDocument/2006/relationships/hyperlink" Target="https://www.reddit.com/r/RMTK/comments/6yebr0/m0240_motie_tot_een_algeheel_verbod_op_gemaskerd/" TargetMode="External"/><Relationship Id="rId49" Type="http://schemas.openxmlformats.org/officeDocument/2006/relationships/hyperlink" Target="https://www.reddit.com/r/RMTK/comments/6ywza4/m0242_motie_tot_creatie_steunfonds_voor_het/" TargetMode="External"/><Relationship Id="rId5" Type="http://schemas.openxmlformats.org/officeDocument/2006/relationships/hyperlink" Target="https://www.reddit.com/r/RMTK/comments/4jibfh/m0066_motie_tot_het_wijzigen_van_de/?ref=search_posts" TargetMode="External"/><Relationship Id="rId6" Type="http://schemas.openxmlformats.org/officeDocument/2006/relationships/hyperlink" Target="https://www.reddit.com/r/RMTK/comments/4jibkj/m0067_motie_tot_strafbaarstelling_van_autobezit/?ref=search_posts" TargetMode="External"/><Relationship Id="rId7" Type="http://schemas.openxmlformats.org/officeDocument/2006/relationships/hyperlink" Target="https://www.reddit.com/r/RMTK/comments/4jxgkn/m0068_motie_tot_voetbalclubs_te_laten_betalen/" TargetMode="External"/><Relationship Id="rId8" Type="http://schemas.openxmlformats.org/officeDocument/2006/relationships/hyperlink" Target="https://www.reddit.com/r/RMTK/comments/4k8l5i/m0069_motie_tot_onderzoek_om_een_systeem_zoals/" TargetMode="External"/><Relationship Id="rId72" Type="http://schemas.openxmlformats.org/officeDocument/2006/relationships/vmlDrawing" Target="../drawings/vmlDrawing1.vml"/><Relationship Id="rId31" Type="http://schemas.openxmlformats.org/officeDocument/2006/relationships/hyperlink" Target="https://www.reddit.com/r/RMTK/comments/6n98ik/m0224_motie_om_het_democratiseringsplan_uitgelegd/" TargetMode="External"/><Relationship Id="rId30" Type="http://schemas.openxmlformats.org/officeDocument/2006/relationships/hyperlink" Target="https://www.reddit.com/r/RMTK/comments/6mkt3r/m0223_motie_van_treurnis_jegens_het_presidium/" TargetMode="External"/><Relationship Id="rId33" Type="http://schemas.openxmlformats.org/officeDocument/2006/relationships/hyperlink" Target="https://www.reddit.com/r/RMTK/comments/6nvr3g/m0226_motie_tot_aanpak_administratiekosten_verhuur/" TargetMode="External"/><Relationship Id="rId32" Type="http://schemas.openxmlformats.org/officeDocument/2006/relationships/hyperlink" Target="https://www.reddit.com/r/RMTK/comments/6nvpld/m0225_motie_tot_waarborgen_van_de_medische/" TargetMode="External"/><Relationship Id="rId35" Type="http://schemas.openxmlformats.org/officeDocument/2006/relationships/hyperlink" Target="https://www.reddit.com/r/RMTK/comments/6o8pzp/m0228_motie_tot_het_mogelijk_maken_van/" TargetMode="External"/><Relationship Id="rId34" Type="http://schemas.openxmlformats.org/officeDocument/2006/relationships/hyperlink" Target="https://www.reddit.com/r/RMTK/comments/6mon1s/m0227_motie_van_afkeuring_jegens_de/" TargetMode="External"/><Relationship Id="rId71" Type="http://schemas.openxmlformats.org/officeDocument/2006/relationships/drawing" Target="../drawings/drawing4.xml"/><Relationship Id="rId70" Type="http://schemas.openxmlformats.org/officeDocument/2006/relationships/hyperlink" Target="https://redd.it/7j4zxm" TargetMode="External"/><Relationship Id="rId37" Type="http://schemas.openxmlformats.org/officeDocument/2006/relationships/hyperlink" Target="https://www.reddit.com/r/RMTK/comments/6svgiy/m0230_motie_tot_het_onderzoeken_van_de/" TargetMode="External"/><Relationship Id="rId36" Type="http://schemas.openxmlformats.org/officeDocument/2006/relationships/hyperlink" Target="https://www.reddit.com/r/RMTK/comments/6o8rzi/m0229_motie_tot_het_verhogen_van_de_nposubsidie/" TargetMode="External"/><Relationship Id="rId39" Type="http://schemas.openxmlformats.org/officeDocument/2006/relationships/hyperlink" Target="https://www.reddit.com/r/RMTK/comments/6vkt0x/m0232_motie_tot_vergroting_centraal_plan_bureau/" TargetMode="External"/><Relationship Id="rId38" Type="http://schemas.openxmlformats.org/officeDocument/2006/relationships/hyperlink" Target="https://www.reddit.com/r/RMTK/comments/6svpwp/m0231_motie_tot_stimuleren_nederlandse_cultuur/" TargetMode="External"/><Relationship Id="rId62" Type="http://schemas.openxmlformats.org/officeDocument/2006/relationships/hyperlink" Target="https://www.reddit.com/r/RMTK/comments/7d3c3d/m0261_motie_van_afkeuring_jegens_de/" TargetMode="External"/><Relationship Id="rId61" Type="http://schemas.openxmlformats.org/officeDocument/2006/relationships/hyperlink" Target="https://www.reddit.com/r/RMTK/comments/7cmm04/m0260_motie_tot_het_genderneutraal_maken_van_alle/" TargetMode="External"/><Relationship Id="rId20" Type="http://schemas.openxmlformats.org/officeDocument/2006/relationships/hyperlink" Target="https://www.reddit.com/r/RMTK/comments/6hobgi/m0214_motie_betreffende_vrijheid_van_beweging_eu/" TargetMode="External"/><Relationship Id="rId64" Type="http://schemas.openxmlformats.org/officeDocument/2006/relationships/hyperlink" Target="https://www.reddit.com/r/RMTK/comments/7d3ea8/m0263_motie_tot_creatie_toezicht_en_regelgeving/" TargetMode="External"/><Relationship Id="rId63" Type="http://schemas.openxmlformats.org/officeDocument/2006/relationships/hyperlink" Target="https://www.reddit.com/r/RMTK/comments/7d3cyl/m0262_motie_tot_het_zichtbaar_maken_van_de/" TargetMode="External"/><Relationship Id="rId22" Type="http://schemas.openxmlformats.org/officeDocument/2006/relationships/hyperlink" Target="https://www.reddit.com/r/RMTK/comments/6jm31n/m0216motie_tegen_het_referendum_over_de_eu/" TargetMode="External"/><Relationship Id="rId66" Type="http://schemas.openxmlformats.org/officeDocument/2006/relationships/hyperlink" Target="https://www.reddit.com/r/RMTK/comments/7dm1se/m0265_motie_tot_strafbaar_stellen_souteneurschap/?utm_content=title&amp;utm_medium=hot&amp;utm_source=reddit&amp;utm_name=RMTK" TargetMode="External"/><Relationship Id="rId21" Type="http://schemas.openxmlformats.org/officeDocument/2006/relationships/hyperlink" Target="https://www.reddit.com/r/RMTK/comments/6i6w9f/m0215_motie_betreffende_toevoeging_capibara_aan/" TargetMode="External"/><Relationship Id="rId65" Type="http://schemas.openxmlformats.org/officeDocument/2006/relationships/hyperlink" Target="https://www.reddit.com/r/RMTK/comments/7dm187/m0264_motie_tot_helpen_rijksmusea/?utm_content=title&amp;utm_medium=hot&amp;utm_source=reddit&amp;utm_name=RMTK" TargetMode="External"/><Relationship Id="rId24" Type="http://schemas.openxmlformats.org/officeDocument/2006/relationships/hyperlink" Target="https://www.reddit.com/r/RMTK/comments/6l2hlt/m0217_motie_tot_sancties_tegen_staten_die/" TargetMode="External"/><Relationship Id="rId68" Type="http://schemas.openxmlformats.org/officeDocument/2006/relationships/hyperlink" Target="https://www.reddit.com/r/RMTK/comments/7ecgac/m0267_motie_tot_het_wettelijk_gelijk_stellen_van/?utm_content=title&amp;utm_medium=hot&amp;utm_source=reddit&amp;utm_name=RMTK" TargetMode="External"/><Relationship Id="rId23" Type="http://schemas.openxmlformats.org/officeDocument/2006/relationships/hyperlink" Target="https://www.reddit.com/r/RMTK/comments/6jw037/m02016_motie_van_wantrouwen_jegens_lid_van_het/" TargetMode="External"/><Relationship Id="rId67" Type="http://schemas.openxmlformats.org/officeDocument/2006/relationships/hyperlink" Target="https://www.reddit.com/r/RMTK/comments/7ecf54/m0266_motie_kwaliteitsverbetering_seksueel/?utm_content=title&amp;utm_medium=hot&amp;utm_source=reddit&amp;utm_name=RMTK" TargetMode="External"/><Relationship Id="rId60" Type="http://schemas.openxmlformats.org/officeDocument/2006/relationships/hyperlink" Target="https://www.reddit.com/r/RMTK/comments/7a658n/m0257_motie_tot_het_niet_buitensporig_laten/" TargetMode="External"/><Relationship Id="rId26" Type="http://schemas.openxmlformats.org/officeDocument/2006/relationships/hyperlink" Target="https://www.reddit.com/r/RMTK/comments/6lfx5l/m0219_motie_gezond_eten_op_school/" TargetMode="External"/><Relationship Id="rId25" Type="http://schemas.openxmlformats.org/officeDocument/2006/relationships/hyperlink" Target="https://www.reddit.com/r/RMTK/comments/6lfx1p/m0218_motie_tot_bescherming_van_historische/" TargetMode="External"/><Relationship Id="rId69" Type="http://schemas.openxmlformats.org/officeDocument/2006/relationships/hyperlink" Target="https://redd.it/7j4zjk" TargetMode="External"/><Relationship Id="rId28" Type="http://schemas.openxmlformats.org/officeDocument/2006/relationships/hyperlink" Target="https://www.reddit.com/r/RMTK/comments/6mkseh/m0221_motie_van_wantrouwen_jegens_de_regering/" TargetMode="External"/><Relationship Id="rId27" Type="http://schemas.openxmlformats.org/officeDocument/2006/relationships/hyperlink" Target="https://www.reddit.com/r/RMTK/comments/6murs7/m0220_motie_tot_bedekken_overheidsgebouwen_met/" TargetMode="External"/><Relationship Id="rId29" Type="http://schemas.openxmlformats.org/officeDocument/2006/relationships/hyperlink" Target="https://www.reddit.com/r/RMTK/comments/6mksq1/m0222_motie_van_afkeuring_jegens_de_minister_van/" TargetMode="External"/><Relationship Id="rId51" Type="http://schemas.openxmlformats.org/officeDocument/2006/relationships/hyperlink" Target="https://www.reddit.com/r/RMTK/comments/74jngm/m0244_motie_tot_intrekken_anbistatus_van_vakbonden/" TargetMode="External"/><Relationship Id="rId50" Type="http://schemas.openxmlformats.org/officeDocument/2006/relationships/hyperlink" Target="https://www.reddit.com/r/RMTK/comments/6zh7v5/m0243_motie_tot_het_starten_naar_onderzoek/" TargetMode="External"/><Relationship Id="rId53" Type="http://schemas.openxmlformats.org/officeDocument/2006/relationships/hyperlink" Target="https://www.reddit.com/r/RMTK/comments/7582vw/m0246_motie_toestaan_meerouderschap/" TargetMode="External"/><Relationship Id="rId52" Type="http://schemas.openxmlformats.org/officeDocument/2006/relationships/hyperlink" Target="https://www.reddit.com/r/RMTK/comments/74jo25/m0245_motie_participatie_levensbeschouwende/" TargetMode="External"/><Relationship Id="rId11" Type="http://schemas.openxmlformats.org/officeDocument/2006/relationships/hyperlink" Target="https://www.reddit.com/r/RMTK/comments/4koiiq/m0072_motie_betreffende_de_opening_van_een/" TargetMode="External"/><Relationship Id="rId55" Type="http://schemas.openxmlformats.org/officeDocument/2006/relationships/hyperlink" Target="https://www.reddit.com/r/RMTK/comments/75nw6y/m0248_motie_tot_het_liberaliseren_van_de_markt/" TargetMode="External"/><Relationship Id="rId10" Type="http://schemas.openxmlformats.org/officeDocument/2006/relationships/hyperlink" Target="https://www.reddit.com/r/RMTK/comments/4koie7/m0071_motie_betreffende_vergoeding_nietgebruikte/" TargetMode="External"/><Relationship Id="rId54" Type="http://schemas.openxmlformats.org/officeDocument/2006/relationships/hyperlink" Target="https://www.reddit.com/r/RMTK/comments/7583po/m0247_motie_tot_het_waarborgen_van_een_optout_uit/" TargetMode="External"/><Relationship Id="rId13" Type="http://schemas.openxmlformats.org/officeDocument/2006/relationships/hyperlink" Target="https://www.reddit.com/r/RMTK/comments/5d613m/m0137_motie_van_treurnis_jegens_de_minister_van/?ref=search_posts" TargetMode="External"/><Relationship Id="rId57" Type="http://schemas.openxmlformats.org/officeDocument/2006/relationships/hyperlink" Target="https://www.reddit.com/r/RMTK/comments/766qsa/m0250_motie_tot_oprichting_woningfonds/" TargetMode="External"/><Relationship Id="rId12" Type="http://schemas.openxmlformats.org/officeDocument/2006/relationships/hyperlink" Target="https://www.reddit.com/r/RMTK/comments/5cft3i/m0136_motie_tot_terugtrekken_kabinetsplannen/?ref=search_posts" TargetMode="External"/><Relationship Id="rId56" Type="http://schemas.openxmlformats.org/officeDocument/2006/relationships/hyperlink" Target="https://www.reddit.com/r/RMTK/comments/75nwr7/m0249_motie_tot_sluiten_kolencentrales/" TargetMode="External"/><Relationship Id="rId15" Type="http://schemas.openxmlformats.org/officeDocument/2006/relationships/hyperlink" Target="https://www.reddit.com/r/RMTK/comments/5dnbbg/m0139_motie_tot_betere_bescherming_klokkenluiders/" TargetMode="External"/><Relationship Id="rId59" Type="http://schemas.openxmlformats.org/officeDocument/2006/relationships/hyperlink" Target="https://www.reddit.com/r/RMTK/comments/789afk/m0254_motie_tot_nationalisering_nam/" TargetMode="External"/><Relationship Id="rId14" Type="http://schemas.openxmlformats.org/officeDocument/2006/relationships/hyperlink" Target="https://www.reddit.com/r/RMTK/comments/5da2qq/m0138_motie_van_afkeuring_jegens_de_minister_van/?ref=search_posts" TargetMode="External"/><Relationship Id="rId58" Type="http://schemas.openxmlformats.org/officeDocument/2006/relationships/hyperlink" Target="https://www.reddit.com/r/RMTK/comments/76sll9/m0251_motie_tot_toelaten_huwelijkstherapie_in_het/" TargetMode="External"/><Relationship Id="rId17" Type="http://schemas.openxmlformats.org/officeDocument/2006/relationships/hyperlink" Target="https://www.reddit.com/r/RMTK/comments/672a4d/m0190_motie_van_wantrouwen_jegens_het_presidium/" TargetMode="External"/><Relationship Id="rId16" Type="http://schemas.openxmlformats.org/officeDocument/2006/relationships/hyperlink" Target="https://www.reddit.com/r/RMTK/comments/5dnc38/m0140_motie_tot_actieplan_fietsparkeerplekken/?ref=search_posts" TargetMode="External"/><Relationship Id="rId19" Type="http://schemas.openxmlformats.org/officeDocument/2006/relationships/hyperlink" Target="https://www.reddit.com/r/RMTK/comments/6eei1a/motie_van_treurnis_jegens_de_minister_van/" TargetMode="External"/><Relationship Id="rId18" Type="http://schemas.openxmlformats.org/officeDocument/2006/relationships/hyperlink" Target="https://www.reddit.com/r/RMTK/comments/6eej42/motie_van_afkeuring_jegens_het_kabine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reddit.com/r/RMTK/comments/4gmjic/w0031_wetsvoorstel_tot_afschaffing_covenant/" TargetMode="External"/><Relationship Id="rId3" Type="http://schemas.openxmlformats.org/officeDocument/2006/relationships/hyperlink" Target="https://www.reddit.com/r/RMTK/comments/4hhjyw/w0032_wetswijziging_wet_op_adeldom/" TargetMode="External"/><Relationship Id="rId4" Type="http://schemas.openxmlformats.org/officeDocument/2006/relationships/hyperlink" Target="https://www.reddit.com/r/RMTK/comments/4qputc/w0039_grondwetswijziging_benodigde_steun/" TargetMode="External"/><Relationship Id="rId9" Type="http://schemas.openxmlformats.org/officeDocument/2006/relationships/hyperlink" Target="https://www.reddit.com/r/RMTK/comments/6j0a0i/w0096_wet_afschaffing_rekentoets_voortgezet/" TargetMode="External"/><Relationship Id="rId5" Type="http://schemas.openxmlformats.org/officeDocument/2006/relationships/hyperlink" Target="https://www.reddit.com/r/RMTK/comments/6fa4uz/w0092_wet_tot_toestaan_eenmalig_referendum_van/" TargetMode="External"/><Relationship Id="rId6" Type="http://schemas.openxmlformats.org/officeDocument/2006/relationships/hyperlink" Target="https://www.reddit.com/r/RMTK/comments/6fvibt/w0093_wet_afschaffen_dienstplicht_2017/" TargetMode="External"/><Relationship Id="rId7" Type="http://schemas.openxmlformats.org/officeDocument/2006/relationships/hyperlink" Target="https://www.reddit.com/r/RMTK/comments/6g9ap6/w0094_wet_tot_wijziging_rijkswet_op_het/" TargetMode="External"/><Relationship Id="rId8" Type="http://schemas.openxmlformats.org/officeDocument/2006/relationships/hyperlink" Target="https://www.reddit.com/r/RMTK/comments/6guf9u/w0095_wet_afschaffen_dienstplicht_2017/" TargetMode="External"/><Relationship Id="rId31" Type="http://schemas.openxmlformats.org/officeDocument/2006/relationships/vmlDrawing" Target="../drawings/vmlDrawing2.vml"/><Relationship Id="rId30" Type="http://schemas.openxmlformats.org/officeDocument/2006/relationships/drawing" Target="../drawings/drawing5.xml"/><Relationship Id="rId20" Type="http://schemas.openxmlformats.org/officeDocument/2006/relationships/hyperlink" Target="https://www.reddit.com/r/RMTK/comments/75pe71/w0107_wetswijziging_tot_invoering_van_een/" TargetMode="External"/><Relationship Id="rId22" Type="http://schemas.openxmlformats.org/officeDocument/2006/relationships/hyperlink" Target="https://www.reddit.com/r/RMTK/comments/789ca3/w0109_grondwetswijziging_tot/" TargetMode="External"/><Relationship Id="rId21" Type="http://schemas.openxmlformats.org/officeDocument/2006/relationships/hyperlink" Target="https://www.reddit.com/r/RMTK/comments/76snx9/w0108_wet_tot_verwerping_wet_tot_wijziging/" TargetMode="External"/><Relationship Id="rId24" Type="http://schemas.openxmlformats.org/officeDocument/2006/relationships/hyperlink" Target="https://www.reddit.com/r/RMTK/comments/78oz1o/w0111_wetswijziging_ter_verruiming_van_de/" TargetMode="External"/><Relationship Id="rId23" Type="http://schemas.openxmlformats.org/officeDocument/2006/relationships/hyperlink" Target="https://www.reddit.com/r/RMTK/comments/79z662/w0110_wet_verkeersgeschiktheid_ouderen/" TargetMode="External"/><Relationship Id="rId26" Type="http://schemas.openxmlformats.org/officeDocument/2006/relationships/hyperlink" Target="https://www.reddit.com/r/RMTK/comments/7cmldt/w0113_wet_tot_wijziging_begrotingswet_2017_om_tot/" TargetMode="External"/><Relationship Id="rId25" Type="http://schemas.openxmlformats.org/officeDocument/2006/relationships/hyperlink" Target="https://www.reddit.com/r/RMTK/comments/7a6779/w0112_intrekkingswet_zondagswet/" TargetMode="External"/><Relationship Id="rId28" Type="http://schemas.openxmlformats.org/officeDocument/2006/relationships/hyperlink" Target="https://www.reddit.com/r/RMTK/comments/7b770t/w0115_wetswijziging_ter_afschaffing_van_de/" TargetMode="External"/><Relationship Id="rId27" Type="http://schemas.openxmlformats.org/officeDocument/2006/relationships/hyperlink" Target="https://www.reddit.com/r/RMTK/comments/78pwbc/w0114_wetswijziging_tot_toestaan_polyamorisch/" TargetMode="External"/><Relationship Id="rId29" Type="http://schemas.openxmlformats.org/officeDocument/2006/relationships/hyperlink" Target="https://www.reddit.com/r/RMTK/comments/7bog8h/w0116_wet_versterking_van_de_educatieve_recherche/" TargetMode="External"/><Relationship Id="rId11" Type="http://schemas.openxmlformats.org/officeDocument/2006/relationships/hyperlink" Target="https://www.reddit.com/r/RMTK/comments/6oo6du/w0098_wet_eerlijke_boekenprijzen/" TargetMode="External"/><Relationship Id="rId10" Type="http://schemas.openxmlformats.org/officeDocument/2006/relationships/hyperlink" Target="https://www.reddit.com/r/RMTK/comments/6kfw55/w0097_wet_beloningsbeleid_financi%C3%ABle_ondernemingen/" TargetMode="External"/><Relationship Id="rId13" Type="http://schemas.openxmlformats.org/officeDocument/2006/relationships/hyperlink" Target="https://www.reddit.com/r/RMTK/comments/6snouc/w0100_wetsvoorstel_tot_redelijke_bemiddeling_bij/" TargetMode="External"/><Relationship Id="rId12" Type="http://schemas.openxmlformats.org/officeDocument/2006/relationships/hyperlink" Target="https://www.reddit.com/r/RMTK/comments/6snoav/w0099_wetsvoorstel_omtrent_administratiekosten/" TargetMode="External"/><Relationship Id="rId15" Type="http://schemas.openxmlformats.org/officeDocument/2006/relationships/hyperlink" Target="https://www.reddit.com/r/RMTK/comments/6wsvna/w0102_wet_sancties_venezuela/" TargetMode="External"/><Relationship Id="rId14" Type="http://schemas.openxmlformats.org/officeDocument/2006/relationships/hyperlink" Target="https://www.reddit.com/r/RMTK/comments/6tpdq2/w0101_wet_administratieve_detentie/" TargetMode="External"/><Relationship Id="rId17" Type="http://schemas.openxmlformats.org/officeDocument/2006/relationships/hyperlink" Target="https://www.reddit.com/r/RMTK/comments/6zhair/w0104_wet_gedeeltelijk_verbod_gezichtsbedekkende/" TargetMode="External"/><Relationship Id="rId16" Type="http://schemas.openxmlformats.org/officeDocument/2006/relationships/hyperlink" Target="https://www.reddit.com/r/RMTK/comments/6x1awh/w0103_wet_tot_herziening_milieuzones/" TargetMode="External"/><Relationship Id="rId19" Type="http://schemas.openxmlformats.org/officeDocument/2006/relationships/hyperlink" Target="https://www.reddit.com/r/RMTK/comments/75pdqa/w0106_wet_tot_verwerping_wet_tot_wijziging/" TargetMode="External"/><Relationship Id="rId18" Type="http://schemas.openxmlformats.org/officeDocument/2006/relationships/hyperlink" Target="https://www.reddit.com/r/RMTK/comments/766rbm/w0105_wet_wijziging_defensiefon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reddit.com/r/RMTK/comments/6kfw55/w0097_wet_beloningsbeleid_financi%C3%ABle_ondernemingen/" TargetMode="External"/><Relationship Id="rId3" Type="http://schemas.openxmlformats.org/officeDocument/2006/relationships/hyperlink" Target="https://www.reddit.com/r/RMTK/comments/78oz1o/w0111_wetswijziging_ter_verruiming_van_de/" TargetMode="External"/><Relationship Id="rId4" Type="http://schemas.openxmlformats.org/officeDocument/2006/relationships/hyperlink" Target="https://www.reddit.com/r/RMTK/comments/7b7bj6/w0111i_amendement_ter_creatie_van_een_vrije_dag/" TargetMode="External"/><Relationship Id="rId5" Type="http://schemas.openxmlformats.org/officeDocument/2006/relationships/drawing" Target="../drawings/drawing6.xml"/><Relationship Id="rId6"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ddit.com/r/RMTK/comments/6dbpe4/kb0025_koninklijk_besluit_inzake_tulpenfonds/" TargetMode="External"/><Relationship Id="rId2" Type="http://schemas.openxmlformats.org/officeDocument/2006/relationships/hyperlink" Target="https://www.reddit.com/r/RMTK/comments/6dftzz/kb0026_verheffing_in_de_adellijkheid_ter_ere_van/" TargetMode="External"/><Relationship Id="rId3" Type="http://schemas.openxmlformats.org/officeDocument/2006/relationships/hyperlink" Target="https://www.reddit.com/r/RMTK/comments/6ln3cf/kb0027_koninklijk_besluit_inzake_speciale/" TargetMode="External"/><Relationship Id="rId4" Type="http://schemas.openxmlformats.org/officeDocument/2006/relationships/hyperlink" Target="https://www.reddit.com/r/RMTK/comments/6mktag/kb0028_koninklijk_besluit_inzake_deposito/" TargetMode="External"/><Relationship Id="rId9" Type="http://schemas.openxmlformats.org/officeDocument/2006/relationships/hyperlink" Target="https://www.reddit.com/r/RMTK/comments/7ad631/kb033_koninklijk_besluit_tot_aanwijzing_van_de/" TargetMode="External"/><Relationship Id="rId5" Type="http://schemas.openxmlformats.org/officeDocument/2006/relationships/hyperlink" Target="https://www.reddit.com/r/RMTK/comments/6tpfqf/kb0029_koninklijk_besluit_betreffende_de/" TargetMode="External"/><Relationship Id="rId6" Type="http://schemas.openxmlformats.org/officeDocument/2006/relationships/hyperlink" Target="https://www.reddit.com/r/RMTK/comments/6xh2br/kb0030_koninklijk_besluit_inzake_financiering/" TargetMode="External"/><Relationship Id="rId7" Type="http://schemas.openxmlformats.org/officeDocument/2006/relationships/hyperlink" Target="https://www.reddit.com/r/RMTK/comments/6yec1t/kb0031_koninklijk_besluit_kraken_en_leegstand/" TargetMode="External"/><Relationship Id="rId8" Type="http://schemas.openxmlformats.org/officeDocument/2006/relationships/hyperlink" Target="https://www.reddit.com/r/RMTK/comments/72dycj/kb0032_koninklijk_besluit_onderzoek_be%C3%AFnvloeding/" TargetMode="External"/><Relationship Id="rId11" Type="http://schemas.openxmlformats.org/officeDocument/2006/relationships/hyperlink" Target="https://www.reddit.com/r/RMTK/comments/7c16uk/kb0037_koninklijk_besluit_aangaande_ontslag_van/" TargetMode="External"/><Relationship Id="rId10" Type="http://schemas.openxmlformats.org/officeDocument/2006/relationships/hyperlink" Target="https://www.reddit.com/r/RMTK/comments/7bvu5k/kb0036_koninklijk_besluit_intrekking_koninklijk/" TargetMode="External"/><Relationship Id="rId13" Type="http://schemas.openxmlformats.org/officeDocument/2006/relationships/drawing" Target="../drawings/drawing7.xml"/><Relationship Id="rId12" Type="http://schemas.openxmlformats.org/officeDocument/2006/relationships/hyperlink" Target="https://www.reddit.com/r/RMTK/comments/7e3jrp/kb0038_koninklijk_besluit_ontslag_kabinet/"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reddit.com/r/RMTK/comments/6fo0zc/kv0027_kamervragen_over_het_bericht_dat_veel/" TargetMode="External"/><Relationship Id="rId3" Type="http://schemas.openxmlformats.org/officeDocument/2006/relationships/hyperlink" Target="https://www.reddit.com/r/RMTK/comments/6fo0zc/kv0027_kamervragen_over_het_bericht_dat_veel/" TargetMode="External"/><Relationship Id="rId4" Type="http://schemas.openxmlformats.org/officeDocument/2006/relationships/hyperlink" Target="https://www.reddit.com/r/RMTK/comments/6g32jz/kv0028_kamervragen_over_vernietiging_van_koraal/" TargetMode="External"/><Relationship Id="rId9" Type="http://schemas.openxmlformats.org/officeDocument/2006/relationships/hyperlink" Target="https://www.reddit.com/r/RMTK/comments/75x9qd/d0032_debatomtrent_de_lijst_onveilige_landen/" TargetMode="External"/><Relationship Id="rId5" Type="http://schemas.openxmlformats.org/officeDocument/2006/relationships/hyperlink" Target="https://www.reddit.com/r/RMTK/comments/6ivdh4/kv0029_kamervragen_aan_de_minister_van/" TargetMode="External"/><Relationship Id="rId6" Type="http://schemas.openxmlformats.org/officeDocument/2006/relationships/hyperlink" Target="https://www.reddit.com/r/RMTK/comments/6jsapn/d0029_activiteit_minister_van_binnenlandse_zaken/" TargetMode="External"/><Relationship Id="rId7" Type="http://schemas.openxmlformats.org/officeDocument/2006/relationships/hyperlink" Target="https://www.reddit.com/r/RMTK/comments/6n997b/d0030_debat_omtrent_wapendeal_vs/" TargetMode="External"/><Relationship Id="rId8" Type="http://schemas.openxmlformats.org/officeDocument/2006/relationships/hyperlink" Target="https://www.reddit.com/r/RMTK/comments/6o36u9/d0031_debat_over_defensiedeal/" TargetMode="External"/><Relationship Id="rId11" Type="http://schemas.openxmlformats.org/officeDocument/2006/relationships/hyperlink" Target="https://www.reddit.com/r/RMTK/comments/7bvtne/ks0045_kamervragen_omtrent_recente_koninklijke/" TargetMode="External"/><Relationship Id="rId10" Type="http://schemas.openxmlformats.org/officeDocument/2006/relationships/hyperlink" Target="https://www.reddit.com/r/RMTK/comments/78hyjy/d0033_debat_betreffende_de_vormgeving_van_een/" TargetMode="External"/><Relationship Id="rId13" Type="http://schemas.openxmlformats.org/officeDocument/2006/relationships/vmlDrawing" Target="../drawings/vmlDrawing4.vml"/><Relationship Id="rId1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reddit.com/r/RMTK/comments/6jsb1q/ks0039_kamerbrief_aangaande_ombuigingen_in_het/" TargetMode="External"/><Relationship Id="rId3" Type="http://schemas.openxmlformats.org/officeDocument/2006/relationships/hyperlink" Target="https://www.reddit.com/r/RMTK/comments/6kszlg/ks0040_tussenrapport_parlementaire/" TargetMode="External"/><Relationship Id="rId4" Type="http://schemas.openxmlformats.org/officeDocument/2006/relationships/hyperlink" Target="https://www.reddit.com/r/RMTK/comments/6l93ge/ks0040_gebiedsnota_ring_van_rotterdam/" TargetMode="External"/><Relationship Id="rId9" Type="http://schemas.openxmlformats.org/officeDocument/2006/relationships/hyperlink" Target="https://www.reddit.com/r/RMTK/comments/76yh6k/ks0044_kamerbrief_betreffende_het_onderzoek_naar/" TargetMode="External"/><Relationship Id="rId5" Type="http://schemas.openxmlformats.org/officeDocument/2006/relationships/hyperlink" Target="https://www.reddit.com/r/RMTK/comments/6l9m9e/ks0041_kamerbrief_aangaande_de_steun_van/" TargetMode="External"/><Relationship Id="rId6" Type="http://schemas.openxmlformats.org/officeDocument/2006/relationships/hyperlink" Target="https://www.reddit.com/r/RMTK/comments/6mkv7v/ks0041_kamerbrief_inzake_zweedse_conferentie/" TargetMode="External"/><Relationship Id="rId7" Type="http://schemas.openxmlformats.org/officeDocument/2006/relationships/hyperlink" Target="https://www.reddit.com/r/RMTK/comments/6u5hcu/ks0042_kamerbrief_inzake_genderneutraliteit/" TargetMode="External"/><Relationship Id="rId8" Type="http://schemas.openxmlformats.org/officeDocument/2006/relationships/hyperlink" Target="https://www.reddit.com/r/RMTK/comments/6x6arb/ks0043_kamerbrief_inzake_caribisch_nederland_en/" TargetMode="External"/><Relationship Id="rId11" Type="http://schemas.openxmlformats.org/officeDocument/2006/relationships/hyperlink" Target="https://www.reddit.com/r/RMTK/comments/7xpn1k/ks0052_kamerbrief_betreft_ontslag_ondervoorzitter/" TargetMode="External"/><Relationship Id="rId10" Type="http://schemas.openxmlformats.org/officeDocument/2006/relationships/hyperlink" Target="https://www.reddit.com/r/RMTK/comments/7bvtne/ks0045_kamervragen_omtrent_recente_koninklijke/" TargetMode="External"/><Relationship Id="rId13" Type="http://schemas.openxmlformats.org/officeDocument/2006/relationships/vmlDrawing" Target="../drawings/vmlDrawing5.vml"/><Relationship Id="rId1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651"/>
    <outlinePr summaryBelow="0" summaryRight="0"/>
  </sheetPr>
  <sheetViews>
    <sheetView workbookViewId="0"/>
  </sheetViews>
  <sheetFormatPr customHeight="1" defaultColWidth="14.43" defaultRowHeight="15.75"/>
  <cols>
    <col customWidth="1" min="1" max="1" width="3.14"/>
    <col customWidth="1" min="2" max="2" width="25.14"/>
    <col customWidth="1" min="3" max="3" width="3.14"/>
    <col customWidth="1" min="4" max="4" width="44.14"/>
    <col customWidth="1" min="5" max="5" width="13.57"/>
    <col customWidth="1" min="6" max="6" width="10.0"/>
    <col customWidth="1" min="7" max="7" width="3.14"/>
    <col customWidth="1" min="8" max="8" width="25.14"/>
    <col customWidth="1" min="9" max="9" width="3.14"/>
    <col customWidth="1" min="10" max="10" width="26.57"/>
    <col customWidth="1" min="11" max="11" width="3.14"/>
    <col customWidth="1" min="12" max="12" width="25.14"/>
  </cols>
  <sheetData>
    <row r="1" ht="6.75" customHeight="1">
      <c r="A1" s="1"/>
      <c r="B1" s="2"/>
      <c r="C1" s="2"/>
      <c r="D1" s="2"/>
      <c r="E1" s="2"/>
      <c r="F1" s="2"/>
      <c r="G1" s="2"/>
      <c r="H1" s="2"/>
      <c r="I1" s="2"/>
      <c r="J1" s="2"/>
      <c r="K1" s="2"/>
      <c r="L1" s="2"/>
      <c r="M1" s="3"/>
    </row>
    <row r="2">
      <c r="A2" s="4"/>
      <c r="B2" s="5" t="s">
        <v>0</v>
      </c>
      <c r="L2" s="6"/>
      <c r="M2" s="7"/>
    </row>
    <row r="3">
      <c r="A3" s="4"/>
      <c r="B3" s="8" t="s">
        <v>1</v>
      </c>
      <c r="C3" s="9"/>
      <c r="D3" s="9"/>
      <c r="E3" s="9"/>
      <c r="F3" s="9"/>
      <c r="G3" s="9"/>
      <c r="H3" s="9"/>
      <c r="I3" s="9"/>
      <c r="J3" s="9"/>
      <c r="K3" s="9"/>
      <c r="L3" s="10"/>
      <c r="M3" s="7"/>
    </row>
    <row r="4" ht="8.25" customHeight="1">
      <c r="A4" s="11"/>
      <c r="B4" s="12"/>
      <c r="C4" s="7"/>
      <c r="D4" s="12"/>
      <c r="E4" s="12"/>
      <c r="F4" s="12"/>
      <c r="G4" s="7"/>
      <c r="H4" s="12"/>
      <c r="I4" s="7"/>
      <c r="J4" s="12"/>
      <c r="K4" s="7"/>
      <c r="L4" s="12"/>
      <c r="M4" s="7"/>
    </row>
    <row r="5" ht="21.0" customHeight="1">
      <c r="A5" s="4"/>
      <c r="B5" s="13" t="s">
        <v>2</v>
      </c>
      <c r="C5" s="14"/>
      <c r="D5" s="15" t="s">
        <v>3</v>
      </c>
      <c r="E5" s="16"/>
      <c r="F5" s="17"/>
      <c r="G5" s="18"/>
      <c r="H5" s="19" t="s">
        <v>4</v>
      </c>
      <c r="I5" s="18"/>
      <c r="J5" s="20" t="s">
        <v>5</v>
      </c>
      <c r="K5" s="21"/>
      <c r="L5" s="22" t="s">
        <v>6</v>
      </c>
      <c r="M5" s="7"/>
    </row>
    <row r="6" ht="21.0" customHeight="1">
      <c r="A6" s="4"/>
      <c r="B6" s="23" t="str">
        <f>HYPERLINK("https://docs.google.com/spreadsheets/d/1eD5XmIXxBoOfQW2WEzHST1i5Lj7OThDQwM-IMhG8HnU/edit#gid=1507094537","Tweede Kamer")</f>
        <v>Tweede Kamer</v>
      </c>
      <c r="C6" s="7"/>
      <c r="D6" s="24" t="s">
        <v>7</v>
      </c>
      <c r="E6" s="25" t="s">
        <v>8</v>
      </c>
      <c r="F6" s="26" t="s">
        <v>9</v>
      </c>
      <c r="G6" s="14"/>
      <c r="H6" s="10"/>
      <c r="I6" s="14"/>
      <c r="J6" s="27" t="s">
        <v>10</v>
      </c>
      <c r="K6" s="21"/>
      <c r="L6" s="28" t="str">
        <f>HYPERLINK("https://www.reddit.com/r/RMTK/comments/7277wf/word_lid_van_een_partij/","Word lid van een partij!")</f>
        <v>Word lid van een partij!</v>
      </c>
      <c r="M6" s="7"/>
    </row>
    <row r="7" ht="21.0" customHeight="1">
      <c r="A7" s="4"/>
      <c r="B7" s="28" t="str">
        <f>HYPERLINK("https://docs.google.com/spreadsheets/d/1eD5XmIXxBoOfQW2WEzHST1i5Lj7OThDQwM-IMhG8HnU/edit#gid=2058086880","Eerste Kamer")</f>
        <v>Eerste Kamer</v>
      </c>
      <c r="C7" s="29"/>
      <c r="D7" s="30" t="s">
        <v>11</v>
      </c>
      <c r="E7" s="31" t="s">
        <v>12</v>
      </c>
      <c r="F7" s="32">
        <v>6.0</v>
      </c>
      <c r="G7" s="18"/>
      <c r="H7" s="33" t="str">
        <f>HYPERLINK("https://docs.google.com/document/d/13YlFP70qV-HAF38BPOhjNPfMVuGyl2W-VxBv0FEe4SM/edit","Programma VVD")</f>
        <v>Programma VVD</v>
      </c>
      <c r="I7" s="14"/>
      <c r="J7" s="34" t="s">
        <v>13</v>
      </c>
      <c r="K7" s="21"/>
      <c r="L7" s="28" t="str">
        <f>HYPERLINK("https://www.reddit.com/r/RMTK/wiki/nieuwe-leden-gids","Nieuwe ledengids")</f>
        <v>Nieuwe ledengids</v>
      </c>
      <c r="M7" s="7"/>
    </row>
    <row r="8" ht="21.0" customHeight="1">
      <c r="A8" s="11"/>
      <c r="B8" s="35"/>
      <c r="C8" s="29"/>
      <c r="D8" s="36" t="s">
        <v>14</v>
      </c>
      <c r="E8" s="37" t="s">
        <v>15</v>
      </c>
      <c r="F8" s="32">
        <v>5.0</v>
      </c>
      <c r="G8" s="14"/>
      <c r="H8" s="38" t="str">
        <f>HYPERLINK("https://drive.google.com/file/d/1VJ_bGiqcLeUiUHwyMahCbhhiIb7jmpYO/view","Programma SDAP")</f>
        <v>Programma SDAP</v>
      </c>
      <c r="I8" s="7"/>
      <c r="J8" s="12"/>
      <c r="K8" s="21"/>
      <c r="L8" s="28" t="str">
        <f>HYPERLINK("https://www.reddit.com/r/RMTK/wiki/grondwet","RMTK Grondwet")</f>
        <v>RMTK Grondwet</v>
      </c>
      <c r="M8" s="7"/>
    </row>
    <row r="9" ht="21.0" customHeight="1">
      <c r="A9" s="4"/>
      <c r="B9" s="39" t="s">
        <v>16</v>
      </c>
      <c r="C9" s="29"/>
      <c r="D9" s="40" t="s">
        <v>17</v>
      </c>
      <c r="E9" s="41" t="s">
        <v>18</v>
      </c>
      <c r="F9" s="42">
        <v>4.0</v>
      </c>
      <c r="G9" s="14"/>
      <c r="H9" s="38" t="str">
        <f>HYPERLINK("https://docs.google.com/document/d/1NKpRq0o9BNAc4Gn75dUdIBRjJpo7z_9uh8tyaf_dMY0/edit","Programma RPN")</f>
        <v>Programma RPN</v>
      </c>
      <c r="I9" s="14"/>
      <c r="J9" s="43" t="s">
        <v>19</v>
      </c>
      <c r="K9" s="21"/>
      <c r="L9" s="28" t="str">
        <f>HYPERLINK("https://www.reddit.com/r/RMTK/wiki/richtlijnen","RMTK Richtlijnen")</f>
        <v>RMTK Richtlijnen</v>
      </c>
      <c r="M9" s="7"/>
    </row>
    <row r="10" ht="21.0" customHeight="1">
      <c r="A10" s="4"/>
      <c r="B10" s="23" t="str">
        <f>HYPERLINK("https://docs.google.com/spreadsheets/d/1eD5XmIXxBoOfQW2WEzHST1i5Lj7OThDQwM-IMhG8HnU/edit#gid=841191980","Wetsvoorstellen")</f>
        <v>Wetsvoorstellen</v>
      </c>
      <c r="C10" s="29"/>
      <c r="D10" s="44" t="s">
        <v>20</v>
      </c>
      <c r="E10" s="45" t="s">
        <v>21</v>
      </c>
      <c r="F10" s="42">
        <v>4.0</v>
      </c>
      <c r="G10" s="14"/>
      <c r="H10" s="46" t="str">
        <f>HYPERLINK("https://docs.google.com/document/d/1Ma-esVvfm7KUTk-tosv8fgiAN4DqiHysXKvqGpZ3J0k/edit","Programma D66")</f>
        <v>Programma D66</v>
      </c>
      <c r="I10" s="14"/>
      <c r="J10" s="47" t="str">
        <f>HYPERLINK("https://docs.google.com/spreadsheets/d/1QqfHXFp2eF_sX1Vf8ggoeIvxp-W66m3i-4bI3OeFHg8/edit#gid=1852606381","RMTK Geschiedenis")</f>
        <v>RMTK Geschiedenis</v>
      </c>
      <c r="K10" s="21"/>
      <c r="L10" s="28" t="str">
        <f>HYPERLINK("https://docs.google.com/spreadsheets/d/1QqfHXFp2eF_sX1Vf8ggoeIvxp-W66m3i-4bI3OeFHg8/edit#gid=1562758286","Colofon")</f>
        <v>Colofon</v>
      </c>
      <c r="M10" s="7"/>
    </row>
    <row r="11" ht="21.0" customHeight="1">
      <c r="A11" s="4"/>
      <c r="B11" s="23" t="str">
        <f>HYPERLINK("https://docs.google.com/spreadsheets/d/1eD5XmIXxBoOfQW2WEzHST1i5Lj7OThDQwM-IMhG8HnU/edit#gid=546884936","Wetsv. Amendementen")</f>
        <v>Wetsv. Amendementen</v>
      </c>
      <c r="C11" s="29"/>
      <c r="D11" s="48" t="s">
        <v>22</v>
      </c>
      <c r="E11" s="49" t="s">
        <v>23</v>
      </c>
      <c r="F11" s="32">
        <v>3.0</v>
      </c>
      <c r="G11" s="14"/>
      <c r="H11" s="38" t="str">
        <f>HYPERLINK("https://drive.google.com/file/d/0B6ieeX-rmIlMU0JjQnVZNFJWeXc/view","Programma FVD")</f>
        <v>Programma FVD</v>
      </c>
      <c r="I11" s="14"/>
      <c r="J11" s="47" t="str">
        <f>HYPERLINK("https://docs.google.com/spreadsheets/d/1QqfHXFp2eF_sX1Vf8ggoeIvxp-W66m3i-4bI3OeFHg8/edit#gid=1022906866","RMTK Tijdlijn")</f>
        <v>RMTK Tijdlijn</v>
      </c>
      <c r="K11" s="50"/>
      <c r="L11" s="35"/>
      <c r="M11" s="7"/>
    </row>
    <row r="12" ht="21.0" customHeight="1">
      <c r="A12" s="4"/>
      <c r="B12" s="23" t="str">
        <f>HYPERLINK("https://docs.google.com/spreadsheets/d/1eD5XmIXxBoOfQW2WEzHST1i5Lj7OThDQwM-IMhG8HnU/edit#gid=1843647824","Moties")</f>
        <v>Moties</v>
      </c>
      <c r="C12" s="29"/>
      <c r="D12" s="51" t="s">
        <v>24</v>
      </c>
      <c r="E12" s="52" t="s">
        <v>25</v>
      </c>
      <c r="F12" s="42">
        <v>3.0</v>
      </c>
      <c r="G12" s="14"/>
      <c r="H12" s="38" t="str">
        <f>HYPERLINK("https://drive.google.com/file/d/1sWzSsYzNDSjtumotoBji5g9THfErKTj2/view","Programma CU")</f>
        <v>Programma CU</v>
      </c>
      <c r="I12" s="14"/>
      <c r="J12" s="47" t="str">
        <f>HYPERLINK("https://docs.google.com/spreadsheets/d/1QqfHXFp2eF_sX1Vf8ggoeIvxp-W66m3i-4bI3OeFHg8/edit#gid=1373279881","RMTK in Kaart")</f>
        <v>RMTK in Kaart</v>
      </c>
      <c r="K12" s="21"/>
      <c r="L12" s="22" t="s">
        <v>26</v>
      </c>
      <c r="M12" s="7"/>
    </row>
    <row r="13" ht="21.0" customHeight="1">
      <c r="A13" s="4"/>
      <c r="B13" s="23" t="str">
        <f>HYPERLINK("https://docs.google.com/spreadsheets/d/1eD5XmIXxBoOfQW2WEzHST1i5Lj7OThDQwM-IMhG8HnU/edit#gid=1746959943","Koninklijke Besluiten")</f>
        <v>Koninklijke Besluiten</v>
      </c>
      <c r="C13" s="29"/>
      <c r="D13" s="53" t="s">
        <v>27</v>
      </c>
      <c r="E13" s="54" t="s">
        <v>28</v>
      </c>
      <c r="F13" s="32" t="s">
        <v>29</v>
      </c>
      <c r="G13" s="14"/>
      <c r="H13" s="55" t="str">
        <f>HYPERLINK("https://drive.google.com/file/d/1xFP1eWeonxD8fBlD5ngcRvMAsQmu_cXS/view","Programma KVP*")</f>
        <v>Programma KVP*</v>
      </c>
      <c r="I13" s="14"/>
      <c r="J13" s="56" t="str">
        <f>HYPERLINK("https://docs.google.com/spreadsheets/d/1QqfHXFp2eF_sX1Vf8ggoeIvxp-W66m3i-4bI3OeFHg8/edit#gid=171158737","Kabinetten")</f>
        <v>Kabinetten</v>
      </c>
      <c r="K13" s="21"/>
      <c r="L13" s="28" t="str">
        <f>HYPERLINK("https://www.reddit.com/r/RMTKMedia/","RMTKMedia")</f>
        <v>RMTKMedia</v>
      </c>
      <c r="M13" s="7"/>
    </row>
    <row r="14" ht="21.0" customHeight="1">
      <c r="A14" s="4"/>
      <c r="B14" s="23" t="str">
        <f>HYPERLINK("https://docs.google.com/spreadsheets/d/1eD5XmIXxBoOfQW2WEzHST1i5Lj7OThDQwM-IMhG8HnU/edit#gid=1523655277","Kamerstukken")</f>
        <v>Kamerstukken</v>
      </c>
      <c r="C14" s="7"/>
      <c r="D14" s="7"/>
      <c r="E14" s="7"/>
      <c r="F14" s="7"/>
      <c r="G14" s="7"/>
      <c r="H14" s="7"/>
      <c r="I14" s="14"/>
      <c r="J14" s="57" t="str">
        <f>HYPERLINK("https://docs.google.com/spreadsheets/d/1QqfHXFp2eF_sX1Vf8ggoeIvxp-W66m3i-4bI3OeFHg8/edit#gid=18362427","Parlement")</f>
        <v>Parlement</v>
      </c>
      <c r="K14" s="21"/>
      <c r="L14" s="28" t="str">
        <f>HYPERLINK("https://www.reddit.com/r/RMTKMeta/","RMTKMeta")</f>
        <v>RMTKMeta</v>
      </c>
      <c r="M14" s="7"/>
    </row>
    <row r="15" ht="21.0" customHeight="1">
      <c r="A15" s="4"/>
      <c r="B15" s="28" t="str">
        <f>HYPERLINK("https://docs.google.com/spreadsheets/d/1eD5XmIXxBoOfQW2WEzHST1i5Lj7OThDQwM-IMhG8HnU/edit#gid=2130066139","Debatten &amp; Kamervragen")</f>
        <v>Debatten &amp; Kamervragen</v>
      </c>
      <c r="C15" s="7"/>
      <c r="D15" s="7"/>
      <c r="E15" s="7"/>
      <c r="F15" s="7"/>
      <c r="G15" s="7"/>
      <c r="H15" s="7"/>
      <c r="I15" s="14"/>
      <c r="J15" s="56" t="str">
        <f>HYPERLINK("https://i.redd.it/pjpogaqgyaq01.png","Partij historie")</f>
        <v>Partij historie</v>
      </c>
      <c r="K15" s="21"/>
      <c r="L15" s="28" t="str">
        <f>HYPERLINK("https://www.reddit.com/r/RMTKCafe/","Café Binnenhof")</f>
        <v>Café Binnenhof</v>
      </c>
      <c r="M15" s="7"/>
    </row>
    <row r="16" ht="21.0" customHeight="1">
      <c r="A16" s="11"/>
      <c r="B16" s="7"/>
      <c r="C16" s="7"/>
      <c r="D16" s="11"/>
      <c r="E16" s="7"/>
      <c r="F16" s="7"/>
      <c r="G16" s="7"/>
      <c r="H16" s="58"/>
      <c r="I16" s="14"/>
      <c r="J16" s="59" t="str">
        <f>HYPERLINK("https://drive.google.com/file/d/1OBZLMpyKClAZwwB9PjwQm59kkn4QpmHt/view","Laatste verkiezingsuitslag")</f>
        <v>Laatste verkiezingsuitslag</v>
      </c>
      <c r="K16" s="7"/>
      <c r="L16" s="7"/>
      <c r="M16" s="7"/>
    </row>
    <row r="17" ht="21.0" customHeight="1">
      <c r="A17" s="11"/>
      <c r="B17" s="7"/>
      <c r="C17" s="7"/>
      <c r="D17" s="7"/>
      <c r="E17" s="7"/>
      <c r="F17" s="7"/>
      <c r="G17" s="7"/>
      <c r="H17" s="7"/>
      <c r="I17" s="7"/>
      <c r="J17" s="7"/>
      <c r="K17" s="7"/>
      <c r="L17" s="7"/>
      <c r="M17" s="7"/>
    </row>
    <row r="18" ht="21.0" customHeight="1">
      <c r="A18" s="11"/>
      <c r="B18" s="7"/>
      <c r="C18" s="7"/>
      <c r="D18" s="7"/>
      <c r="E18" s="58"/>
      <c r="F18" s="7"/>
      <c r="G18" s="7"/>
      <c r="H18" s="7"/>
      <c r="I18" s="7"/>
      <c r="J18" s="7"/>
      <c r="K18" s="7"/>
      <c r="L18" s="7"/>
      <c r="M18" s="7"/>
    </row>
  </sheetData>
  <mergeCells count="4">
    <mergeCell ref="B2:L2"/>
    <mergeCell ref="B3:L3"/>
    <mergeCell ref="H5:H6"/>
    <mergeCell ref="D5:F5"/>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4.29"/>
    <col customWidth="1" min="2" max="2" width="21.71"/>
    <col customWidth="1" min="3" max="3" width="9.86"/>
    <col customWidth="1" min="4" max="64" width="8.43"/>
  </cols>
  <sheetData>
    <row r="1">
      <c r="A1" s="729"/>
      <c r="B1" s="729"/>
      <c r="C1" s="729"/>
      <c r="D1" s="730"/>
      <c r="E1" s="730"/>
      <c r="F1" s="730"/>
      <c r="G1" s="730"/>
      <c r="H1" s="730"/>
      <c r="I1" s="730"/>
      <c r="J1" s="730"/>
      <c r="K1" s="730"/>
      <c r="L1" s="730"/>
      <c r="M1" s="730"/>
      <c r="N1" s="730"/>
      <c r="O1" s="730"/>
      <c r="P1" s="730"/>
      <c r="Q1" s="730"/>
      <c r="R1" s="730"/>
      <c r="S1" s="730"/>
      <c r="T1" s="730"/>
      <c r="U1" s="730"/>
      <c r="V1" s="730"/>
      <c r="W1" s="730"/>
      <c r="X1" s="730"/>
      <c r="Y1" s="730"/>
      <c r="Z1" s="730"/>
      <c r="AA1" s="730"/>
      <c r="AB1" s="730"/>
      <c r="AC1" s="730"/>
      <c r="AD1" s="730"/>
      <c r="AE1" s="730"/>
      <c r="AF1" s="730"/>
      <c r="AG1" s="730"/>
      <c r="AH1" s="730"/>
      <c r="AI1" s="730"/>
      <c r="AJ1" s="730"/>
      <c r="AK1" s="730"/>
      <c r="AL1" s="730"/>
      <c r="AM1" s="730"/>
      <c r="AN1" s="730"/>
      <c r="AO1" s="730"/>
      <c r="AP1" s="730"/>
      <c r="AQ1" s="730"/>
      <c r="AR1" s="730"/>
      <c r="AS1" s="730"/>
      <c r="AT1" s="730"/>
      <c r="AU1" s="730"/>
      <c r="AV1" s="730"/>
      <c r="AW1" s="730"/>
      <c r="AX1" s="730"/>
      <c r="AY1" s="730"/>
      <c r="AZ1" s="730"/>
      <c r="BA1" s="730"/>
      <c r="BB1" s="730"/>
      <c r="BC1" s="730"/>
      <c r="BD1" s="730"/>
      <c r="BE1" s="730"/>
      <c r="BF1" s="730"/>
      <c r="BG1" s="730"/>
      <c r="BH1" s="730"/>
      <c r="BI1" s="730"/>
      <c r="BJ1" s="730"/>
      <c r="BK1" s="730"/>
      <c r="BL1" s="730"/>
    </row>
    <row r="2">
      <c r="A2" s="729"/>
      <c r="B2" s="729"/>
      <c r="C2" s="729"/>
      <c r="D2" s="730"/>
      <c r="E2" s="730"/>
      <c r="F2" s="730"/>
      <c r="G2" s="730"/>
      <c r="H2" s="730"/>
      <c r="I2" s="730"/>
      <c r="J2" s="730"/>
      <c r="K2" s="730"/>
      <c r="L2" s="730"/>
      <c r="M2" s="730"/>
      <c r="N2" s="730"/>
      <c r="O2" s="730"/>
      <c r="P2" s="730"/>
      <c r="Q2" s="730"/>
      <c r="R2" s="730"/>
      <c r="S2" s="730"/>
      <c r="T2" s="730"/>
      <c r="U2" s="730"/>
      <c r="V2" s="730"/>
      <c r="W2" s="730"/>
      <c r="X2" s="730"/>
      <c r="Y2" s="730"/>
      <c r="Z2" s="730"/>
      <c r="AA2" s="730"/>
      <c r="AB2" s="730"/>
      <c r="AC2" s="730"/>
      <c r="AD2" s="730"/>
      <c r="AE2" s="730"/>
      <c r="AF2" s="730"/>
      <c r="AG2" s="730"/>
      <c r="AH2" s="730"/>
      <c r="AI2" s="730"/>
      <c r="AJ2" s="730"/>
      <c r="AK2" s="730"/>
      <c r="AL2" s="730"/>
      <c r="AM2" s="730"/>
      <c r="AN2" s="730"/>
      <c r="AO2" s="730"/>
      <c r="AP2" s="730"/>
      <c r="AQ2" s="730"/>
      <c r="AR2" s="730"/>
      <c r="AS2" s="730"/>
      <c r="AT2" s="730"/>
      <c r="AU2" s="730"/>
      <c r="AV2" s="730"/>
      <c r="AW2" s="730"/>
      <c r="AX2" s="730"/>
      <c r="AY2" s="730"/>
      <c r="AZ2" s="730"/>
      <c r="BA2" s="730"/>
      <c r="BB2" s="730"/>
      <c r="BC2" s="730"/>
      <c r="BD2" s="730"/>
      <c r="BE2" s="730"/>
      <c r="BF2" s="730"/>
      <c r="BG2" s="730"/>
      <c r="BH2" s="730"/>
      <c r="BI2" s="730"/>
      <c r="BJ2" s="730"/>
      <c r="BK2" s="730"/>
      <c r="BL2" s="730"/>
    </row>
    <row r="3">
      <c r="A3" s="731"/>
      <c r="B3" s="732" t="s">
        <v>1170</v>
      </c>
      <c r="C3" s="733" t="s">
        <v>7</v>
      </c>
      <c r="D3" s="734"/>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c r="BD3" s="65"/>
      <c r="BE3" s="65"/>
      <c r="BF3" s="65"/>
      <c r="BG3" s="65"/>
      <c r="BH3" s="65"/>
      <c r="BI3" s="65"/>
      <c r="BJ3" s="65"/>
      <c r="BK3" s="65"/>
      <c r="BL3" s="65"/>
    </row>
    <row r="4">
      <c r="A4" s="735" t="s">
        <v>591</v>
      </c>
      <c r="C4" s="71"/>
      <c r="D4" s="736" t="s">
        <v>77</v>
      </c>
      <c r="E4" s="736" t="s">
        <v>78</v>
      </c>
      <c r="F4" s="736" t="s">
        <v>79</v>
      </c>
      <c r="G4" s="736" t="s">
        <v>80</v>
      </c>
      <c r="H4" s="736" t="s">
        <v>81</v>
      </c>
      <c r="I4" s="736" t="s">
        <v>82</v>
      </c>
      <c r="J4" s="737" t="s">
        <v>83</v>
      </c>
      <c r="K4" s="738"/>
      <c r="L4" s="738"/>
      <c r="M4" s="738"/>
      <c r="N4" s="738"/>
      <c r="O4" s="738"/>
      <c r="P4" s="738"/>
      <c r="Q4" s="738"/>
      <c r="R4" s="738"/>
      <c r="S4" s="738"/>
      <c r="T4" s="738"/>
      <c r="U4" s="738"/>
      <c r="V4" s="738"/>
      <c r="W4" s="738"/>
      <c r="X4" s="738"/>
      <c r="Y4" s="738"/>
      <c r="Z4" s="738"/>
      <c r="AA4" s="738"/>
      <c r="AB4" s="738"/>
      <c r="AC4" s="738"/>
      <c r="AD4" s="738"/>
      <c r="AE4" s="738"/>
      <c r="AF4" s="738"/>
      <c r="AG4" s="738"/>
      <c r="AH4" s="738"/>
      <c r="AI4" s="738"/>
      <c r="AJ4" s="738"/>
      <c r="AK4" s="738"/>
      <c r="AL4" s="738"/>
      <c r="AM4" s="738"/>
      <c r="AN4" s="738"/>
      <c r="AO4" s="738"/>
      <c r="AP4" s="738"/>
      <c r="AQ4" s="738"/>
      <c r="AR4" s="738"/>
      <c r="AS4" s="738"/>
      <c r="AT4" s="738"/>
      <c r="AU4" s="738"/>
      <c r="AV4" s="738"/>
      <c r="AW4" s="738"/>
      <c r="AX4" s="738"/>
      <c r="AY4" s="738"/>
      <c r="AZ4" s="738"/>
      <c r="BA4" s="738"/>
      <c r="BB4" s="738"/>
      <c r="BC4" s="738"/>
      <c r="BD4" s="738"/>
      <c r="BE4" s="738"/>
      <c r="BF4" s="738"/>
      <c r="BG4" s="738"/>
      <c r="BH4" s="738"/>
      <c r="BI4" s="738"/>
      <c r="BJ4" s="738"/>
      <c r="BK4" s="738"/>
      <c r="BL4" s="738"/>
    </row>
    <row r="5">
      <c r="A5" s="739" t="s">
        <v>1171</v>
      </c>
      <c r="B5" s="740" t="s">
        <v>37</v>
      </c>
      <c r="C5" s="741" t="s">
        <v>12</v>
      </c>
      <c r="D5" s="742" t="s">
        <v>70</v>
      </c>
      <c r="E5" s="743" t="s">
        <v>70</v>
      </c>
      <c r="F5" s="743" t="s">
        <v>70</v>
      </c>
      <c r="G5" s="743" t="s">
        <v>70</v>
      </c>
      <c r="H5" s="743" t="s">
        <v>70</v>
      </c>
      <c r="I5" s="743" t="s">
        <v>70</v>
      </c>
      <c r="J5" s="744" t="s">
        <v>69</v>
      </c>
      <c r="K5" s="738"/>
      <c r="L5" s="738"/>
      <c r="M5" s="738"/>
      <c r="N5" s="738"/>
      <c r="O5" s="738"/>
      <c r="P5" s="738"/>
      <c r="Q5" s="738"/>
      <c r="R5" s="738"/>
      <c r="S5" s="738"/>
      <c r="T5" s="738"/>
      <c r="U5" s="738"/>
      <c r="V5" s="738"/>
      <c r="W5" s="738"/>
      <c r="X5" s="738"/>
      <c r="Y5" s="738"/>
      <c r="Z5" s="738"/>
      <c r="AA5" s="738"/>
      <c r="AB5" s="738"/>
      <c r="AC5" s="738"/>
      <c r="AD5" s="738"/>
      <c r="AE5" s="738"/>
      <c r="AF5" s="738"/>
      <c r="AG5" s="738"/>
      <c r="AH5" s="738"/>
      <c r="AI5" s="738"/>
      <c r="AJ5" s="738"/>
      <c r="AK5" s="738"/>
      <c r="AL5" s="738"/>
      <c r="AM5" s="738"/>
      <c r="AN5" s="738"/>
      <c r="AO5" s="738"/>
      <c r="AP5" s="738"/>
      <c r="AQ5" s="738"/>
      <c r="AR5" s="738"/>
      <c r="AS5" s="738"/>
      <c r="AT5" s="738"/>
      <c r="AU5" s="738"/>
      <c r="AV5" s="738"/>
      <c r="AW5" s="738"/>
      <c r="AX5" s="738"/>
      <c r="AY5" s="738"/>
      <c r="AZ5" s="738"/>
      <c r="BA5" s="738"/>
      <c r="BB5" s="738"/>
      <c r="BC5" s="738"/>
      <c r="BD5" s="738"/>
      <c r="BE5" s="738"/>
      <c r="BF5" s="738"/>
      <c r="BG5" s="738"/>
      <c r="BH5" s="738"/>
      <c r="BI5" s="738"/>
      <c r="BJ5" s="738"/>
      <c r="BK5" s="738"/>
      <c r="BL5" s="738"/>
    </row>
    <row r="6">
      <c r="A6" s="6"/>
      <c r="B6" s="745" t="s">
        <v>38</v>
      </c>
      <c r="C6" s="746" t="s">
        <v>12</v>
      </c>
      <c r="D6" s="742" t="s">
        <v>70</v>
      </c>
      <c r="E6" s="743" t="s">
        <v>70</v>
      </c>
      <c r="F6" s="747" t="s">
        <v>69</v>
      </c>
      <c r="G6" s="747" t="s">
        <v>70</v>
      </c>
      <c r="H6" s="743" t="s">
        <v>70</v>
      </c>
      <c r="I6" s="743" t="s">
        <v>70</v>
      </c>
      <c r="J6" s="744" t="s">
        <v>69</v>
      </c>
      <c r="K6" s="738"/>
      <c r="L6" s="738"/>
      <c r="M6" s="738"/>
      <c r="N6" s="738"/>
      <c r="O6" s="738"/>
      <c r="P6" s="738"/>
      <c r="Q6" s="738"/>
      <c r="R6" s="738"/>
      <c r="S6" s="738"/>
      <c r="T6" s="738"/>
      <c r="U6" s="738"/>
      <c r="V6" s="738"/>
      <c r="W6" s="738"/>
      <c r="X6" s="738"/>
      <c r="Y6" s="738"/>
      <c r="Z6" s="738"/>
      <c r="AA6" s="738"/>
      <c r="AB6" s="738"/>
      <c r="AC6" s="738"/>
      <c r="AD6" s="738"/>
      <c r="AE6" s="738"/>
      <c r="AF6" s="738"/>
      <c r="AG6" s="738"/>
      <c r="AH6" s="738"/>
      <c r="AI6" s="738"/>
      <c r="AJ6" s="738"/>
      <c r="AK6" s="738"/>
      <c r="AL6" s="738"/>
      <c r="AM6" s="738"/>
      <c r="AN6" s="738"/>
      <c r="AO6" s="738"/>
      <c r="AP6" s="738"/>
      <c r="AQ6" s="738"/>
      <c r="AR6" s="738"/>
      <c r="AS6" s="738"/>
      <c r="AT6" s="738"/>
      <c r="AU6" s="738"/>
      <c r="AV6" s="738"/>
      <c r="AW6" s="738"/>
      <c r="AX6" s="738"/>
      <c r="AY6" s="738"/>
      <c r="AZ6" s="738"/>
      <c r="BA6" s="738"/>
      <c r="BB6" s="738"/>
      <c r="BC6" s="738"/>
      <c r="BD6" s="738"/>
      <c r="BE6" s="738"/>
      <c r="BF6" s="738"/>
      <c r="BG6" s="738"/>
      <c r="BH6" s="738"/>
      <c r="BI6" s="738"/>
      <c r="BJ6" s="738"/>
      <c r="BK6" s="738"/>
      <c r="BL6" s="738"/>
    </row>
    <row r="7">
      <c r="A7" s="6"/>
      <c r="B7" s="748" t="s">
        <v>39</v>
      </c>
      <c r="C7" s="746" t="s">
        <v>12</v>
      </c>
      <c r="D7" s="742" t="s">
        <v>70</v>
      </c>
      <c r="E7" s="743" t="s">
        <v>70</v>
      </c>
      <c r="F7" s="743" t="s">
        <v>70</v>
      </c>
      <c r="G7" s="743" t="s">
        <v>70</v>
      </c>
      <c r="H7" s="743" t="s">
        <v>70</v>
      </c>
      <c r="I7" s="743" t="s">
        <v>70</v>
      </c>
      <c r="J7" s="744" t="s">
        <v>69</v>
      </c>
      <c r="K7" s="738"/>
      <c r="L7" s="738"/>
      <c r="M7" s="738"/>
      <c r="N7" s="738"/>
      <c r="O7" s="738"/>
      <c r="P7" s="738"/>
      <c r="Q7" s="738"/>
      <c r="R7" s="738"/>
      <c r="S7" s="738"/>
      <c r="T7" s="738"/>
      <c r="U7" s="738"/>
      <c r="V7" s="738"/>
      <c r="W7" s="738"/>
      <c r="X7" s="738"/>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c r="BC7" s="738"/>
      <c r="BD7" s="738"/>
      <c r="BE7" s="738"/>
      <c r="BF7" s="738"/>
      <c r="BG7" s="738"/>
      <c r="BH7" s="738"/>
      <c r="BI7" s="738"/>
      <c r="BJ7" s="738"/>
      <c r="BK7" s="738"/>
      <c r="BL7" s="738"/>
    </row>
    <row r="8">
      <c r="A8" s="6"/>
      <c r="B8" s="749" t="s">
        <v>40</v>
      </c>
      <c r="C8" s="746" t="s">
        <v>12</v>
      </c>
      <c r="D8" s="742" t="s">
        <v>70</v>
      </c>
      <c r="E8" s="743" t="s">
        <v>70</v>
      </c>
      <c r="F8" s="747" t="s">
        <v>69</v>
      </c>
      <c r="G8" s="747" t="s">
        <v>70</v>
      </c>
      <c r="H8" s="743" t="s">
        <v>69</v>
      </c>
      <c r="I8" s="743" t="s">
        <v>69</v>
      </c>
      <c r="J8" s="744" t="s">
        <v>69</v>
      </c>
      <c r="K8" s="738"/>
      <c r="L8" s="738"/>
      <c r="M8" s="738"/>
      <c r="N8" s="738"/>
      <c r="O8" s="738"/>
      <c r="P8" s="738"/>
      <c r="Q8" s="738"/>
      <c r="R8" s="738"/>
      <c r="S8" s="738"/>
      <c r="T8" s="738"/>
      <c r="U8" s="738"/>
      <c r="V8" s="738"/>
      <c r="W8" s="738"/>
      <c r="X8" s="738"/>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c r="BC8" s="738"/>
      <c r="BD8" s="738"/>
      <c r="BE8" s="738"/>
      <c r="BF8" s="738"/>
      <c r="BG8" s="738"/>
      <c r="BH8" s="738"/>
      <c r="BI8" s="738"/>
      <c r="BJ8" s="738"/>
      <c r="BK8" s="738"/>
      <c r="BL8" s="738"/>
    </row>
    <row r="9">
      <c r="A9" s="6"/>
      <c r="B9" s="750" t="s">
        <v>41</v>
      </c>
      <c r="C9" s="746" t="s">
        <v>12</v>
      </c>
      <c r="D9" s="742" t="s">
        <v>70</v>
      </c>
      <c r="E9" s="743" t="s">
        <v>70</v>
      </c>
      <c r="F9" s="743" t="s">
        <v>70</v>
      </c>
      <c r="G9" s="743" t="s">
        <v>70</v>
      </c>
      <c r="H9" s="743" t="s">
        <v>99</v>
      </c>
      <c r="I9" s="743" t="s">
        <v>70</v>
      </c>
      <c r="J9" s="744" t="s">
        <v>69</v>
      </c>
      <c r="K9" s="738"/>
      <c r="L9" s="738"/>
      <c r="M9" s="738"/>
      <c r="N9" s="738"/>
      <c r="O9" s="738"/>
      <c r="P9" s="738"/>
      <c r="Q9" s="738"/>
      <c r="R9" s="738"/>
      <c r="S9" s="738"/>
      <c r="T9" s="738"/>
      <c r="U9" s="738"/>
      <c r="V9" s="738"/>
      <c r="W9" s="738"/>
      <c r="X9" s="738"/>
      <c r="Y9" s="738"/>
      <c r="Z9" s="738"/>
      <c r="AA9" s="738"/>
      <c r="AB9" s="738"/>
      <c r="AC9" s="738"/>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c r="BC9" s="738"/>
      <c r="BD9" s="738"/>
      <c r="BE9" s="738"/>
      <c r="BF9" s="738"/>
      <c r="BG9" s="738"/>
      <c r="BH9" s="738"/>
      <c r="BI9" s="738"/>
      <c r="BJ9" s="738"/>
      <c r="BK9" s="738"/>
      <c r="BL9" s="738"/>
    </row>
    <row r="10">
      <c r="A10" s="6"/>
      <c r="B10" s="751" t="s">
        <v>42</v>
      </c>
      <c r="C10" s="746" t="s">
        <v>12</v>
      </c>
      <c r="D10" s="742" t="s">
        <v>70</v>
      </c>
      <c r="E10" s="743" t="s">
        <v>70</v>
      </c>
      <c r="F10" s="747" t="s">
        <v>69</v>
      </c>
      <c r="G10" s="747" t="s">
        <v>70</v>
      </c>
      <c r="H10" s="743" t="s">
        <v>69</v>
      </c>
      <c r="I10" s="743" t="s">
        <v>69</v>
      </c>
      <c r="J10" s="744" t="s">
        <v>69</v>
      </c>
      <c r="K10" s="738"/>
      <c r="L10" s="738"/>
      <c r="M10" s="738"/>
      <c r="N10" s="738"/>
      <c r="O10" s="738"/>
      <c r="P10" s="738"/>
      <c r="Q10" s="738"/>
      <c r="R10" s="738"/>
      <c r="S10" s="738"/>
      <c r="T10" s="738"/>
      <c r="U10" s="738"/>
      <c r="V10" s="738"/>
      <c r="W10" s="738"/>
      <c r="X10" s="738"/>
      <c r="Y10" s="738"/>
      <c r="Z10" s="738"/>
      <c r="AA10" s="738"/>
      <c r="AB10" s="738"/>
      <c r="AC10" s="738"/>
      <c r="AD10" s="738"/>
      <c r="AE10" s="738"/>
      <c r="AF10" s="738"/>
      <c r="AG10" s="738"/>
      <c r="AH10" s="738"/>
      <c r="AI10" s="738"/>
      <c r="AJ10" s="738"/>
      <c r="AK10" s="738"/>
      <c r="AL10" s="738"/>
      <c r="AM10" s="738"/>
      <c r="AN10" s="738"/>
      <c r="AO10" s="738"/>
      <c r="AP10" s="738"/>
      <c r="AQ10" s="738"/>
      <c r="AR10" s="738"/>
      <c r="AS10" s="738"/>
      <c r="AT10" s="738"/>
      <c r="AU10" s="738"/>
      <c r="AV10" s="738"/>
      <c r="AW10" s="738"/>
      <c r="AX10" s="738"/>
      <c r="AY10" s="738"/>
      <c r="AZ10" s="738"/>
      <c r="BA10" s="738"/>
      <c r="BB10" s="738"/>
      <c r="BC10" s="738"/>
      <c r="BD10" s="738"/>
      <c r="BE10" s="738"/>
      <c r="BF10" s="738"/>
      <c r="BG10" s="738"/>
      <c r="BH10" s="738"/>
      <c r="BI10" s="738"/>
      <c r="BJ10" s="738"/>
      <c r="BK10" s="738"/>
      <c r="BL10" s="738"/>
    </row>
    <row r="11">
      <c r="A11" s="6"/>
      <c r="B11" s="752" t="s">
        <v>44</v>
      </c>
      <c r="C11" s="753" t="s">
        <v>21</v>
      </c>
      <c r="D11" s="742" t="s">
        <v>70</v>
      </c>
      <c r="E11" s="743" t="s">
        <v>70</v>
      </c>
      <c r="F11" s="747" t="s">
        <v>69</v>
      </c>
      <c r="G11" s="747" t="s">
        <v>70</v>
      </c>
      <c r="H11" s="743" t="s">
        <v>69</v>
      </c>
      <c r="I11" s="743" t="s">
        <v>69</v>
      </c>
      <c r="J11" s="744" t="s">
        <v>69</v>
      </c>
      <c r="K11" s="738"/>
      <c r="L11" s="738"/>
      <c r="M11" s="738"/>
      <c r="N11" s="738"/>
      <c r="O11" s="738"/>
      <c r="P11" s="738"/>
      <c r="Q11" s="738"/>
      <c r="R11" s="738"/>
      <c r="S11" s="738"/>
      <c r="T11" s="738"/>
      <c r="U11" s="738"/>
      <c r="V11" s="738"/>
      <c r="W11" s="738"/>
      <c r="X11" s="738"/>
      <c r="Y11" s="738"/>
      <c r="Z11" s="738"/>
      <c r="AA11" s="738"/>
      <c r="AB11" s="738"/>
      <c r="AC11" s="738"/>
      <c r="AD11" s="738"/>
      <c r="AE11" s="738"/>
      <c r="AF11" s="738"/>
      <c r="AG11" s="738"/>
      <c r="AH11" s="738"/>
      <c r="AI11" s="738"/>
      <c r="AJ11" s="738"/>
      <c r="AK11" s="738"/>
      <c r="AL11" s="738"/>
      <c r="AM11" s="738"/>
      <c r="AN11" s="738"/>
      <c r="AO11" s="738"/>
      <c r="AP11" s="738"/>
      <c r="AQ11" s="738"/>
      <c r="AR11" s="738"/>
      <c r="AS11" s="738"/>
      <c r="AT11" s="738"/>
      <c r="AU11" s="738"/>
      <c r="AV11" s="738"/>
      <c r="AW11" s="738"/>
      <c r="AX11" s="738"/>
      <c r="AY11" s="738"/>
      <c r="AZ11" s="738"/>
      <c r="BA11" s="738"/>
      <c r="BB11" s="738"/>
      <c r="BC11" s="738"/>
      <c r="BD11" s="738"/>
      <c r="BE11" s="738"/>
      <c r="BF11" s="738"/>
      <c r="BG11" s="738"/>
      <c r="BH11" s="738"/>
      <c r="BI11" s="738"/>
      <c r="BJ11" s="738"/>
      <c r="BK11" s="738"/>
      <c r="BL11" s="738"/>
    </row>
    <row r="12">
      <c r="A12" s="6"/>
      <c r="B12" s="754" t="s">
        <v>45</v>
      </c>
      <c r="C12" s="755" t="s">
        <v>21</v>
      </c>
      <c r="D12" s="743"/>
      <c r="E12" s="743"/>
      <c r="F12" s="742"/>
      <c r="G12" s="743"/>
      <c r="H12" s="743"/>
      <c r="I12" s="743"/>
      <c r="J12" s="744"/>
      <c r="K12" s="738"/>
      <c r="L12" s="738"/>
      <c r="M12" s="738"/>
      <c r="N12" s="738"/>
      <c r="O12" s="738"/>
      <c r="P12" s="738"/>
      <c r="Q12" s="738"/>
      <c r="R12" s="738"/>
      <c r="S12" s="738"/>
      <c r="T12" s="738"/>
      <c r="U12" s="738"/>
      <c r="V12" s="738"/>
      <c r="W12" s="738"/>
      <c r="X12" s="738"/>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c r="BC12" s="738"/>
      <c r="BD12" s="738"/>
      <c r="BE12" s="738"/>
      <c r="BF12" s="738"/>
      <c r="BG12" s="738"/>
      <c r="BH12" s="738"/>
      <c r="BI12" s="738"/>
      <c r="BJ12" s="738"/>
      <c r="BK12" s="738"/>
      <c r="BL12" s="738"/>
    </row>
    <row r="13">
      <c r="A13" s="6"/>
      <c r="B13" s="756" t="s">
        <v>65</v>
      </c>
      <c r="C13" s="755" t="s">
        <v>21</v>
      </c>
      <c r="D13" s="742" t="s">
        <v>70</v>
      </c>
      <c r="E13" s="743" t="s">
        <v>70</v>
      </c>
      <c r="F13" s="747" t="s">
        <v>69</v>
      </c>
      <c r="G13" s="747" t="s">
        <v>70</v>
      </c>
      <c r="H13" s="743" t="s">
        <v>69</v>
      </c>
      <c r="I13" s="743" t="s">
        <v>69</v>
      </c>
      <c r="J13" s="744" t="s">
        <v>69</v>
      </c>
      <c r="K13" s="738"/>
      <c r="L13" s="738"/>
      <c r="M13" s="738"/>
      <c r="N13" s="738"/>
      <c r="O13" s="738"/>
      <c r="P13" s="738"/>
      <c r="Q13" s="738"/>
      <c r="R13" s="738"/>
      <c r="S13" s="738"/>
      <c r="T13" s="738"/>
      <c r="U13" s="738"/>
      <c r="V13" s="738"/>
      <c r="W13" s="738"/>
      <c r="X13" s="738"/>
      <c r="Y13" s="738"/>
      <c r="Z13" s="738"/>
      <c r="AA13" s="738"/>
      <c r="AB13" s="738"/>
      <c r="AC13" s="738"/>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c r="BC13" s="738"/>
      <c r="BD13" s="738"/>
      <c r="BE13" s="738"/>
      <c r="BF13" s="738"/>
      <c r="BG13" s="738"/>
      <c r="BH13" s="738"/>
      <c r="BI13" s="738"/>
      <c r="BJ13" s="738"/>
      <c r="BK13" s="738"/>
      <c r="BL13" s="738"/>
    </row>
    <row r="14">
      <c r="A14" s="6"/>
      <c r="B14" s="757" t="s">
        <v>49</v>
      </c>
      <c r="C14" s="758" t="s">
        <v>23</v>
      </c>
      <c r="D14" s="742" t="s">
        <v>70</v>
      </c>
      <c r="E14" s="743" t="s">
        <v>70</v>
      </c>
      <c r="F14" s="743" t="s">
        <v>70</v>
      </c>
      <c r="G14" s="743" t="s">
        <v>70</v>
      </c>
      <c r="H14" s="743" t="s">
        <v>70</v>
      </c>
      <c r="I14" s="743" t="s">
        <v>70</v>
      </c>
      <c r="J14" s="744" t="s">
        <v>69</v>
      </c>
      <c r="K14" s="738"/>
      <c r="L14" s="738"/>
      <c r="M14" s="738"/>
      <c r="N14" s="738"/>
      <c r="O14" s="738"/>
      <c r="P14" s="738"/>
      <c r="Q14" s="738"/>
      <c r="R14" s="738"/>
      <c r="S14" s="738"/>
      <c r="T14" s="738"/>
      <c r="U14" s="738"/>
      <c r="V14" s="738"/>
      <c r="W14" s="738"/>
      <c r="X14" s="738"/>
      <c r="Y14" s="738"/>
      <c r="Z14" s="738"/>
      <c r="AA14" s="738"/>
      <c r="AB14" s="738"/>
      <c r="AC14" s="738"/>
      <c r="AD14" s="738"/>
      <c r="AE14" s="738"/>
      <c r="AF14" s="738"/>
      <c r="AG14" s="738"/>
      <c r="AH14" s="738"/>
      <c r="AI14" s="738"/>
      <c r="AJ14" s="738"/>
      <c r="AK14" s="738"/>
      <c r="AL14" s="738"/>
      <c r="AM14" s="738"/>
      <c r="AN14" s="738"/>
      <c r="AO14" s="738"/>
      <c r="AP14" s="738"/>
      <c r="AQ14" s="738"/>
      <c r="AR14" s="738"/>
      <c r="AS14" s="738"/>
      <c r="AT14" s="738"/>
      <c r="AU14" s="738"/>
      <c r="AV14" s="738"/>
      <c r="AW14" s="738"/>
      <c r="AX14" s="738"/>
      <c r="AY14" s="738"/>
      <c r="AZ14" s="738"/>
      <c r="BA14" s="738"/>
      <c r="BB14" s="738"/>
      <c r="BC14" s="738"/>
      <c r="BD14" s="738"/>
      <c r="BE14" s="738"/>
      <c r="BF14" s="738"/>
      <c r="BG14" s="738"/>
      <c r="BH14" s="738"/>
      <c r="BI14" s="738"/>
      <c r="BJ14" s="738"/>
      <c r="BK14" s="738"/>
      <c r="BL14" s="738"/>
    </row>
    <row r="15">
      <c r="A15" s="6"/>
      <c r="B15" s="759" t="s">
        <v>50</v>
      </c>
      <c r="C15" s="760" t="s">
        <v>23</v>
      </c>
      <c r="D15" s="761"/>
      <c r="E15" s="743"/>
      <c r="F15" s="761"/>
      <c r="G15" s="743"/>
      <c r="H15" s="743"/>
      <c r="I15" s="743"/>
      <c r="J15" s="744"/>
      <c r="K15" s="738"/>
      <c r="L15" s="738"/>
      <c r="M15" s="738"/>
      <c r="N15" s="738"/>
      <c r="O15" s="738"/>
      <c r="P15" s="738"/>
      <c r="Q15" s="738"/>
      <c r="R15" s="738"/>
      <c r="S15" s="738"/>
      <c r="T15" s="738"/>
      <c r="U15" s="738"/>
      <c r="V15" s="738"/>
      <c r="W15" s="738"/>
      <c r="X15" s="738"/>
      <c r="Y15" s="738"/>
      <c r="Z15" s="738"/>
      <c r="AA15" s="738"/>
      <c r="AB15" s="738"/>
      <c r="AC15" s="738"/>
      <c r="AD15" s="738"/>
      <c r="AE15" s="738"/>
      <c r="AF15" s="738"/>
      <c r="AG15" s="738"/>
      <c r="AH15" s="738"/>
      <c r="AI15" s="738"/>
      <c r="AJ15" s="738"/>
      <c r="AK15" s="738"/>
      <c r="AL15" s="738"/>
      <c r="AM15" s="738"/>
      <c r="AN15" s="738"/>
      <c r="AO15" s="738"/>
      <c r="AP15" s="738"/>
      <c r="AQ15" s="738"/>
      <c r="AR15" s="738"/>
      <c r="AS15" s="738"/>
      <c r="AT15" s="738"/>
      <c r="AU15" s="738"/>
      <c r="AV15" s="738"/>
      <c r="AW15" s="738"/>
      <c r="AX15" s="738"/>
      <c r="AY15" s="738"/>
      <c r="AZ15" s="738"/>
      <c r="BA15" s="738"/>
      <c r="BB15" s="738"/>
      <c r="BC15" s="738"/>
      <c r="BD15" s="738"/>
      <c r="BE15" s="738"/>
      <c r="BF15" s="738"/>
      <c r="BG15" s="738"/>
      <c r="BH15" s="738"/>
      <c r="BI15" s="738"/>
      <c r="BJ15" s="738"/>
      <c r="BK15" s="738"/>
      <c r="BL15" s="738"/>
    </row>
    <row r="16">
      <c r="A16" s="6"/>
      <c r="B16" s="759" t="s">
        <v>51</v>
      </c>
      <c r="C16" s="760" t="s">
        <v>23</v>
      </c>
      <c r="D16" s="742" t="s">
        <v>70</v>
      </c>
      <c r="E16" s="743" t="s">
        <v>70</v>
      </c>
      <c r="F16" s="743" t="s">
        <v>70</v>
      </c>
      <c r="G16" s="743" t="s">
        <v>70</v>
      </c>
      <c r="H16" s="743" t="s">
        <v>70</v>
      </c>
      <c r="I16" s="743" t="s">
        <v>70</v>
      </c>
      <c r="J16" s="744" t="s">
        <v>69</v>
      </c>
      <c r="K16" s="738"/>
      <c r="L16" s="738"/>
      <c r="M16" s="738"/>
      <c r="N16" s="738"/>
      <c r="O16" s="738"/>
      <c r="P16" s="738"/>
      <c r="Q16" s="738"/>
      <c r="R16" s="738"/>
      <c r="S16" s="738"/>
      <c r="T16" s="738"/>
      <c r="U16" s="738"/>
      <c r="V16" s="738"/>
      <c r="W16" s="738"/>
      <c r="X16" s="738"/>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c r="BC16" s="738"/>
      <c r="BD16" s="738"/>
      <c r="BE16" s="738"/>
      <c r="BF16" s="738"/>
      <c r="BG16" s="738"/>
      <c r="BH16" s="738"/>
      <c r="BI16" s="738"/>
      <c r="BJ16" s="738"/>
      <c r="BK16" s="738"/>
      <c r="BL16" s="738"/>
    </row>
    <row r="17">
      <c r="A17" s="6"/>
      <c r="B17" s="762" t="s">
        <v>53</v>
      </c>
      <c r="C17" s="763" t="s">
        <v>25</v>
      </c>
      <c r="D17" s="742" t="s">
        <v>70</v>
      </c>
      <c r="E17" s="743" t="s">
        <v>70</v>
      </c>
      <c r="F17" s="743" t="s">
        <v>70</v>
      </c>
      <c r="G17" s="743" t="s">
        <v>70</v>
      </c>
      <c r="H17" s="743" t="s">
        <v>69</v>
      </c>
      <c r="I17" s="743" t="s">
        <v>69</v>
      </c>
      <c r="J17" s="744" t="s">
        <v>69</v>
      </c>
      <c r="K17" s="738"/>
      <c r="L17" s="738"/>
      <c r="M17" s="738"/>
      <c r="N17" s="738"/>
      <c r="O17" s="738"/>
      <c r="P17" s="738"/>
      <c r="Q17" s="738"/>
      <c r="R17" s="738"/>
      <c r="S17" s="738"/>
      <c r="T17" s="738"/>
      <c r="U17" s="738"/>
      <c r="V17" s="738"/>
      <c r="W17" s="738"/>
      <c r="X17" s="738"/>
      <c r="Y17" s="738"/>
      <c r="Z17" s="738"/>
      <c r="AA17" s="738"/>
      <c r="AB17" s="738"/>
      <c r="AC17" s="738"/>
      <c r="AD17" s="738"/>
      <c r="AE17" s="738"/>
      <c r="AF17" s="738"/>
      <c r="AG17" s="738"/>
      <c r="AH17" s="738"/>
      <c r="AI17" s="738"/>
      <c r="AJ17" s="738"/>
      <c r="AK17" s="738"/>
      <c r="AL17" s="738"/>
      <c r="AM17" s="738"/>
      <c r="AN17" s="738"/>
      <c r="AO17" s="738"/>
      <c r="AP17" s="738"/>
      <c r="AQ17" s="738"/>
      <c r="AR17" s="738"/>
      <c r="AS17" s="738"/>
      <c r="AT17" s="738"/>
      <c r="AU17" s="738"/>
      <c r="AV17" s="738"/>
      <c r="AW17" s="738"/>
      <c r="AX17" s="738"/>
      <c r="AY17" s="738"/>
      <c r="AZ17" s="738"/>
      <c r="BA17" s="738"/>
      <c r="BB17" s="738"/>
      <c r="BC17" s="738"/>
      <c r="BD17" s="738"/>
      <c r="BE17" s="738"/>
      <c r="BF17" s="738"/>
      <c r="BG17" s="738"/>
      <c r="BH17" s="738"/>
      <c r="BI17" s="738"/>
      <c r="BJ17" s="738"/>
      <c r="BK17" s="738"/>
      <c r="BL17" s="738"/>
    </row>
    <row r="18">
      <c r="A18" s="6"/>
      <c r="B18" s="764" t="s">
        <v>54</v>
      </c>
      <c r="C18" s="765" t="s">
        <v>25</v>
      </c>
      <c r="D18" s="742" t="s">
        <v>70</v>
      </c>
      <c r="E18" s="743" t="s">
        <v>70</v>
      </c>
      <c r="F18" s="743" t="s">
        <v>70</v>
      </c>
      <c r="G18" s="743" t="s">
        <v>70</v>
      </c>
      <c r="H18" s="743" t="s">
        <v>69</v>
      </c>
      <c r="I18" s="743" t="s">
        <v>69</v>
      </c>
      <c r="J18" s="744" t="s">
        <v>69</v>
      </c>
      <c r="K18" s="738"/>
      <c r="L18" s="738"/>
      <c r="M18" s="738"/>
      <c r="N18" s="738"/>
      <c r="O18" s="738"/>
      <c r="P18" s="738"/>
      <c r="Q18" s="738"/>
      <c r="R18" s="738"/>
      <c r="S18" s="738"/>
      <c r="T18" s="738"/>
      <c r="U18" s="738"/>
      <c r="V18" s="738"/>
      <c r="W18" s="738"/>
      <c r="X18" s="738"/>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c r="BC18" s="738"/>
      <c r="BD18" s="738"/>
      <c r="BE18" s="738"/>
      <c r="BF18" s="738"/>
      <c r="BG18" s="738"/>
      <c r="BH18" s="738"/>
      <c r="BI18" s="738"/>
      <c r="BJ18" s="738"/>
      <c r="BK18" s="738"/>
      <c r="BL18" s="738"/>
    </row>
    <row r="19">
      <c r="A19" s="6"/>
      <c r="B19" s="764" t="s">
        <v>55</v>
      </c>
      <c r="C19" s="765" t="s">
        <v>25</v>
      </c>
      <c r="D19" s="742" t="s">
        <v>70</v>
      </c>
      <c r="E19" s="743" t="s">
        <v>70</v>
      </c>
      <c r="F19" s="743" t="s">
        <v>70</v>
      </c>
      <c r="G19" s="743" t="s">
        <v>70</v>
      </c>
      <c r="H19" s="743" t="s">
        <v>69</v>
      </c>
      <c r="I19" s="743" t="s">
        <v>69</v>
      </c>
      <c r="J19" s="744" t="s">
        <v>69</v>
      </c>
      <c r="K19" s="738"/>
      <c r="L19" s="738"/>
      <c r="M19" s="738"/>
      <c r="N19" s="738"/>
      <c r="O19" s="738"/>
      <c r="P19" s="738"/>
      <c r="Q19" s="738"/>
      <c r="R19" s="738"/>
      <c r="S19" s="738"/>
      <c r="T19" s="738"/>
      <c r="U19" s="738"/>
      <c r="V19" s="738"/>
      <c r="W19" s="738"/>
      <c r="X19" s="738"/>
      <c r="Y19" s="738"/>
      <c r="Z19" s="738"/>
      <c r="AA19" s="738"/>
      <c r="AB19" s="738"/>
      <c r="AC19" s="738"/>
      <c r="AD19" s="738"/>
      <c r="AE19" s="738"/>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c r="BC19" s="738"/>
      <c r="BD19" s="738"/>
      <c r="BE19" s="738"/>
      <c r="BF19" s="738"/>
      <c r="BG19" s="738"/>
      <c r="BH19" s="738"/>
      <c r="BI19" s="738"/>
      <c r="BJ19" s="738"/>
      <c r="BK19" s="738"/>
      <c r="BL19" s="738"/>
    </row>
    <row r="20">
      <c r="A20" s="766" t="s">
        <v>1172</v>
      </c>
      <c r="B20" s="767" t="s">
        <v>60</v>
      </c>
      <c r="C20" s="768" t="s">
        <v>15</v>
      </c>
      <c r="D20" s="743" t="s">
        <v>69</v>
      </c>
      <c r="E20" s="743" t="s">
        <v>69</v>
      </c>
      <c r="F20" s="743" t="s">
        <v>69</v>
      </c>
      <c r="G20" s="743" t="s">
        <v>70</v>
      </c>
      <c r="H20" s="743" t="s">
        <v>69</v>
      </c>
      <c r="I20" s="743" t="s">
        <v>69</v>
      </c>
      <c r="J20" s="744" t="s">
        <v>70</v>
      </c>
      <c r="K20" s="738"/>
      <c r="L20" s="738"/>
      <c r="M20" s="738"/>
      <c r="N20" s="738"/>
      <c r="O20" s="738"/>
      <c r="P20" s="738"/>
      <c r="Q20" s="738"/>
      <c r="R20" s="738"/>
      <c r="S20" s="738"/>
      <c r="T20" s="738"/>
      <c r="U20" s="738"/>
      <c r="V20" s="738"/>
      <c r="W20" s="738"/>
      <c r="X20" s="738"/>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c r="BC20" s="738"/>
      <c r="BD20" s="738"/>
      <c r="BE20" s="738"/>
      <c r="BF20" s="738"/>
      <c r="BG20" s="738"/>
      <c r="BH20" s="738"/>
      <c r="BI20" s="738"/>
      <c r="BJ20" s="738"/>
      <c r="BK20" s="738"/>
      <c r="BL20" s="738"/>
    </row>
    <row r="21">
      <c r="A21" s="6"/>
      <c r="B21" s="769" t="s">
        <v>59</v>
      </c>
      <c r="C21" s="770" t="s">
        <v>15</v>
      </c>
      <c r="D21" s="743" t="s">
        <v>69</v>
      </c>
      <c r="E21" s="743" t="s">
        <v>70</v>
      </c>
      <c r="F21" s="742" t="s">
        <v>69</v>
      </c>
      <c r="G21" s="743" t="s">
        <v>70</v>
      </c>
      <c r="H21" s="743" t="s">
        <v>69</v>
      </c>
      <c r="I21" s="743" t="s">
        <v>69</v>
      </c>
      <c r="J21" s="744" t="s">
        <v>70</v>
      </c>
      <c r="K21" s="738"/>
      <c r="L21" s="738"/>
      <c r="M21" s="738"/>
      <c r="N21" s="738"/>
      <c r="O21" s="738"/>
      <c r="P21" s="738"/>
      <c r="Q21" s="738"/>
      <c r="R21" s="738"/>
      <c r="S21" s="738"/>
      <c r="T21" s="738"/>
      <c r="U21" s="738"/>
      <c r="V21" s="738"/>
      <c r="W21" s="738"/>
      <c r="X21" s="738"/>
      <c r="Y21" s="738"/>
      <c r="Z21" s="738"/>
      <c r="AA21" s="738"/>
      <c r="AB21" s="738"/>
      <c r="AC21" s="738"/>
      <c r="AD21" s="738"/>
      <c r="AE21" s="738"/>
      <c r="AF21" s="738"/>
      <c r="AG21" s="738"/>
      <c r="AH21" s="738"/>
      <c r="AI21" s="738"/>
      <c r="AJ21" s="738"/>
      <c r="AK21" s="738"/>
      <c r="AL21" s="738"/>
      <c r="AM21" s="738"/>
      <c r="AN21" s="738"/>
      <c r="AO21" s="738"/>
      <c r="AP21" s="738"/>
      <c r="AQ21" s="738"/>
      <c r="AR21" s="738"/>
      <c r="AS21" s="738"/>
      <c r="AT21" s="738"/>
      <c r="AU21" s="738"/>
      <c r="AV21" s="738"/>
      <c r="AW21" s="738"/>
      <c r="AX21" s="738"/>
      <c r="AY21" s="738"/>
      <c r="AZ21" s="738"/>
      <c r="BA21" s="738"/>
      <c r="BB21" s="738"/>
      <c r="BC21" s="738"/>
      <c r="BD21" s="738"/>
      <c r="BE21" s="738"/>
      <c r="BF21" s="738"/>
      <c r="BG21" s="738"/>
      <c r="BH21" s="738"/>
      <c r="BI21" s="738"/>
      <c r="BJ21" s="738"/>
      <c r="BK21" s="738"/>
      <c r="BL21" s="738"/>
    </row>
    <row r="22">
      <c r="A22" s="6"/>
      <c r="B22" s="769" t="s">
        <v>102</v>
      </c>
      <c r="C22" s="770" t="s">
        <v>15</v>
      </c>
      <c r="D22" s="761"/>
      <c r="E22" s="743"/>
      <c r="F22" s="771"/>
      <c r="G22" s="743"/>
      <c r="H22" s="743"/>
      <c r="I22" s="743"/>
      <c r="J22" s="744"/>
      <c r="K22" s="738"/>
      <c r="L22" s="738"/>
      <c r="M22" s="738"/>
      <c r="N22" s="738"/>
      <c r="O22" s="738"/>
      <c r="P22" s="738"/>
      <c r="Q22" s="738"/>
      <c r="R22" s="738"/>
      <c r="S22" s="738"/>
      <c r="T22" s="738"/>
      <c r="U22" s="738"/>
      <c r="V22" s="738"/>
      <c r="W22" s="738"/>
      <c r="X22" s="738"/>
      <c r="Y22" s="738"/>
      <c r="Z22" s="738"/>
      <c r="AA22" s="738"/>
      <c r="AB22" s="738"/>
      <c r="AC22" s="738"/>
      <c r="AD22" s="738"/>
      <c r="AE22" s="738"/>
      <c r="AF22" s="738"/>
      <c r="AG22" s="738"/>
      <c r="AH22" s="738"/>
      <c r="AI22" s="738"/>
      <c r="AJ22" s="738"/>
      <c r="AK22" s="738"/>
      <c r="AL22" s="738"/>
      <c r="AM22" s="738"/>
      <c r="AN22" s="738"/>
      <c r="AO22" s="738"/>
      <c r="AP22" s="738"/>
      <c r="AQ22" s="738"/>
      <c r="AR22" s="738"/>
      <c r="AS22" s="738"/>
      <c r="AT22" s="738"/>
      <c r="AU22" s="738"/>
      <c r="AV22" s="738"/>
      <c r="AW22" s="738"/>
      <c r="AX22" s="738"/>
      <c r="AY22" s="738"/>
      <c r="AZ22" s="738"/>
      <c r="BA22" s="738"/>
      <c r="BB22" s="738"/>
      <c r="BC22" s="738"/>
      <c r="BD22" s="738"/>
      <c r="BE22" s="738"/>
      <c r="BF22" s="738"/>
      <c r="BG22" s="738"/>
      <c r="BH22" s="738"/>
      <c r="BI22" s="738"/>
      <c r="BJ22" s="738"/>
      <c r="BK22" s="738"/>
      <c r="BL22" s="738"/>
    </row>
    <row r="23">
      <c r="A23" s="6"/>
      <c r="B23" s="769" t="s">
        <v>103</v>
      </c>
      <c r="C23" s="770" t="s">
        <v>15</v>
      </c>
      <c r="D23" s="742"/>
      <c r="E23" s="742"/>
      <c r="F23" s="742"/>
      <c r="G23" s="742"/>
      <c r="H23" s="742"/>
      <c r="I23" s="742"/>
      <c r="J23" s="772"/>
      <c r="K23" s="738"/>
      <c r="L23" s="738"/>
      <c r="M23" s="738"/>
      <c r="N23" s="738"/>
      <c r="O23" s="738"/>
      <c r="P23" s="738"/>
      <c r="Q23" s="738"/>
      <c r="R23" s="738"/>
      <c r="S23" s="738"/>
      <c r="T23" s="738"/>
      <c r="U23" s="738"/>
      <c r="V23" s="738"/>
      <c r="W23" s="738"/>
      <c r="X23" s="738"/>
      <c r="Y23" s="738"/>
      <c r="Z23" s="738"/>
      <c r="AA23" s="738"/>
      <c r="AB23" s="738"/>
      <c r="AC23" s="738"/>
      <c r="AD23" s="738"/>
      <c r="AE23" s="738"/>
      <c r="AF23" s="738"/>
      <c r="AG23" s="738"/>
      <c r="AH23" s="738"/>
      <c r="AI23" s="738"/>
      <c r="AJ23" s="738"/>
      <c r="AK23" s="738"/>
      <c r="AL23" s="738"/>
      <c r="AM23" s="738"/>
      <c r="AN23" s="738"/>
      <c r="AO23" s="738"/>
      <c r="AP23" s="738"/>
      <c r="AQ23" s="738"/>
      <c r="AR23" s="738"/>
      <c r="AS23" s="738"/>
      <c r="AT23" s="738"/>
      <c r="AU23" s="738"/>
      <c r="AV23" s="738"/>
      <c r="AW23" s="738"/>
      <c r="AX23" s="738"/>
      <c r="AY23" s="738"/>
      <c r="AZ23" s="738"/>
      <c r="BA23" s="738"/>
      <c r="BB23" s="738"/>
      <c r="BC23" s="738"/>
      <c r="BD23" s="738"/>
      <c r="BE23" s="738"/>
      <c r="BF23" s="738"/>
      <c r="BG23" s="738"/>
      <c r="BH23" s="738"/>
      <c r="BI23" s="738"/>
      <c r="BJ23" s="738"/>
      <c r="BK23" s="738"/>
      <c r="BL23" s="738"/>
    </row>
    <row r="24">
      <c r="A24" s="6"/>
      <c r="B24" s="769" t="s">
        <v>105</v>
      </c>
      <c r="C24" s="770" t="s">
        <v>15</v>
      </c>
      <c r="D24" s="743" t="s">
        <v>69</v>
      </c>
      <c r="E24" s="743" t="s">
        <v>69</v>
      </c>
      <c r="F24" s="743" t="s">
        <v>69</v>
      </c>
      <c r="G24" s="743" t="s">
        <v>69</v>
      </c>
      <c r="H24" s="743" t="s">
        <v>69</v>
      </c>
      <c r="I24" s="743" t="s">
        <v>69</v>
      </c>
      <c r="J24" s="772" t="s">
        <v>70</v>
      </c>
      <c r="K24" s="738"/>
      <c r="L24" s="738"/>
      <c r="M24" s="738"/>
      <c r="N24" s="738"/>
      <c r="O24" s="738"/>
      <c r="P24" s="738"/>
      <c r="Q24" s="738"/>
      <c r="R24" s="738"/>
      <c r="S24" s="738"/>
      <c r="T24" s="738"/>
      <c r="U24" s="738"/>
      <c r="V24" s="738"/>
      <c r="W24" s="738"/>
      <c r="X24" s="738"/>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c r="BC24" s="738"/>
      <c r="BD24" s="738"/>
      <c r="BE24" s="738"/>
      <c r="BF24" s="738"/>
      <c r="BG24" s="738"/>
      <c r="BH24" s="738"/>
      <c r="BI24" s="738"/>
      <c r="BJ24" s="738"/>
      <c r="BK24" s="738"/>
      <c r="BL24" s="738"/>
    </row>
    <row r="25">
      <c r="A25" s="6"/>
      <c r="B25" s="773" t="s">
        <v>64</v>
      </c>
      <c r="C25" s="774" t="s">
        <v>18</v>
      </c>
      <c r="D25" s="743" t="s">
        <v>70</v>
      </c>
      <c r="E25" s="742" t="s">
        <v>99</v>
      </c>
      <c r="F25" s="743" t="s">
        <v>69</v>
      </c>
      <c r="G25" s="743" t="s">
        <v>70</v>
      </c>
      <c r="H25" s="743" t="s">
        <v>69</v>
      </c>
      <c r="I25" s="743" t="s">
        <v>69</v>
      </c>
      <c r="J25" s="744" t="s">
        <v>70</v>
      </c>
      <c r="K25" s="738"/>
      <c r="L25" s="738"/>
      <c r="M25" s="738"/>
      <c r="N25" s="738"/>
      <c r="O25" s="738"/>
      <c r="P25" s="738"/>
      <c r="Q25" s="738"/>
      <c r="R25" s="738"/>
      <c r="S25" s="738"/>
      <c r="T25" s="738"/>
      <c r="U25" s="738"/>
      <c r="V25" s="738"/>
      <c r="W25" s="738"/>
      <c r="X25" s="738"/>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c r="BC25" s="738"/>
      <c r="BD25" s="738"/>
      <c r="BE25" s="738"/>
      <c r="BF25" s="738"/>
      <c r="BG25" s="738"/>
      <c r="BH25" s="738"/>
      <c r="BI25" s="738"/>
      <c r="BJ25" s="738"/>
      <c r="BK25" s="738"/>
      <c r="BL25" s="738"/>
    </row>
    <row r="26">
      <c r="A26" s="6"/>
      <c r="B26" s="775" t="s">
        <v>106</v>
      </c>
      <c r="C26" s="776" t="s">
        <v>18</v>
      </c>
      <c r="D26" s="743"/>
      <c r="E26" s="742"/>
      <c r="F26" s="743"/>
      <c r="G26" s="742"/>
      <c r="H26" s="742"/>
      <c r="I26" s="742"/>
      <c r="J26" s="772"/>
      <c r="K26" s="738"/>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c r="BC26" s="738"/>
      <c r="BD26" s="738"/>
      <c r="BE26" s="738"/>
      <c r="BF26" s="738"/>
      <c r="BG26" s="738"/>
      <c r="BH26" s="738"/>
      <c r="BI26" s="738"/>
      <c r="BJ26" s="738"/>
      <c r="BK26" s="738"/>
      <c r="BL26" s="738"/>
    </row>
    <row r="27">
      <c r="A27" s="6"/>
      <c r="B27" s="777" t="s">
        <v>66</v>
      </c>
      <c r="C27" s="778" t="s">
        <v>18</v>
      </c>
      <c r="D27" s="779" t="s">
        <v>69</v>
      </c>
      <c r="E27" s="780" t="s">
        <v>69</v>
      </c>
      <c r="F27" s="780" t="s">
        <v>69</v>
      </c>
      <c r="G27" s="780" t="s">
        <v>69</v>
      </c>
      <c r="H27" s="780" t="s">
        <v>69</v>
      </c>
      <c r="I27" s="780" t="s">
        <v>69</v>
      </c>
      <c r="J27" s="781" t="s">
        <v>70</v>
      </c>
      <c r="K27" s="738"/>
      <c r="L27" s="738"/>
      <c r="M27" s="738"/>
      <c r="N27" s="738"/>
      <c r="O27" s="738"/>
      <c r="P27" s="738"/>
      <c r="Q27" s="738"/>
      <c r="R27" s="738"/>
      <c r="S27" s="738"/>
      <c r="T27" s="738"/>
      <c r="U27" s="738"/>
      <c r="V27" s="738"/>
      <c r="W27" s="738"/>
      <c r="X27" s="738"/>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c r="BC27" s="738"/>
      <c r="BD27" s="738"/>
      <c r="BE27" s="738"/>
      <c r="BF27" s="738"/>
      <c r="BG27" s="738"/>
      <c r="BH27" s="738"/>
      <c r="BI27" s="738"/>
      <c r="BJ27" s="738"/>
      <c r="BK27" s="738"/>
      <c r="BL27" s="738"/>
    </row>
    <row r="28">
      <c r="A28" s="6"/>
      <c r="B28" s="782" t="s">
        <v>135</v>
      </c>
      <c r="C28" s="783" t="s">
        <v>107</v>
      </c>
      <c r="D28" s="743" t="s">
        <v>69</v>
      </c>
      <c r="E28" s="743" t="s">
        <v>69</v>
      </c>
      <c r="F28" s="743" t="s">
        <v>69</v>
      </c>
      <c r="G28" s="743" t="s">
        <v>69</v>
      </c>
      <c r="H28" s="743" t="s">
        <v>69</v>
      </c>
      <c r="I28" s="743" t="s">
        <v>69</v>
      </c>
      <c r="J28" s="772" t="s">
        <v>69</v>
      </c>
      <c r="K28" s="738"/>
      <c r="L28" s="738"/>
      <c r="M28" s="738"/>
      <c r="N28" s="738"/>
      <c r="O28" s="738"/>
      <c r="P28" s="738"/>
      <c r="Q28" s="738"/>
      <c r="R28" s="738"/>
      <c r="S28" s="738"/>
      <c r="T28" s="738"/>
      <c r="U28" s="738"/>
      <c r="V28" s="738"/>
      <c r="W28" s="738"/>
      <c r="X28" s="738"/>
      <c r="Y28" s="738"/>
      <c r="Z28" s="738"/>
      <c r="AA28" s="738"/>
      <c r="AB28" s="738"/>
      <c r="AC28" s="738"/>
      <c r="AD28" s="738"/>
      <c r="AE28" s="738"/>
      <c r="AF28" s="738"/>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c r="BC28" s="738"/>
      <c r="BD28" s="738"/>
      <c r="BE28" s="738"/>
      <c r="BF28" s="738"/>
      <c r="BG28" s="738"/>
      <c r="BH28" s="738"/>
      <c r="BI28" s="738"/>
      <c r="BJ28" s="738"/>
      <c r="BK28" s="738"/>
      <c r="BL28" s="738"/>
    </row>
    <row r="29">
      <c r="A29" s="784"/>
      <c r="B29" s="785" t="s">
        <v>67</v>
      </c>
      <c r="C29" s="786" t="s">
        <v>107</v>
      </c>
      <c r="D29" s="743" t="s">
        <v>69</v>
      </c>
      <c r="E29" s="743" t="s">
        <v>69</v>
      </c>
      <c r="F29" s="743" t="s">
        <v>69</v>
      </c>
      <c r="G29" s="743" t="s">
        <v>69</v>
      </c>
      <c r="H29" s="743" t="s">
        <v>69</v>
      </c>
      <c r="I29" s="743" t="s">
        <v>69</v>
      </c>
      <c r="J29" s="772" t="s">
        <v>70</v>
      </c>
      <c r="K29" s="738"/>
      <c r="L29" s="738"/>
      <c r="M29" s="738"/>
      <c r="N29" s="738"/>
      <c r="O29" s="738"/>
      <c r="P29" s="738"/>
      <c r="Q29" s="738"/>
      <c r="R29" s="738"/>
      <c r="S29" s="738"/>
      <c r="T29" s="738"/>
      <c r="U29" s="738"/>
      <c r="V29" s="738"/>
      <c r="W29" s="738"/>
      <c r="X29" s="738"/>
      <c r="Y29" s="738"/>
      <c r="Z29" s="738"/>
      <c r="AA29" s="738"/>
      <c r="AB29" s="738"/>
      <c r="AC29" s="738"/>
      <c r="AD29" s="738"/>
      <c r="AE29" s="738"/>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c r="BC29" s="738"/>
      <c r="BD29" s="738"/>
      <c r="BE29" s="738"/>
      <c r="BF29" s="738"/>
      <c r="BG29" s="738"/>
      <c r="BH29" s="738"/>
      <c r="BI29" s="738"/>
      <c r="BJ29" s="738"/>
      <c r="BK29" s="738"/>
      <c r="BL29" s="738"/>
    </row>
    <row r="30">
      <c r="A30" s="787" t="s">
        <v>68</v>
      </c>
      <c r="B30" s="788"/>
      <c r="C30" s="108"/>
      <c r="D30" s="734"/>
      <c r="E30" s="734"/>
      <c r="F30" s="734"/>
      <c r="G30" s="734"/>
      <c r="H30" s="734"/>
      <c r="I30" s="734"/>
      <c r="J30" s="734"/>
      <c r="K30" s="734"/>
      <c r="L30" s="731"/>
      <c r="U30" s="731"/>
      <c r="V30" s="731"/>
      <c r="W30" s="731"/>
      <c r="X30" s="731"/>
      <c r="Y30" s="731"/>
      <c r="Z30" s="731"/>
      <c r="AA30" s="731"/>
      <c r="AB30" s="731"/>
      <c r="AC30" s="731"/>
      <c r="AD30" s="731"/>
      <c r="AE30" s="731"/>
      <c r="AF30" s="731"/>
      <c r="AG30" s="731"/>
      <c r="AH30" s="731"/>
      <c r="AI30" s="731"/>
      <c r="AJ30" s="731"/>
      <c r="AK30" s="731"/>
      <c r="AL30" s="731"/>
      <c r="AM30" s="731"/>
      <c r="AN30" s="731"/>
      <c r="AO30" s="731"/>
      <c r="AP30" s="731"/>
      <c r="AQ30" s="731"/>
      <c r="AR30" s="731"/>
      <c r="AS30" s="731"/>
      <c r="AT30" s="731"/>
      <c r="AU30" s="731"/>
      <c r="AV30" s="731"/>
      <c r="AW30" s="731"/>
      <c r="AX30" s="731"/>
      <c r="AY30" s="731"/>
      <c r="AZ30" s="731"/>
      <c r="BA30" s="731"/>
      <c r="BB30" s="731"/>
      <c r="BC30" s="731"/>
      <c r="BD30" s="731"/>
      <c r="BE30" s="731"/>
      <c r="BF30" s="731"/>
      <c r="BG30" s="731"/>
      <c r="BH30" s="731"/>
      <c r="BI30" s="731"/>
      <c r="BJ30" s="731"/>
      <c r="BK30" s="731"/>
      <c r="BL30" s="731"/>
    </row>
    <row r="31">
      <c r="A31" s="789"/>
      <c r="B31" s="790" t="s">
        <v>69</v>
      </c>
      <c r="D31" s="791">
        <f t="shared" ref="D31:J31" si="1">COUNTIF(D1:D29,"Voor")</f>
        <v>6</v>
      </c>
      <c r="E31" s="791">
        <f t="shared" si="1"/>
        <v>5</v>
      </c>
      <c r="F31" s="791">
        <f t="shared" si="1"/>
        <v>12</v>
      </c>
      <c r="G31" s="791">
        <f t="shared" si="1"/>
        <v>4</v>
      </c>
      <c r="H31" s="791">
        <f t="shared" si="1"/>
        <v>14</v>
      </c>
      <c r="I31" s="791">
        <f t="shared" si="1"/>
        <v>14</v>
      </c>
      <c r="J31" s="343">
        <f t="shared" si="1"/>
        <v>14</v>
      </c>
      <c r="K31" s="738"/>
      <c r="L31" s="738"/>
      <c r="M31" s="738"/>
      <c r="N31" s="738"/>
      <c r="O31" s="738"/>
      <c r="P31" s="738"/>
      <c r="Q31" s="738"/>
      <c r="R31" s="738"/>
      <c r="S31" s="738"/>
      <c r="T31" s="738"/>
      <c r="U31" s="738"/>
      <c r="V31" s="738"/>
      <c r="W31" s="738"/>
      <c r="X31" s="738"/>
      <c r="Y31" s="738"/>
      <c r="Z31" s="738"/>
      <c r="AA31" s="738"/>
      <c r="AB31" s="738"/>
      <c r="AC31" s="738"/>
      <c r="AD31" s="738"/>
      <c r="AE31" s="730"/>
      <c r="AF31" s="730"/>
      <c r="AG31" s="730"/>
      <c r="AH31" s="730"/>
      <c r="AI31" s="730"/>
      <c r="AJ31" s="730"/>
      <c r="AK31" s="730"/>
      <c r="AL31" s="730"/>
      <c r="AM31" s="730"/>
      <c r="AN31" s="730"/>
      <c r="AO31" s="730"/>
      <c r="AP31" s="730"/>
      <c r="AQ31" s="730"/>
      <c r="AR31" s="730"/>
      <c r="AS31" s="730"/>
      <c r="AT31" s="730"/>
      <c r="AU31" s="730"/>
      <c r="AV31" s="730"/>
      <c r="AW31" s="730"/>
      <c r="AX31" s="730"/>
      <c r="AY31" s="730"/>
      <c r="AZ31" s="730"/>
      <c r="BA31" s="730"/>
      <c r="BB31" s="730"/>
      <c r="BC31" s="730"/>
      <c r="BD31" s="730"/>
      <c r="BE31" s="730"/>
      <c r="BF31" s="730"/>
      <c r="BG31" s="730"/>
      <c r="BH31" s="730"/>
      <c r="BI31" s="730"/>
      <c r="BJ31" s="730"/>
      <c r="BK31" s="730"/>
      <c r="BL31" s="730"/>
    </row>
    <row r="32">
      <c r="A32" s="789"/>
      <c r="B32" s="792" t="s">
        <v>70</v>
      </c>
      <c r="D32" s="793">
        <f t="shared" ref="D32:J32" si="2">COUNTIF(D1:D29,"Tegen")</f>
        <v>14</v>
      </c>
      <c r="E32" s="793">
        <f t="shared" si="2"/>
        <v>14</v>
      </c>
      <c r="F32" s="793">
        <f t="shared" si="2"/>
        <v>8</v>
      </c>
      <c r="G32" s="793">
        <f t="shared" si="2"/>
        <v>16</v>
      </c>
      <c r="H32" s="793">
        <f t="shared" si="2"/>
        <v>5</v>
      </c>
      <c r="I32" s="793">
        <f t="shared" si="2"/>
        <v>6</v>
      </c>
      <c r="J32" s="345">
        <f t="shared" si="2"/>
        <v>6</v>
      </c>
      <c r="K32" s="738"/>
      <c r="L32" s="738"/>
      <c r="M32" s="738"/>
      <c r="N32" s="738"/>
      <c r="O32" s="738"/>
      <c r="P32" s="738"/>
      <c r="Q32" s="738"/>
      <c r="R32" s="738"/>
      <c r="S32" s="738"/>
      <c r="T32" s="738"/>
      <c r="U32" s="738"/>
      <c r="V32" s="738"/>
      <c r="W32" s="738"/>
      <c r="X32" s="738"/>
      <c r="Y32" s="738"/>
      <c r="Z32" s="738"/>
      <c r="AA32" s="738"/>
      <c r="AB32" s="738"/>
      <c r="AC32" s="738"/>
      <c r="AD32" s="738"/>
      <c r="AE32" s="730"/>
      <c r="AF32" s="730"/>
      <c r="AG32" s="730"/>
      <c r="AH32" s="730"/>
      <c r="AI32" s="730"/>
      <c r="AJ32" s="730"/>
      <c r="AK32" s="730"/>
      <c r="AL32" s="730"/>
      <c r="AM32" s="730"/>
      <c r="AN32" s="730"/>
      <c r="AO32" s="730"/>
      <c r="AP32" s="730"/>
      <c r="AQ32" s="730"/>
      <c r="AR32" s="730"/>
      <c r="AS32" s="730"/>
      <c r="AT32" s="730"/>
      <c r="AU32" s="730"/>
      <c r="AV32" s="730"/>
      <c r="AW32" s="730"/>
      <c r="AX32" s="730"/>
      <c r="AY32" s="730"/>
      <c r="AZ32" s="730"/>
      <c r="BA32" s="730"/>
      <c r="BB32" s="730"/>
      <c r="BC32" s="730"/>
      <c r="BD32" s="730"/>
      <c r="BE32" s="730"/>
      <c r="BF32" s="730"/>
      <c r="BG32" s="730"/>
      <c r="BH32" s="730"/>
      <c r="BI32" s="730"/>
      <c r="BJ32" s="730"/>
      <c r="BK32" s="730"/>
      <c r="BL32" s="730"/>
    </row>
    <row r="33">
      <c r="A33" s="789"/>
      <c r="B33" s="794" t="s">
        <v>71</v>
      </c>
      <c r="D33" s="795">
        <f t="shared" ref="D33:J33" si="3">COUNTIF(D1:D29,"SO")</f>
        <v>0</v>
      </c>
      <c r="E33" s="795">
        <f t="shared" si="3"/>
        <v>1</v>
      </c>
      <c r="F33" s="795">
        <f t="shared" si="3"/>
        <v>0</v>
      </c>
      <c r="G33" s="795">
        <f t="shared" si="3"/>
        <v>0</v>
      </c>
      <c r="H33" s="795">
        <f t="shared" si="3"/>
        <v>1</v>
      </c>
      <c r="I33" s="795">
        <f t="shared" si="3"/>
        <v>0</v>
      </c>
      <c r="J33" s="348">
        <f t="shared" si="3"/>
        <v>0</v>
      </c>
      <c r="K33" s="738"/>
      <c r="L33" s="738"/>
      <c r="M33" s="738"/>
      <c r="N33" s="738"/>
      <c r="O33" s="738"/>
      <c r="P33" s="738"/>
      <c r="Q33" s="738"/>
      <c r="R33" s="738"/>
      <c r="S33" s="738"/>
      <c r="T33" s="738"/>
      <c r="U33" s="738"/>
      <c r="V33" s="738"/>
      <c r="W33" s="738"/>
      <c r="X33" s="738"/>
      <c r="Y33" s="738"/>
      <c r="Z33" s="738"/>
      <c r="AA33" s="738"/>
      <c r="AB33" s="738"/>
      <c r="AC33" s="738"/>
      <c r="AD33" s="738"/>
      <c r="AE33" s="730"/>
      <c r="AF33" s="730"/>
      <c r="AG33" s="730"/>
      <c r="AH33" s="730"/>
      <c r="AI33" s="730"/>
      <c r="AJ33" s="730"/>
      <c r="AK33" s="730"/>
      <c r="AL33" s="730"/>
      <c r="AM33" s="730"/>
      <c r="AN33" s="730"/>
      <c r="AO33" s="730"/>
      <c r="AP33" s="730"/>
      <c r="AQ33" s="730"/>
      <c r="AR33" s="730"/>
      <c r="AS33" s="730"/>
      <c r="AT33" s="730"/>
      <c r="AU33" s="730"/>
      <c r="AV33" s="730"/>
      <c r="AW33" s="730"/>
      <c r="AX33" s="730"/>
      <c r="AY33" s="730"/>
      <c r="AZ33" s="730"/>
      <c r="BA33" s="730"/>
      <c r="BB33" s="730"/>
      <c r="BC33" s="730"/>
      <c r="BD33" s="730"/>
      <c r="BE33" s="730"/>
      <c r="BF33" s="730"/>
      <c r="BG33" s="730"/>
      <c r="BH33" s="730"/>
      <c r="BI33" s="730"/>
      <c r="BJ33" s="730"/>
      <c r="BK33" s="730"/>
      <c r="BL33" s="730"/>
    </row>
    <row r="34">
      <c r="A34" s="789"/>
      <c r="B34" s="796" t="s">
        <v>72</v>
      </c>
      <c r="D34" s="797">
        <f t="shared" ref="D34:J34" si="4">COUNTIF(D1:D29,"NG")</f>
        <v>0</v>
      </c>
      <c r="E34" s="797">
        <f t="shared" si="4"/>
        <v>0</v>
      </c>
      <c r="F34" s="797">
        <f t="shared" si="4"/>
        <v>0</v>
      </c>
      <c r="G34" s="797">
        <f t="shared" si="4"/>
        <v>0</v>
      </c>
      <c r="H34" s="797">
        <f t="shared" si="4"/>
        <v>0</v>
      </c>
      <c r="I34" s="797">
        <f t="shared" si="4"/>
        <v>0</v>
      </c>
      <c r="J34" s="351">
        <f t="shared" si="4"/>
        <v>0</v>
      </c>
      <c r="K34" s="738"/>
      <c r="L34" s="738"/>
      <c r="M34" s="738"/>
      <c r="N34" s="738"/>
      <c r="O34" s="738"/>
      <c r="P34" s="738"/>
      <c r="Q34" s="738"/>
      <c r="R34" s="738"/>
      <c r="S34" s="738"/>
      <c r="T34" s="738"/>
      <c r="U34" s="738"/>
      <c r="V34" s="738"/>
      <c r="W34" s="738"/>
      <c r="X34" s="738"/>
      <c r="Y34" s="738"/>
      <c r="Z34" s="738"/>
      <c r="AA34" s="738"/>
      <c r="AB34" s="738"/>
      <c r="AC34" s="738"/>
      <c r="AD34" s="738"/>
      <c r="AE34" s="730"/>
      <c r="AF34" s="730"/>
      <c r="AG34" s="730"/>
      <c r="AH34" s="730"/>
      <c r="AI34" s="730"/>
      <c r="AJ34" s="730"/>
      <c r="AK34" s="730"/>
      <c r="AL34" s="730"/>
      <c r="AM34" s="730"/>
      <c r="AN34" s="730"/>
      <c r="AO34" s="730"/>
      <c r="AP34" s="730"/>
      <c r="AQ34" s="730"/>
      <c r="AR34" s="730"/>
      <c r="AS34" s="730"/>
      <c r="AT34" s="730"/>
      <c r="AU34" s="730"/>
      <c r="AV34" s="730"/>
      <c r="AW34" s="730"/>
      <c r="AX34" s="730"/>
      <c r="AY34" s="730"/>
      <c r="AZ34" s="730"/>
      <c r="BA34" s="730"/>
      <c r="BB34" s="730"/>
      <c r="BC34" s="730"/>
      <c r="BD34" s="730"/>
      <c r="BE34" s="730"/>
      <c r="BF34" s="730"/>
      <c r="BG34" s="730"/>
      <c r="BH34" s="730"/>
      <c r="BI34" s="730"/>
      <c r="BJ34" s="730"/>
      <c r="BK34" s="730"/>
      <c r="BL34" s="730"/>
    </row>
    <row r="35">
      <c r="A35" s="789"/>
      <c r="B35" s="798" t="s">
        <v>73</v>
      </c>
      <c r="D35" s="799">
        <f t="shared" ref="D35:J35" si="5">SUM(D31:D34)</f>
        <v>20</v>
      </c>
      <c r="E35" s="799">
        <f t="shared" si="5"/>
        <v>20</v>
      </c>
      <c r="F35" s="799">
        <f t="shared" si="5"/>
        <v>20</v>
      </c>
      <c r="G35" s="799">
        <f t="shared" si="5"/>
        <v>20</v>
      </c>
      <c r="H35" s="799">
        <f t="shared" si="5"/>
        <v>20</v>
      </c>
      <c r="I35" s="799">
        <f t="shared" si="5"/>
        <v>20</v>
      </c>
      <c r="J35" s="353">
        <f t="shared" si="5"/>
        <v>20</v>
      </c>
      <c r="K35" s="738"/>
      <c r="L35" s="738"/>
      <c r="M35" s="738"/>
      <c r="N35" s="738"/>
      <c r="O35" s="738"/>
      <c r="P35" s="738"/>
      <c r="Q35" s="738"/>
      <c r="R35" s="738"/>
      <c r="S35" s="738"/>
      <c r="T35" s="738"/>
      <c r="U35" s="738"/>
      <c r="V35" s="738"/>
      <c r="W35" s="738"/>
      <c r="X35" s="738"/>
      <c r="Y35" s="738"/>
      <c r="Z35" s="738"/>
      <c r="AA35" s="738"/>
      <c r="AB35" s="738"/>
      <c r="AC35" s="738"/>
      <c r="AD35" s="738"/>
      <c r="AE35" s="730"/>
      <c r="AF35" s="730"/>
      <c r="AG35" s="730"/>
      <c r="AH35" s="730"/>
      <c r="AI35" s="730"/>
      <c r="AJ35" s="730"/>
      <c r="AK35" s="730"/>
      <c r="AL35" s="730"/>
      <c r="AM35" s="730"/>
      <c r="AN35" s="730"/>
      <c r="AO35" s="730"/>
      <c r="AP35" s="730"/>
      <c r="AQ35" s="730"/>
      <c r="AR35" s="730"/>
      <c r="AS35" s="730"/>
      <c r="AT35" s="730"/>
      <c r="AU35" s="730"/>
      <c r="AV35" s="730"/>
      <c r="AW35" s="730"/>
      <c r="AX35" s="730"/>
      <c r="AY35" s="730"/>
      <c r="AZ35" s="730"/>
      <c r="BA35" s="730"/>
      <c r="BB35" s="730"/>
      <c r="BC35" s="730"/>
      <c r="BD35" s="730"/>
      <c r="BE35" s="730"/>
      <c r="BF35" s="730"/>
      <c r="BG35" s="730"/>
      <c r="BH35" s="730"/>
      <c r="BI35" s="730"/>
      <c r="BJ35" s="730"/>
      <c r="BK35" s="730"/>
      <c r="BL35" s="730"/>
    </row>
    <row r="36">
      <c r="A36" s="789"/>
      <c r="B36" s="800" t="s">
        <v>74</v>
      </c>
      <c r="D36" s="801">
        <f t="shared" ref="D36:J36" si="6">D31+D32+D33</f>
        <v>20</v>
      </c>
      <c r="E36" s="801">
        <f t="shared" si="6"/>
        <v>20</v>
      </c>
      <c r="F36" s="801">
        <f t="shared" si="6"/>
        <v>20</v>
      </c>
      <c r="G36" s="801">
        <f t="shared" si="6"/>
        <v>20</v>
      </c>
      <c r="H36" s="801">
        <f t="shared" si="6"/>
        <v>20</v>
      </c>
      <c r="I36" s="801">
        <f t="shared" si="6"/>
        <v>20</v>
      </c>
      <c r="J36" s="355">
        <f t="shared" si="6"/>
        <v>20</v>
      </c>
      <c r="K36" s="738"/>
      <c r="L36" s="738"/>
      <c r="M36" s="738"/>
      <c r="N36" s="738"/>
      <c r="O36" s="738"/>
      <c r="P36" s="738"/>
      <c r="Q36" s="738"/>
      <c r="R36" s="738"/>
      <c r="S36" s="738"/>
      <c r="T36" s="738"/>
      <c r="U36" s="738"/>
      <c r="V36" s="738"/>
      <c r="W36" s="738"/>
      <c r="X36" s="738"/>
      <c r="Y36" s="738"/>
      <c r="Z36" s="738"/>
      <c r="AA36" s="738"/>
      <c r="AB36" s="738"/>
      <c r="AC36" s="738"/>
      <c r="AD36" s="738"/>
      <c r="AE36" s="730"/>
      <c r="AF36" s="730"/>
      <c r="AG36" s="730"/>
      <c r="AH36" s="730"/>
      <c r="AI36" s="730"/>
      <c r="AJ36" s="730"/>
      <c r="AK36" s="730"/>
      <c r="AL36" s="730"/>
      <c r="AM36" s="730"/>
      <c r="AN36" s="730"/>
      <c r="AO36" s="730"/>
      <c r="AP36" s="730"/>
      <c r="AQ36" s="730"/>
      <c r="AR36" s="730"/>
      <c r="AS36" s="730"/>
      <c r="AT36" s="730"/>
      <c r="AU36" s="730"/>
      <c r="AV36" s="730"/>
      <c r="AW36" s="730"/>
      <c r="AX36" s="730"/>
      <c r="AY36" s="730"/>
      <c r="AZ36" s="730"/>
      <c r="BA36" s="730"/>
      <c r="BB36" s="730"/>
      <c r="BC36" s="730"/>
      <c r="BD36" s="730"/>
      <c r="BE36" s="730"/>
      <c r="BF36" s="730"/>
      <c r="BG36" s="730"/>
      <c r="BH36" s="730"/>
      <c r="BI36" s="730"/>
      <c r="BJ36" s="730"/>
      <c r="BK36" s="730"/>
      <c r="BL36" s="730"/>
    </row>
    <row r="37">
      <c r="A37" s="802"/>
      <c r="B37" s="803" t="s">
        <v>75</v>
      </c>
      <c r="C37" s="65"/>
      <c r="D37" s="804">
        <f t="shared" ref="D37:J37" si="7">IFERROR(D36/D35,"")</f>
        <v>1</v>
      </c>
      <c r="E37" s="804">
        <f t="shared" si="7"/>
        <v>1</v>
      </c>
      <c r="F37" s="804">
        <f t="shared" si="7"/>
        <v>1</v>
      </c>
      <c r="G37" s="804">
        <f t="shared" si="7"/>
        <v>1</v>
      </c>
      <c r="H37" s="804">
        <f t="shared" si="7"/>
        <v>1</v>
      </c>
      <c r="I37" s="804">
        <f t="shared" si="7"/>
        <v>1</v>
      </c>
      <c r="J37" s="357">
        <f t="shared" si="7"/>
        <v>1</v>
      </c>
      <c r="K37" s="738"/>
      <c r="L37" s="738"/>
      <c r="M37" s="738"/>
      <c r="N37" s="738"/>
      <c r="O37" s="738"/>
      <c r="P37" s="738"/>
      <c r="Q37" s="738"/>
      <c r="R37" s="738"/>
      <c r="S37" s="738"/>
      <c r="T37" s="738"/>
      <c r="U37" s="738"/>
      <c r="V37" s="738"/>
      <c r="W37" s="738"/>
      <c r="X37" s="738"/>
      <c r="Y37" s="738"/>
      <c r="Z37" s="738"/>
      <c r="AA37" s="738"/>
      <c r="AB37" s="738"/>
      <c r="AC37" s="738"/>
      <c r="AD37" s="738"/>
      <c r="AE37" s="730"/>
      <c r="AF37" s="730"/>
      <c r="AG37" s="730"/>
      <c r="AH37" s="730"/>
      <c r="AI37" s="730"/>
      <c r="AJ37" s="730"/>
      <c r="AK37" s="730"/>
      <c r="AL37" s="730"/>
      <c r="AM37" s="730"/>
      <c r="AN37" s="730"/>
      <c r="AO37" s="730"/>
      <c r="AP37" s="730"/>
      <c r="AQ37" s="730"/>
      <c r="AR37" s="730"/>
      <c r="AS37" s="730"/>
      <c r="AT37" s="730"/>
      <c r="AU37" s="730"/>
      <c r="AV37" s="730"/>
      <c r="AW37" s="730"/>
      <c r="AX37" s="730"/>
      <c r="AY37" s="730"/>
      <c r="AZ37" s="730"/>
      <c r="BA37" s="730"/>
      <c r="BB37" s="730"/>
      <c r="BC37" s="730"/>
      <c r="BD37" s="730"/>
      <c r="BE37" s="730"/>
      <c r="BF37" s="730"/>
      <c r="BG37" s="730"/>
      <c r="BH37" s="730"/>
      <c r="BI37" s="730"/>
      <c r="BJ37" s="730"/>
      <c r="BK37" s="730"/>
      <c r="BL37" s="730"/>
    </row>
    <row r="38">
      <c r="A38" s="729"/>
      <c r="D38" s="805"/>
    </row>
    <row r="39">
      <c r="A39" s="731"/>
      <c r="B39" s="732" t="s">
        <v>1170</v>
      </c>
      <c r="C39" s="733" t="s">
        <v>7</v>
      </c>
      <c r="D39" s="734"/>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row>
    <row r="40">
      <c r="A40" s="735" t="s">
        <v>588</v>
      </c>
      <c r="C40" s="71"/>
      <c r="D40" s="736" t="s">
        <v>109</v>
      </c>
      <c r="E40" s="736" t="s">
        <v>110</v>
      </c>
      <c r="F40" s="736" t="s">
        <v>111</v>
      </c>
      <c r="G40" s="736" t="s">
        <v>112</v>
      </c>
      <c r="H40" s="736" t="s">
        <v>113</v>
      </c>
      <c r="I40" s="736" t="s">
        <v>114</v>
      </c>
      <c r="J40" s="736" t="s">
        <v>115</v>
      </c>
      <c r="K40" s="736" t="s">
        <v>116</v>
      </c>
      <c r="L40" s="736" t="s">
        <v>117</v>
      </c>
      <c r="M40" s="736" t="s">
        <v>118</v>
      </c>
      <c r="N40" s="736" t="s">
        <v>119</v>
      </c>
      <c r="O40" s="736" t="s">
        <v>120</v>
      </c>
      <c r="P40" s="736" t="s">
        <v>121</v>
      </c>
      <c r="Q40" s="806" t="s">
        <v>122</v>
      </c>
      <c r="R40" s="737" t="s">
        <v>123</v>
      </c>
      <c r="S40" s="806" t="s">
        <v>124</v>
      </c>
      <c r="T40" s="807" t="s">
        <v>125</v>
      </c>
      <c r="U40" s="808" t="s">
        <v>126</v>
      </c>
      <c r="V40" s="809" t="s">
        <v>127</v>
      </c>
      <c r="W40" s="809" t="s">
        <v>128</v>
      </c>
      <c r="X40" s="809" t="s">
        <v>129</v>
      </c>
      <c r="Y40" s="808" t="s">
        <v>130</v>
      </c>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c r="BC40" s="738"/>
      <c r="BD40" s="738"/>
      <c r="BE40" s="738"/>
      <c r="BF40" s="738"/>
      <c r="BG40" s="738"/>
      <c r="BH40" s="738"/>
      <c r="BI40" s="738"/>
      <c r="BJ40" s="738"/>
      <c r="BK40" s="738"/>
      <c r="BL40" s="738"/>
    </row>
    <row r="41">
      <c r="A41" s="739" t="s">
        <v>1171</v>
      </c>
      <c r="B41" s="740" t="s">
        <v>37</v>
      </c>
      <c r="C41" s="741" t="s">
        <v>12</v>
      </c>
      <c r="D41" s="810" t="s">
        <v>70</v>
      </c>
      <c r="E41" s="810" t="s">
        <v>70</v>
      </c>
      <c r="F41" s="810" t="s">
        <v>70</v>
      </c>
      <c r="G41" s="810" t="s">
        <v>70</v>
      </c>
      <c r="H41" s="811" t="s">
        <v>69</v>
      </c>
      <c r="I41" s="810" t="s">
        <v>70</v>
      </c>
      <c r="J41" s="811" t="s">
        <v>69</v>
      </c>
      <c r="K41" s="810" t="s">
        <v>70</v>
      </c>
      <c r="L41" s="811" t="s">
        <v>69</v>
      </c>
      <c r="M41" s="810" t="s">
        <v>70</v>
      </c>
      <c r="N41" s="811" t="s">
        <v>69</v>
      </c>
      <c r="O41" s="810" t="s">
        <v>70</v>
      </c>
      <c r="P41" s="810" t="s">
        <v>70</v>
      </c>
      <c r="Q41" s="810" t="s">
        <v>70</v>
      </c>
      <c r="R41" s="812" t="s">
        <v>69</v>
      </c>
      <c r="S41" s="813" t="s">
        <v>69</v>
      </c>
      <c r="T41" s="814" t="s">
        <v>69</v>
      </c>
      <c r="U41" s="815" t="s">
        <v>69</v>
      </c>
      <c r="V41" s="816" t="s">
        <v>69</v>
      </c>
      <c r="W41" s="816" t="s">
        <v>69</v>
      </c>
      <c r="X41" s="816" t="s">
        <v>70</v>
      </c>
      <c r="Y41" s="817" t="s">
        <v>69</v>
      </c>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c r="BC41" s="738"/>
      <c r="BD41" s="738"/>
      <c r="BE41" s="738"/>
      <c r="BF41" s="738"/>
      <c r="BG41" s="738"/>
      <c r="BH41" s="738"/>
      <c r="BI41" s="738"/>
      <c r="BJ41" s="738"/>
      <c r="BK41" s="738"/>
      <c r="BL41" s="738"/>
    </row>
    <row r="42">
      <c r="A42" s="6"/>
      <c r="B42" s="745" t="s">
        <v>38</v>
      </c>
      <c r="C42" s="746" t="s">
        <v>12</v>
      </c>
      <c r="D42" s="810" t="s">
        <v>70</v>
      </c>
      <c r="E42" s="810" t="s">
        <v>70</v>
      </c>
      <c r="F42" s="810" t="s">
        <v>70</v>
      </c>
      <c r="G42" s="810" t="s">
        <v>70</v>
      </c>
      <c r="H42" s="811" t="s">
        <v>69</v>
      </c>
      <c r="I42" s="810" t="s">
        <v>70</v>
      </c>
      <c r="J42" s="811" t="s">
        <v>69</v>
      </c>
      <c r="K42" s="810" t="s">
        <v>70</v>
      </c>
      <c r="L42" s="811" t="s">
        <v>69</v>
      </c>
      <c r="M42" s="811" t="s">
        <v>69</v>
      </c>
      <c r="N42" s="811" t="s">
        <v>69</v>
      </c>
      <c r="O42" s="811" t="s">
        <v>69</v>
      </c>
      <c r="P42" s="810" t="s">
        <v>70</v>
      </c>
      <c r="Q42" s="810" t="s">
        <v>70</v>
      </c>
      <c r="R42" s="812" t="s">
        <v>69</v>
      </c>
      <c r="S42" s="813" t="s">
        <v>69</v>
      </c>
      <c r="T42" s="814" t="s">
        <v>69</v>
      </c>
      <c r="U42" s="815" t="s">
        <v>69</v>
      </c>
      <c r="V42" s="813" t="s">
        <v>69</v>
      </c>
      <c r="W42" s="818" t="s">
        <v>99</v>
      </c>
      <c r="X42" s="819" t="s">
        <v>70</v>
      </c>
      <c r="Y42" s="815" t="s">
        <v>69</v>
      </c>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c r="BC42" s="738"/>
      <c r="BD42" s="738"/>
      <c r="BE42" s="738"/>
      <c r="BF42" s="738"/>
      <c r="BG42" s="738"/>
      <c r="BH42" s="738"/>
      <c r="BI42" s="738"/>
      <c r="BJ42" s="738"/>
      <c r="BK42" s="738"/>
      <c r="BL42" s="738"/>
    </row>
    <row r="43">
      <c r="A43" s="6"/>
      <c r="B43" s="748" t="s">
        <v>65</v>
      </c>
      <c r="C43" s="746" t="s">
        <v>12</v>
      </c>
      <c r="D43" s="810" t="s">
        <v>70</v>
      </c>
      <c r="E43" s="810" t="s">
        <v>70</v>
      </c>
      <c r="F43" s="810" t="s">
        <v>70</v>
      </c>
      <c r="G43" s="810" t="s">
        <v>70</v>
      </c>
      <c r="H43" s="811" t="s">
        <v>69</v>
      </c>
      <c r="I43" s="811" t="s">
        <v>69</v>
      </c>
      <c r="J43" s="811" t="s">
        <v>69</v>
      </c>
      <c r="K43" s="810" t="s">
        <v>70</v>
      </c>
      <c r="L43" s="811" t="s">
        <v>69</v>
      </c>
      <c r="M43" s="811" t="s">
        <v>69</v>
      </c>
      <c r="N43" s="811" t="s">
        <v>69</v>
      </c>
      <c r="O43" s="811" t="s">
        <v>69</v>
      </c>
      <c r="P43" s="810" t="s">
        <v>70</v>
      </c>
      <c r="Q43" s="810" t="s">
        <v>70</v>
      </c>
      <c r="R43" s="812" t="s">
        <v>69</v>
      </c>
      <c r="S43" s="813" t="s">
        <v>69</v>
      </c>
      <c r="T43" s="814" t="s">
        <v>69</v>
      </c>
      <c r="U43" s="815" t="s">
        <v>69</v>
      </c>
      <c r="V43" s="813" t="s">
        <v>69</v>
      </c>
      <c r="W43" s="819" t="s">
        <v>70</v>
      </c>
      <c r="X43" s="819" t="s">
        <v>70</v>
      </c>
      <c r="Y43" s="815" t="s">
        <v>69</v>
      </c>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c r="BC43" s="738"/>
      <c r="BD43" s="738"/>
      <c r="BE43" s="738"/>
      <c r="BF43" s="738"/>
      <c r="BG43" s="738"/>
      <c r="BH43" s="738"/>
      <c r="BI43" s="738"/>
      <c r="BJ43" s="738"/>
      <c r="BK43" s="738"/>
      <c r="BL43" s="738"/>
    </row>
    <row r="44">
      <c r="A44" s="6"/>
      <c r="B44" s="748" t="s">
        <v>39</v>
      </c>
      <c r="C44" s="746" t="s">
        <v>12</v>
      </c>
      <c r="D44" s="810" t="s">
        <v>70</v>
      </c>
      <c r="E44" s="810" t="s">
        <v>70</v>
      </c>
      <c r="F44" s="810" t="s">
        <v>70</v>
      </c>
      <c r="G44" s="810" t="s">
        <v>70</v>
      </c>
      <c r="H44" s="811" t="s">
        <v>69</v>
      </c>
      <c r="I44" s="810" t="s">
        <v>70</v>
      </c>
      <c r="J44" s="811" t="s">
        <v>69</v>
      </c>
      <c r="K44" s="810" t="s">
        <v>70</v>
      </c>
      <c r="L44" s="811" t="s">
        <v>69</v>
      </c>
      <c r="M44" s="811" t="s">
        <v>69</v>
      </c>
      <c r="N44" s="811" t="s">
        <v>69</v>
      </c>
      <c r="O44" s="811" t="s">
        <v>69</v>
      </c>
      <c r="P44" s="810" t="s">
        <v>70</v>
      </c>
      <c r="Q44" s="810" t="s">
        <v>70</v>
      </c>
      <c r="R44" s="812" t="s">
        <v>69</v>
      </c>
      <c r="S44" s="813" t="s">
        <v>69</v>
      </c>
      <c r="T44" s="814" t="s">
        <v>69</v>
      </c>
      <c r="U44" s="815" t="s">
        <v>69</v>
      </c>
      <c r="V44" s="813" t="s">
        <v>69</v>
      </c>
      <c r="W44" s="819" t="s">
        <v>70</v>
      </c>
      <c r="X44" s="819" t="s">
        <v>70</v>
      </c>
      <c r="Y44" s="815" t="s">
        <v>69</v>
      </c>
      <c r="Z44" s="738"/>
      <c r="AA44" s="738"/>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c r="BC44" s="738"/>
      <c r="BD44" s="738"/>
      <c r="BE44" s="738"/>
      <c r="BF44" s="738"/>
      <c r="BG44" s="738"/>
      <c r="BH44" s="738"/>
      <c r="BI44" s="738"/>
      <c r="BJ44" s="738"/>
      <c r="BK44" s="738"/>
      <c r="BL44" s="738"/>
    </row>
    <row r="45">
      <c r="A45" s="6"/>
      <c r="B45" s="749" t="s">
        <v>40</v>
      </c>
      <c r="C45" s="746" t="s">
        <v>12</v>
      </c>
      <c r="D45" s="810" t="s">
        <v>70</v>
      </c>
      <c r="E45" s="810" t="s">
        <v>70</v>
      </c>
      <c r="F45" s="810" t="s">
        <v>70</v>
      </c>
      <c r="G45" s="810" t="s">
        <v>70</v>
      </c>
      <c r="H45" s="811" t="s">
        <v>69</v>
      </c>
      <c r="I45" s="811" t="s">
        <v>69</v>
      </c>
      <c r="J45" s="811" t="s">
        <v>69</v>
      </c>
      <c r="K45" s="810" t="s">
        <v>70</v>
      </c>
      <c r="L45" s="811" t="s">
        <v>69</v>
      </c>
      <c r="M45" s="811" t="s">
        <v>69</v>
      </c>
      <c r="N45" s="820" t="s">
        <v>99</v>
      </c>
      <c r="O45" s="811" t="s">
        <v>69</v>
      </c>
      <c r="P45" s="810" t="s">
        <v>70</v>
      </c>
      <c r="Q45" s="810" t="s">
        <v>70</v>
      </c>
      <c r="R45" s="812" t="s">
        <v>69</v>
      </c>
      <c r="S45" s="816" t="s">
        <v>69</v>
      </c>
      <c r="T45" s="816" t="s">
        <v>69</v>
      </c>
      <c r="U45" s="817" t="s">
        <v>69</v>
      </c>
      <c r="V45" s="813" t="s">
        <v>69</v>
      </c>
      <c r="W45" s="818" t="s">
        <v>99</v>
      </c>
      <c r="X45" s="819" t="s">
        <v>70</v>
      </c>
      <c r="Y45" s="815" t="s">
        <v>69</v>
      </c>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c r="BC45" s="738"/>
      <c r="BD45" s="738"/>
      <c r="BE45" s="738"/>
      <c r="BF45" s="738"/>
      <c r="BG45" s="738"/>
      <c r="BH45" s="738"/>
      <c r="BI45" s="738"/>
      <c r="BJ45" s="738"/>
      <c r="BK45" s="738"/>
      <c r="BL45" s="738"/>
    </row>
    <row r="46">
      <c r="A46" s="6"/>
      <c r="B46" s="750" t="s">
        <v>41</v>
      </c>
      <c r="C46" s="746" t="s">
        <v>12</v>
      </c>
      <c r="D46" s="810" t="s">
        <v>70</v>
      </c>
      <c r="E46" s="810" t="s">
        <v>70</v>
      </c>
      <c r="F46" s="810" t="s">
        <v>70</v>
      </c>
      <c r="G46" s="810" t="s">
        <v>70</v>
      </c>
      <c r="H46" s="811" t="s">
        <v>69</v>
      </c>
      <c r="I46" s="810" t="s">
        <v>70</v>
      </c>
      <c r="J46" s="811" t="s">
        <v>69</v>
      </c>
      <c r="K46" s="810" t="s">
        <v>70</v>
      </c>
      <c r="L46" s="811" t="s">
        <v>69</v>
      </c>
      <c r="M46" s="810" t="s">
        <v>70</v>
      </c>
      <c r="N46" s="810" t="s">
        <v>70</v>
      </c>
      <c r="O46" s="811" t="s">
        <v>69</v>
      </c>
      <c r="P46" s="810" t="s">
        <v>70</v>
      </c>
      <c r="Q46" s="810" t="s">
        <v>70</v>
      </c>
      <c r="R46" s="812" t="s">
        <v>69</v>
      </c>
      <c r="S46" s="816" t="s">
        <v>69</v>
      </c>
      <c r="T46" s="816" t="s">
        <v>69</v>
      </c>
      <c r="U46" s="817" t="s">
        <v>69</v>
      </c>
      <c r="V46" s="816" t="s">
        <v>69</v>
      </c>
      <c r="W46" s="816" t="s">
        <v>69</v>
      </c>
      <c r="X46" s="816" t="s">
        <v>70</v>
      </c>
      <c r="Y46" s="817" t="s">
        <v>69</v>
      </c>
      <c r="Z46" s="738"/>
      <c r="AA46" s="738"/>
      <c r="AB46" s="738"/>
      <c r="AC46" s="738"/>
      <c r="AD46" s="738"/>
      <c r="AE46" s="738"/>
      <c r="AF46" s="738"/>
      <c r="AG46" s="738"/>
      <c r="AH46" s="738"/>
      <c r="AI46" s="738"/>
      <c r="AJ46" s="738"/>
      <c r="AK46" s="738"/>
      <c r="AL46" s="738"/>
      <c r="AM46" s="738"/>
      <c r="AN46" s="738"/>
      <c r="AO46" s="738"/>
      <c r="AP46" s="738"/>
      <c r="AQ46" s="738"/>
      <c r="AR46" s="738"/>
      <c r="AS46" s="738"/>
      <c r="AT46" s="738"/>
      <c r="AU46" s="738"/>
      <c r="AV46" s="738"/>
      <c r="AW46" s="738"/>
      <c r="AX46" s="738"/>
      <c r="AY46" s="738"/>
      <c r="AZ46" s="738"/>
      <c r="BA46" s="738"/>
      <c r="BB46" s="738"/>
      <c r="BC46" s="738"/>
      <c r="BD46" s="738"/>
      <c r="BE46" s="738"/>
      <c r="BF46" s="738"/>
      <c r="BG46" s="738"/>
      <c r="BH46" s="738"/>
      <c r="BI46" s="738"/>
      <c r="BJ46" s="738"/>
      <c r="BK46" s="738"/>
      <c r="BL46" s="738"/>
    </row>
    <row r="47">
      <c r="A47" s="6"/>
      <c r="B47" s="773" t="s">
        <v>64</v>
      </c>
      <c r="C47" s="774" t="s">
        <v>18</v>
      </c>
      <c r="D47" s="821" t="s">
        <v>70</v>
      </c>
      <c r="E47" s="821" t="s">
        <v>70</v>
      </c>
      <c r="F47" s="820" t="s">
        <v>69</v>
      </c>
      <c r="G47" s="821" t="s">
        <v>70</v>
      </c>
      <c r="H47" s="811" t="s">
        <v>69</v>
      </c>
      <c r="I47" s="811" t="s">
        <v>69</v>
      </c>
      <c r="J47" s="811" t="s">
        <v>69</v>
      </c>
      <c r="K47" s="821" t="s">
        <v>70</v>
      </c>
      <c r="L47" s="811" t="s">
        <v>69</v>
      </c>
      <c r="M47" s="811" t="s">
        <v>69</v>
      </c>
      <c r="N47" s="811" t="s">
        <v>69</v>
      </c>
      <c r="O47" s="811" t="s">
        <v>69</v>
      </c>
      <c r="P47" s="811" t="s">
        <v>69</v>
      </c>
      <c r="Q47" s="811" t="s">
        <v>69</v>
      </c>
      <c r="R47" s="812" t="s">
        <v>69</v>
      </c>
      <c r="S47" s="816" t="s">
        <v>69</v>
      </c>
      <c r="T47" s="816" t="s">
        <v>70</v>
      </c>
      <c r="U47" s="817" t="s">
        <v>70</v>
      </c>
      <c r="V47" s="816" t="s">
        <v>69</v>
      </c>
      <c r="W47" s="816" t="s">
        <v>69</v>
      </c>
      <c r="X47" s="816" t="s">
        <v>70</v>
      </c>
      <c r="Y47" s="817" t="s">
        <v>69</v>
      </c>
      <c r="Z47" s="738"/>
      <c r="AA47" s="738"/>
      <c r="AB47" s="738"/>
      <c r="AC47" s="738"/>
      <c r="AD47" s="738"/>
      <c r="AE47" s="738"/>
      <c r="AF47" s="738"/>
      <c r="AG47" s="738"/>
      <c r="AH47" s="738"/>
      <c r="AI47" s="738"/>
      <c r="AJ47" s="738"/>
      <c r="AK47" s="738"/>
      <c r="AL47" s="738"/>
      <c r="AM47" s="738"/>
      <c r="AN47" s="738"/>
      <c r="AO47" s="738"/>
      <c r="AP47" s="738"/>
      <c r="AQ47" s="738"/>
      <c r="AR47" s="738"/>
      <c r="AS47" s="738"/>
      <c r="AT47" s="738"/>
      <c r="AU47" s="738"/>
      <c r="AV47" s="738"/>
      <c r="AW47" s="738"/>
      <c r="AX47" s="738"/>
      <c r="AY47" s="738"/>
      <c r="AZ47" s="738"/>
      <c r="BA47" s="738"/>
      <c r="BB47" s="738"/>
      <c r="BC47" s="738"/>
      <c r="BD47" s="738"/>
      <c r="BE47" s="738"/>
      <c r="BF47" s="738"/>
      <c r="BG47" s="738"/>
      <c r="BH47" s="738"/>
      <c r="BI47" s="738"/>
      <c r="BJ47" s="738"/>
      <c r="BK47" s="738"/>
      <c r="BL47" s="738"/>
    </row>
    <row r="48">
      <c r="A48" s="6"/>
      <c r="B48" s="775" t="s">
        <v>106</v>
      </c>
      <c r="C48" s="776" t="s">
        <v>18</v>
      </c>
      <c r="D48" s="821" t="s">
        <v>70</v>
      </c>
      <c r="E48" s="821" t="s">
        <v>70</v>
      </c>
      <c r="F48" s="820" t="s">
        <v>69</v>
      </c>
      <c r="G48" s="821" t="s">
        <v>70</v>
      </c>
      <c r="H48" s="811" t="s">
        <v>69</v>
      </c>
      <c r="I48" s="811" t="s">
        <v>69</v>
      </c>
      <c r="J48" s="811" t="s">
        <v>69</v>
      </c>
      <c r="K48" s="821" t="s">
        <v>70</v>
      </c>
      <c r="L48" s="811" t="s">
        <v>69</v>
      </c>
      <c r="M48" s="811" t="s">
        <v>69</v>
      </c>
      <c r="N48" s="811" t="s">
        <v>69</v>
      </c>
      <c r="O48" s="811" t="s">
        <v>69</v>
      </c>
      <c r="P48" s="811" t="s">
        <v>69</v>
      </c>
      <c r="Q48" s="811" t="s">
        <v>69</v>
      </c>
      <c r="R48" s="812" t="s">
        <v>69</v>
      </c>
      <c r="S48" s="816" t="s">
        <v>69</v>
      </c>
      <c r="T48" s="816" t="s">
        <v>70</v>
      </c>
      <c r="U48" s="817" t="s">
        <v>70</v>
      </c>
      <c r="V48" s="816" t="s">
        <v>69</v>
      </c>
      <c r="W48" s="816" t="s">
        <v>70</v>
      </c>
      <c r="X48" s="816" t="s">
        <v>70</v>
      </c>
      <c r="Y48" s="817" t="s">
        <v>69</v>
      </c>
      <c r="Z48" s="738"/>
      <c r="AA48" s="738"/>
      <c r="AB48" s="738"/>
      <c r="AC48" s="738"/>
      <c r="AD48" s="738"/>
      <c r="AE48" s="738"/>
      <c r="AF48" s="738"/>
      <c r="AG48" s="738"/>
      <c r="AH48" s="738"/>
      <c r="AI48" s="738"/>
      <c r="AJ48" s="738"/>
      <c r="AK48" s="738"/>
      <c r="AL48" s="738"/>
      <c r="AM48" s="738"/>
      <c r="AN48" s="738"/>
      <c r="AO48" s="738"/>
      <c r="AP48" s="738"/>
      <c r="AQ48" s="738"/>
      <c r="AR48" s="738"/>
      <c r="AS48" s="738"/>
      <c r="AT48" s="738"/>
      <c r="AU48" s="738"/>
      <c r="AV48" s="738"/>
      <c r="AW48" s="738"/>
      <c r="AX48" s="738"/>
      <c r="AY48" s="738"/>
      <c r="AZ48" s="738"/>
      <c r="BA48" s="738"/>
      <c r="BB48" s="738"/>
      <c r="BC48" s="738"/>
      <c r="BD48" s="738"/>
      <c r="BE48" s="738"/>
      <c r="BF48" s="738"/>
      <c r="BG48" s="738"/>
      <c r="BH48" s="738"/>
      <c r="BI48" s="738"/>
      <c r="BJ48" s="738"/>
      <c r="BK48" s="738"/>
      <c r="BL48" s="738"/>
    </row>
    <row r="49">
      <c r="A49" s="6"/>
      <c r="B49" s="777" t="s">
        <v>66</v>
      </c>
      <c r="C49" s="778" t="s">
        <v>18</v>
      </c>
      <c r="D49" s="821" t="s">
        <v>70</v>
      </c>
      <c r="E49" s="811" t="s">
        <v>69</v>
      </c>
      <c r="F49" s="811" t="s">
        <v>69</v>
      </c>
      <c r="G49" s="821" t="s">
        <v>70</v>
      </c>
      <c r="H49" s="811" t="s">
        <v>69</v>
      </c>
      <c r="I49" s="811" t="s">
        <v>69</v>
      </c>
      <c r="J49" s="811" t="s">
        <v>69</v>
      </c>
      <c r="K49" s="811" t="s">
        <v>69</v>
      </c>
      <c r="L49" s="811" t="s">
        <v>69</v>
      </c>
      <c r="M49" s="811" t="s">
        <v>69</v>
      </c>
      <c r="N49" s="821" t="s">
        <v>70</v>
      </c>
      <c r="O49" s="811" t="s">
        <v>69</v>
      </c>
      <c r="P49" s="811" t="s">
        <v>69</v>
      </c>
      <c r="Q49" s="811" t="s">
        <v>69</v>
      </c>
      <c r="R49" s="822" t="s">
        <v>100</v>
      </c>
      <c r="S49" s="816" t="s">
        <v>69</v>
      </c>
      <c r="T49" s="816" t="s">
        <v>70</v>
      </c>
      <c r="U49" s="817" t="s">
        <v>70</v>
      </c>
      <c r="V49" s="813" t="s">
        <v>69</v>
      </c>
      <c r="W49" s="819" t="s">
        <v>70</v>
      </c>
      <c r="X49" s="818" t="s">
        <v>69</v>
      </c>
      <c r="Y49" s="823" t="s">
        <v>70</v>
      </c>
      <c r="Z49" s="738"/>
      <c r="AA49" s="738"/>
      <c r="AB49" s="738"/>
      <c r="AC49" s="738"/>
      <c r="AD49" s="738"/>
      <c r="AE49" s="738"/>
      <c r="AF49" s="738"/>
      <c r="AG49" s="738"/>
      <c r="AH49" s="738"/>
      <c r="AI49" s="738"/>
      <c r="AJ49" s="738"/>
      <c r="AK49" s="738"/>
      <c r="AL49" s="738"/>
      <c r="AM49" s="738"/>
      <c r="AN49" s="738"/>
      <c r="AO49" s="738"/>
      <c r="AP49" s="738"/>
      <c r="AQ49" s="738"/>
      <c r="AR49" s="738"/>
      <c r="AS49" s="738"/>
      <c r="AT49" s="738"/>
      <c r="AU49" s="738"/>
      <c r="AV49" s="738"/>
      <c r="AW49" s="738"/>
      <c r="AX49" s="738"/>
      <c r="AY49" s="738"/>
      <c r="AZ49" s="738"/>
      <c r="BA49" s="738"/>
      <c r="BB49" s="738"/>
      <c r="BC49" s="738"/>
      <c r="BD49" s="738"/>
      <c r="BE49" s="738"/>
      <c r="BF49" s="738"/>
      <c r="BG49" s="738"/>
      <c r="BH49" s="738"/>
      <c r="BI49" s="738"/>
      <c r="BJ49" s="738"/>
      <c r="BK49" s="738"/>
      <c r="BL49" s="738"/>
    </row>
    <row r="50">
      <c r="A50" s="6"/>
      <c r="B50" s="752" t="s">
        <v>44</v>
      </c>
      <c r="C50" s="753" t="s">
        <v>21</v>
      </c>
      <c r="D50" s="821" t="s">
        <v>70</v>
      </c>
      <c r="E50" s="821" t="s">
        <v>70</v>
      </c>
      <c r="F50" s="820" t="s">
        <v>69</v>
      </c>
      <c r="G50" s="821" t="s">
        <v>70</v>
      </c>
      <c r="H50" s="811" t="s">
        <v>69</v>
      </c>
      <c r="I50" s="820" t="s">
        <v>99</v>
      </c>
      <c r="J50" s="811" t="s">
        <v>69</v>
      </c>
      <c r="K50" s="810" t="s">
        <v>70</v>
      </c>
      <c r="L50" s="811" t="s">
        <v>69</v>
      </c>
      <c r="M50" s="811" t="s">
        <v>69</v>
      </c>
      <c r="N50" s="811" t="s">
        <v>69</v>
      </c>
      <c r="O50" s="811" t="s">
        <v>69</v>
      </c>
      <c r="P50" s="810" t="s">
        <v>70</v>
      </c>
      <c r="Q50" s="810" t="s">
        <v>70</v>
      </c>
      <c r="R50" s="812" t="s">
        <v>69</v>
      </c>
      <c r="S50" s="816" t="s">
        <v>69</v>
      </c>
      <c r="T50" s="816" t="s">
        <v>99</v>
      </c>
      <c r="U50" s="817" t="s">
        <v>69</v>
      </c>
      <c r="V50" s="816" t="s">
        <v>69</v>
      </c>
      <c r="W50" s="816" t="s">
        <v>70</v>
      </c>
      <c r="X50" s="816" t="s">
        <v>70</v>
      </c>
      <c r="Y50" s="817" t="s">
        <v>69</v>
      </c>
      <c r="Z50" s="738"/>
      <c r="AA50" s="738"/>
      <c r="AB50" s="738"/>
      <c r="AC50" s="738"/>
      <c r="AD50" s="738"/>
      <c r="AE50" s="738"/>
      <c r="AF50" s="738"/>
      <c r="AG50" s="738"/>
      <c r="AH50" s="738"/>
      <c r="AI50" s="738"/>
      <c r="AJ50" s="738"/>
      <c r="AK50" s="738"/>
      <c r="AL50" s="738"/>
      <c r="AM50" s="738"/>
      <c r="AN50" s="738"/>
      <c r="AO50" s="738"/>
      <c r="AP50" s="738"/>
      <c r="AQ50" s="738"/>
      <c r="AR50" s="738"/>
      <c r="AS50" s="738"/>
      <c r="AT50" s="738"/>
      <c r="AU50" s="738"/>
      <c r="AV50" s="738"/>
      <c r="AW50" s="738"/>
      <c r="AX50" s="738"/>
      <c r="AY50" s="738"/>
      <c r="AZ50" s="738"/>
      <c r="BA50" s="738"/>
      <c r="BB50" s="738"/>
      <c r="BC50" s="738"/>
      <c r="BD50" s="738"/>
      <c r="BE50" s="738"/>
      <c r="BF50" s="738"/>
      <c r="BG50" s="738"/>
      <c r="BH50" s="738"/>
      <c r="BI50" s="738"/>
      <c r="BJ50" s="738"/>
      <c r="BK50" s="738"/>
      <c r="BL50" s="738"/>
    </row>
    <row r="51">
      <c r="A51" s="6"/>
      <c r="B51" s="824" t="s">
        <v>132</v>
      </c>
      <c r="C51" s="825" t="s">
        <v>21</v>
      </c>
      <c r="D51" s="811" t="s">
        <v>69</v>
      </c>
      <c r="E51" s="810" t="s">
        <v>70</v>
      </c>
      <c r="F51" s="826" t="s">
        <v>69</v>
      </c>
      <c r="G51" s="819" t="s">
        <v>70</v>
      </c>
      <c r="H51" s="810" t="s">
        <v>70</v>
      </c>
      <c r="I51" s="811" t="s">
        <v>69</v>
      </c>
      <c r="J51" s="811" t="s">
        <v>69</v>
      </c>
      <c r="K51" s="810" t="s">
        <v>70</v>
      </c>
      <c r="L51" s="811" t="s">
        <v>69</v>
      </c>
      <c r="M51" s="811" t="s">
        <v>69</v>
      </c>
      <c r="N51" s="811" t="s">
        <v>69</v>
      </c>
      <c r="O51" s="811" t="s">
        <v>69</v>
      </c>
      <c r="P51" s="810" t="s">
        <v>70</v>
      </c>
      <c r="Q51" s="810" t="s">
        <v>70</v>
      </c>
      <c r="R51" s="812" t="s">
        <v>69</v>
      </c>
      <c r="S51" s="816" t="s">
        <v>69</v>
      </c>
      <c r="T51" s="816" t="s">
        <v>69</v>
      </c>
      <c r="U51" s="817" t="s">
        <v>69</v>
      </c>
      <c r="V51" s="816" t="s">
        <v>69</v>
      </c>
      <c r="W51" s="816" t="s">
        <v>70</v>
      </c>
      <c r="X51" s="816" t="s">
        <v>70</v>
      </c>
      <c r="Y51" s="817" t="s">
        <v>69</v>
      </c>
      <c r="Z51" s="738"/>
      <c r="AA51" s="738"/>
      <c r="AB51" s="738"/>
      <c r="AC51" s="738"/>
      <c r="AD51" s="738"/>
      <c r="AE51" s="738"/>
      <c r="AF51" s="738"/>
      <c r="AG51" s="738"/>
      <c r="AH51" s="738"/>
      <c r="AI51" s="738"/>
      <c r="AJ51" s="738"/>
      <c r="AK51" s="738"/>
      <c r="AL51" s="738"/>
      <c r="AM51" s="738"/>
      <c r="AN51" s="738"/>
      <c r="AO51" s="738"/>
      <c r="AP51" s="738"/>
      <c r="AQ51" s="738"/>
      <c r="AR51" s="738"/>
      <c r="AS51" s="738"/>
      <c r="AT51" s="738"/>
      <c r="AU51" s="738"/>
      <c r="AV51" s="738"/>
      <c r="AW51" s="738"/>
      <c r="AX51" s="738"/>
      <c r="AY51" s="738"/>
      <c r="AZ51" s="738"/>
      <c r="BA51" s="738"/>
      <c r="BB51" s="738"/>
      <c r="BC51" s="738"/>
      <c r="BD51" s="738"/>
      <c r="BE51" s="738"/>
      <c r="BF51" s="738"/>
      <c r="BG51" s="738"/>
      <c r="BH51" s="738"/>
      <c r="BI51" s="738"/>
      <c r="BJ51" s="738"/>
      <c r="BK51" s="738"/>
      <c r="BL51" s="738"/>
    </row>
    <row r="52">
      <c r="A52" s="6"/>
      <c r="B52" s="754" t="s">
        <v>45</v>
      </c>
      <c r="C52" s="755" t="s">
        <v>21</v>
      </c>
      <c r="D52" s="811" t="s">
        <v>69</v>
      </c>
      <c r="E52" s="810" t="s">
        <v>70</v>
      </c>
      <c r="F52" s="811" t="s">
        <v>69</v>
      </c>
      <c r="G52" s="810" t="s">
        <v>70</v>
      </c>
      <c r="H52" s="811" t="s">
        <v>69</v>
      </c>
      <c r="I52" s="810" t="s">
        <v>70</v>
      </c>
      <c r="J52" s="811" t="s">
        <v>69</v>
      </c>
      <c r="K52" s="810" t="s">
        <v>70</v>
      </c>
      <c r="L52" s="826" t="s">
        <v>69</v>
      </c>
      <c r="M52" s="811" t="s">
        <v>69</v>
      </c>
      <c r="N52" s="811" t="s">
        <v>69</v>
      </c>
      <c r="O52" s="811" t="s">
        <v>69</v>
      </c>
      <c r="P52" s="810" t="s">
        <v>70</v>
      </c>
      <c r="Q52" s="810" t="s">
        <v>70</v>
      </c>
      <c r="R52" s="822" t="s">
        <v>100</v>
      </c>
      <c r="S52" s="816" t="s">
        <v>69</v>
      </c>
      <c r="T52" s="816" t="s">
        <v>69</v>
      </c>
      <c r="U52" s="817" t="s">
        <v>69</v>
      </c>
      <c r="V52" s="816" t="s">
        <v>69</v>
      </c>
      <c r="W52" s="816" t="s">
        <v>70</v>
      </c>
      <c r="X52" s="816" t="s">
        <v>70</v>
      </c>
      <c r="Y52" s="817" t="s">
        <v>69</v>
      </c>
      <c r="Z52" s="738"/>
      <c r="AA52" s="738"/>
      <c r="AB52" s="738"/>
      <c r="AC52" s="738"/>
      <c r="AD52" s="738"/>
      <c r="AE52" s="738"/>
      <c r="AF52" s="738"/>
      <c r="AG52" s="738"/>
      <c r="AH52" s="738"/>
      <c r="AI52" s="738"/>
      <c r="AJ52" s="738"/>
      <c r="AK52" s="738"/>
      <c r="AL52" s="738"/>
      <c r="AM52" s="738"/>
      <c r="AN52" s="738"/>
      <c r="AO52" s="738"/>
      <c r="AP52" s="738"/>
      <c r="AQ52" s="738"/>
      <c r="AR52" s="738"/>
      <c r="AS52" s="738"/>
      <c r="AT52" s="738"/>
      <c r="AU52" s="738"/>
      <c r="AV52" s="738"/>
      <c r="AW52" s="738"/>
      <c r="AX52" s="738"/>
      <c r="AY52" s="738"/>
      <c r="AZ52" s="738"/>
      <c r="BA52" s="738"/>
      <c r="BB52" s="738"/>
      <c r="BC52" s="738"/>
      <c r="BD52" s="738"/>
      <c r="BE52" s="738"/>
      <c r="BF52" s="738"/>
      <c r="BG52" s="738"/>
      <c r="BH52" s="738"/>
      <c r="BI52" s="738"/>
      <c r="BJ52" s="738"/>
      <c r="BK52" s="738"/>
      <c r="BL52" s="738"/>
    </row>
    <row r="53">
      <c r="A53" s="6"/>
      <c r="B53" s="762" t="s">
        <v>53</v>
      </c>
      <c r="C53" s="763" t="s">
        <v>25</v>
      </c>
      <c r="D53" s="811" t="s">
        <v>69</v>
      </c>
      <c r="E53" s="819" t="s">
        <v>70</v>
      </c>
      <c r="F53" s="819" t="s">
        <v>70</v>
      </c>
      <c r="G53" s="819" t="s">
        <v>70</v>
      </c>
      <c r="H53" s="819" t="s">
        <v>70</v>
      </c>
      <c r="I53" s="811" t="s">
        <v>69</v>
      </c>
      <c r="J53" s="811" t="s">
        <v>69</v>
      </c>
      <c r="K53" s="810" t="s">
        <v>70</v>
      </c>
      <c r="L53" s="811" t="s">
        <v>69</v>
      </c>
      <c r="M53" s="811" t="s">
        <v>69</v>
      </c>
      <c r="N53" s="811" t="s">
        <v>69</v>
      </c>
      <c r="O53" s="811" t="s">
        <v>69</v>
      </c>
      <c r="P53" s="810" t="s">
        <v>70</v>
      </c>
      <c r="Q53" s="810" t="s">
        <v>70</v>
      </c>
      <c r="R53" s="822" t="s">
        <v>100</v>
      </c>
      <c r="S53" s="827" t="s">
        <v>70</v>
      </c>
      <c r="T53" s="814" t="s">
        <v>69</v>
      </c>
      <c r="U53" s="815" t="s">
        <v>69</v>
      </c>
      <c r="V53" s="816" t="s">
        <v>69</v>
      </c>
      <c r="W53" s="816" t="s">
        <v>70</v>
      </c>
      <c r="X53" s="816" t="s">
        <v>70</v>
      </c>
      <c r="Y53" s="817" t="s">
        <v>69</v>
      </c>
      <c r="Z53" s="738"/>
      <c r="AA53" s="738"/>
      <c r="AB53" s="738"/>
      <c r="AC53" s="738"/>
      <c r="AD53" s="738"/>
      <c r="AE53" s="738"/>
      <c r="AF53" s="738"/>
      <c r="AG53" s="738"/>
      <c r="AH53" s="738"/>
      <c r="AI53" s="738"/>
      <c r="AJ53" s="738"/>
      <c r="AK53" s="738"/>
      <c r="AL53" s="738"/>
      <c r="AM53" s="738"/>
      <c r="AN53" s="738"/>
      <c r="AO53" s="738"/>
      <c r="AP53" s="738"/>
      <c r="AQ53" s="738"/>
      <c r="AR53" s="738"/>
      <c r="AS53" s="738"/>
      <c r="AT53" s="738"/>
      <c r="AU53" s="738"/>
      <c r="AV53" s="738"/>
      <c r="AW53" s="738"/>
      <c r="AX53" s="738"/>
      <c r="AY53" s="738"/>
      <c r="AZ53" s="738"/>
      <c r="BA53" s="738"/>
      <c r="BB53" s="738"/>
      <c r="BC53" s="738"/>
      <c r="BD53" s="738"/>
      <c r="BE53" s="738"/>
      <c r="BF53" s="738"/>
      <c r="BG53" s="738"/>
      <c r="BH53" s="738"/>
      <c r="BI53" s="738"/>
      <c r="BJ53" s="738"/>
      <c r="BK53" s="738"/>
      <c r="BL53" s="738"/>
    </row>
    <row r="54">
      <c r="A54" s="6"/>
      <c r="B54" s="764" t="s">
        <v>54</v>
      </c>
      <c r="C54" s="765" t="s">
        <v>25</v>
      </c>
      <c r="D54" s="811" t="s">
        <v>69</v>
      </c>
      <c r="E54" s="810" t="s">
        <v>70</v>
      </c>
      <c r="F54" s="810" t="s">
        <v>70</v>
      </c>
      <c r="G54" s="810" t="s">
        <v>70</v>
      </c>
      <c r="H54" s="810" t="s">
        <v>70</v>
      </c>
      <c r="I54" s="811" t="s">
        <v>69</v>
      </c>
      <c r="J54" s="811" t="s">
        <v>69</v>
      </c>
      <c r="K54" s="810" t="s">
        <v>70</v>
      </c>
      <c r="L54" s="811" t="s">
        <v>69</v>
      </c>
      <c r="M54" s="811" t="s">
        <v>69</v>
      </c>
      <c r="N54" s="811" t="s">
        <v>69</v>
      </c>
      <c r="O54" s="811" t="s">
        <v>69</v>
      </c>
      <c r="P54" s="811" t="s">
        <v>69</v>
      </c>
      <c r="Q54" s="811" t="s">
        <v>69</v>
      </c>
      <c r="R54" s="822" t="s">
        <v>100</v>
      </c>
      <c r="S54" s="827" t="s">
        <v>70</v>
      </c>
      <c r="T54" s="814" t="s">
        <v>69</v>
      </c>
      <c r="U54" s="815" t="s">
        <v>69</v>
      </c>
      <c r="V54" s="816" t="s">
        <v>69</v>
      </c>
      <c r="W54" s="816" t="s">
        <v>70</v>
      </c>
      <c r="X54" s="816" t="s">
        <v>70</v>
      </c>
      <c r="Y54" s="817" t="s">
        <v>69</v>
      </c>
      <c r="Z54" s="738"/>
      <c r="AA54" s="738"/>
      <c r="AB54" s="738"/>
      <c r="AC54" s="738"/>
      <c r="AD54" s="738"/>
      <c r="AE54" s="738"/>
      <c r="AF54" s="738"/>
      <c r="AG54" s="738"/>
      <c r="AH54" s="738"/>
      <c r="AI54" s="738"/>
      <c r="AJ54" s="738"/>
      <c r="AK54" s="738"/>
      <c r="AL54" s="738"/>
      <c r="AM54" s="738"/>
      <c r="AN54" s="738"/>
      <c r="AO54" s="738"/>
      <c r="AP54" s="738"/>
      <c r="AQ54" s="738"/>
      <c r="AR54" s="738"/>
      <c r="AS54" s="738"/>
      <c r="AT54" s="738"/>
      <c r="AU54" s="738"/>
      <c r="AV54" s="738"/>
      <c r="AW54" s="738"/>
      <c r="AX54" s="738"/>
      <c r="AY54" s="738"/>
      <c r="AZ54" s="738"/>
      <c r="BA54" s="738"/>
      <c r="BB54" s="738"/>
      <c r="BC54" s="738"/>
      <c r="BD54" s="738"/>
      <c r="BE54" s="738"/>
      <c r="BF54" s="738"/>
      <c r="BG54" s="738"/>
      <c r="BH54" s="738"/>
      <c r="BI54" s="738"/>
      <c r="BJ54" s="738"/>
      <c r="BK54" s="738"/>
      <c r="BL54" s="738"/>
    </row>
    <row r="55">
      <c r="A55" s="6"/>
      <c r="B55" s="764" t="s">
        <v>55</v>
      </c>
      <c r="C55" s="765" t="s">
        <v>25</v>
      </c>
      <c r="D55" s="828" t="s">
        <v>100</v>
      </c>
      <c r="E55" s="829" t="s">
        <v>100</v>
      </c>
      <c r="F55" s="829" t="s">
        <v>100</v>
      </c>
      <c r="G55" s="829" t="s">
        <v>100</v>
      </c>
      <c r="H55" s="829" t="s">
        <v>100</v>
      </c>
      <c r="I55" s="829" t="s">
        <v>100</v>
      </c>
      <c r="J55" s="829" t="s">
        <v>100</v>
      </c>
      <c r="K55" s="829" t="s">
        <v>100</v>
      </c>
      <c r="L55" s="829" t="s">
        <v>100</v>
      </c>
      <c r="M55" s="829" t="s">
        <v>100</v>
      </c>
      <c r="N55" s="829" t="s">
        <v>100</v>
      </c>
      <c r="O55" s="829" t="s">
        <v>100</v>
      </c>
      <c r="P55" s="829" t="s">
        <v>100</v>
      </c>
      <c r="Q55" s="829" t="s">
        <v>100</v>
      </c>
      <c r="R55" s="830" t="s">
        <v>100</v>
      </c>
      <c r="S55" s="816" t="s">
        <v>100</v>
      </c>
      <c r="T55" s="816" t="s">
        <v>100</v>
      </c>
      <c r="U55" s="817" t="s">
        <v>100</v>
      </c>
      <c r="V55" s="816" t="s">
        <v>69</v>
      </c>
      <c r="W55" s="816" t="s">
        <v>70</v>
      </c>
      <c r="X55" s="816" t="s">
        <v>70</v>
      </c>
      <c r="Y55" s="817" t="s">
        <v>69</v>
      </c>
      <c r="Z55" s="738"/>
      <c r="AA55" s="738"/>
      <c r="AB55" s="738"/>
      <c r="AC55" s="738"/>
      <c r="AD55" s="738"/>
      <c r="AE55" s="738"/>
      <c r="AF55" s="738"/>
      <c r="AG55" s="738"/>
      <c r="AH55" s="738"/>
      <c r="AI55" s="738"/>
      <c r="AJ55" s="738"/>
      <c r="AK55" s="738"/>
      <c r="AL55" s="738"/>
      <c r="AM55" s="738"/>
      <c r="AN55" s="738"/>
      <c r="AO55" s="738"/>
      <c r="AP55" s="738"/>
      <c r="AQ55" s="738"/>
      <c r="AR55" s="738"/>
      <c r="AS55" s="738"/>
      <c r="AT55" s="738"/>
      <c r="AU55" s="738"/>
      <c r="AV55" s="738"/>
      <c r="AW55" s="738"/>
      <c r="AX55" s="738"/>
      <c r="AY55" s="738"/>
      <c r="AZ55" s="738"/>
      <c r="BA55" s="738"/>
      <c r="BB55" s="738"/>
      <c r="BC55" s="738"/>
      <c r="BD55" s="738"/>
      <c r="BE55" s="738"/>
      <c r="BF55" s="738"/>
      <c r="BG55" s="738"/>
      <c r="BH55" s="738"/>
      <c r="BI55" s="738"/>
      <c r="BJ55" s="738"/>
      <c r="BK55" s="738"/>
      <c r="BL55" s="738"/>
    </row>
    <row r="56">
      <c r="A56" s="766" t="s">
        <v>1172</v>
      </c>
      <c r="B56" s="767" t="s">
        <v>60</v>
      </c>
      <c r="C56" s="768" t="s">
        <v>15</v>
      </c>
      <c r="D56" s="811" t="s">
        <v>69</v>
      </c>
      <c r="E56" s="810" t="s">
        <v>70</v>
      </c>
      <c r="F56" s="826" t="s">
        <v>69</v>
      </c>
      <c r="G56" s="819" t="s">
        <v>70</v>
      </c>
      <c r="H56" s="811" t="s">
        <v>69</v>
      </c>
      <c r="I56" s="811" t="s">
        <v>69</v>
      </c>
      <c r="J56" s="811" t="s">
        <v>69</v>
      </c>
      <c r="K56" s="810" t="s">
        <v>70</v>
      </c>
      <c r="L56" s="811" t="s">
        <v>69</v>
      </c>
      <c r="M56" s="811" t="s">
        <v>69</v>
      </c>
      <c r="N56" s="811" t="s">
        <v>69</v>
      </c>
      <c r="O56" s="810" t="s">
        <v>70</v>
      </c>
      <c r="P56" s="820" t="s">
        <v>99</v>
      </c>
      <c r="Q56" s="811" t="s">
        <v>69</v>
      </c>
      <c r="R56" s="812" t="s">
        <v>69</v>
      </c>
      <c r="S56" s="813" t="s">
        <v>69</v>
      </c>
      <c r="T56" s="814" t="s">
        <v>69</v>
      </c>
      <c r="U56" s="823" t="s">
        <v>70</v>
      </c>
      <c r="V56" s="816" t="s">
        <v>69</v>
      </c>
      <c r="W56" s="816" t="s">
        <v>69</v>
      </c>
      <c r="X56" s="816" t="s">
        <v>69</v>
      </c>
      <c r="Y56" s="817" t="s">
        <v>99</v>
      </c>
      <c r="Z56" s="738"/>
      <c r="AA56" s="738"/>
      <c r="AB56" s="738"/>
      <c r="AC56" s="738"/>
      <c r="AD56" s="738"/>
      <c r="AE56" s="738"/>
      <c r="AF56" s="738"/>
      <c r="AG56" s="738"/>
      <c r="AH56" s="738"/>
      <c r="AI56" s="738"/>
      <c r="AJ56" s="738"/>
      <c r="AK56" s="738"/>
      <c r="AL56" s="738"/>
      <c r="AM56" s="738"/>
      <c r="AN56" s="738"/>
      <c r="AO56" s="738"/>
      <c r="AP56" s="738"/>
      <c r="AQ56" s="738"/>
      <c r="AR56" s="738"/>
      <c r="AS56" s="738"/>
      <c r="AT56" s="738"/>
      <c r="AU56" s="738"/>
      <c r="AV56" s="738"/>
      <c r="AW56" s="738"/>
      <c r="AX56" s="738"/>
      <c r="AY56" s="738"/>
      <c r="AZ56" s="738"/>
      <c r="BA56" s="738"/>
      <c r="BB56" s="738"/>
      <c r="BC56" s="738"/>
      <c r="BD56" s="738"/>
      <c r="BE56" s="738"/>
      <c r="BF56" s="738"/>
      <c r="BG56" s="738"/>
      <c r="BH56" s="738"/>
      <c r="BI56" s="738"/>
      <c r="BJ56" s="738"/>
      <c r="BK56" s="738"/>
      <c r="BL56" s="738"/>
    </row>
    <row r="57">
      <c r="A57" s="6"/>
      <c r="B57" s="769" t="s">
        <v>59</v>
      </c>
      <c r="C57" s="770" t="s">
        <v>15</v>
      </c>
      <c r="D57" s="821" t="s">
        <v>70</v>
      </c>
      <c r="E57" s="821" t="s">
        <v>70</v>
      </c>
      <c r="F57" s="820" t="s">
        <v>69</v>
      </c>
      <c r="G57" s="821" t="s">
        <v>70</v>
      </c>
      <c r="H57" s="811" t="s">
        <v>69</v>
      </c>
      <c r="I57" s="811" t="s">
        <v>69</v>
      </c>
      <c r="J57" s="811" t="s">
        <v>69</v>
      </c>
      <c r="K57" s="820" t="s">
        <v>70</v>
      </c>
      <c r="L57" s="811" t="s">
        <v>69</v>
      </c>
      <c r="M57" s="811" t="s">
        <v>69</v>
      </c>
      <c r="N57" s="811" t="s">
        <v>69</v>
      </c>
      <c r="O57" s="811" t="s">
        <v>69</v>
      </c>
      <c r="P57" s="820" t="s">
        <v>99</v>
      </c>
      <c r="Q57" s="811" t="s">
        <v>69</v>
      </c>
      <c r="R57" s="812" t="s">
        <v>69</v>
      </c>
      <c r="S57" s="813" t="s">
        <v>69</v>
      </c>
      <c r="T57" s="810" t="s">
        <v>70</v>
      </c>
      <c r="U57" s="815" t="s">
        <v>69</v>
      </c>
      <c r="V57" s="816" t="s">
        <v>69</v>
      </c>
      <c r="W57" s="816" t="s">
        <v>69</v>
      </c>
      <c r="X57" s="816" t="s">
        <v>69</v>
      </c>
      <c r="Y57" s="817" t="s">
        <v>70</v>
      </c>
      <c r="Z57" s="738"/>
      <c r="AA57" s="738"/>
      <c r="AB57" s="738"/>
      <c r="AC57" s="738"/>
      <c r="AD57" s="738"/>
      <c r="AE57" s="738"/>
      <c r="AF57" s="738"/>
      <c r="AG57" s="738"/>
      <c r="AH57" s="738"/>
      <c r="AI57" s="738"/>
      <c r="AJ57" s="738"/>
      <c r="AK57" s="738"/>
      <c r="AL57" s="738"/>
      <c r="AM57" s="738"/>
      <c r="AN57" s="738"/>
      <c r="AO57" s="738"/>
      <c r="AP57" s="738"/>
      <c r="AQ57" s="738"/>
      <c r="AR57" s="738"/>
      <c r="AS57" s="738"/>
      <c r="AT57" s="738"/>
      <c r="AU57" s="738"/>
      <c r="AV57" s="738"/>
      <c r="AW57" s="738"/>
      <c r="AX57" s="738"/>
      <c r="AY57" s="738"/>
      <c r="AZ57" s="738"/>
      <c r="BA57" s="738"/>
      <c r="BB57" s="738"/>
      <c r="BC57" s="738"/>
      <c r="BD57" s="738"/>
      <c r="BE57" s="738"/>
      <c r="BF57" s="738"/>
      <c r="BG57" s="738"/>
      <c r="BH57" s="738"/>
      <c r="BI57" s="738"/>
      <c r="BJ57" s="738"/>
      <c r="BK57" s="738"/>
      <c r="BL57" s="738"/>
    </row>
    <row r="58">
      <c r="A58" s="6"/>
      <c r="B58" s="769" t="s">
        <v>102</v>
      </c>
      <c r="C58" s="770" t="s">
        <v>15</v>
      </c>
      <c r="D58" s="811" t="s">
        <v>69</v>
      </c>
      <c r="E58" s="810" t="s">
        <v>70</v>
      </c>
      <c r="F58" s="826" t="s">
        <v>69</v>
      </c>
      <c r="G58" s="819" t="s">
        <v>70</v>
      </c>
      <c r="H58" s="811" t="s">
        <v>69</v>
      </c>
      <c r="I58" s="811" t="s">
        <v>69</v>
      </c>
      <c r="J58" s="811" t="s">
        <v>69</v>
      </c>
      <c r="K58" s="810" t="s">
        <v>70</v>
      </c>
      <c r="L58" s="811" t="s">
        <v>69</v>
      </c>
      <c r="M58" s="811" t="s">
        <v>69</v>
      </c>
      <c r="N58" s="811" t="s">
        <v>69</v>
      </c>
      <c r="O58" s="810" t="s">
        <v>70</v>
      </c>
      <c r="P58" s="811" t="s">
        <v>69</v>
      </c>
      <c r="Q58" s="811" t="s">
        <v>69</v>
      </c>
      <c r="R58" s="812" t="s">
        <v>69</v>
      </c>
      <c r="S58" s="813" t="s">
        <v>69</v>
      </c>
      <c r="T58" s="814" t="s">
        <v>69</v>
      </c>
      <c r="U58" s="823" t="s">
        <v>70</v>
      </c>
      <c r="V58" s="816" t="s">
        <v>69</v>
      </c>
      <c r="W58" s="816" t="s">
        <v>69</v>
      </c>
      <c r="X58" s="816" t="s">
        <v>69</v>
      </c>
      <c r="Y58" s="817" t="s">
        <v>99</v>
      </c>
      <c r="Z58" s="738"/>
      <c r="AA58" s="738"/>
      <c r="AB58" s="738"/>
      <c r="AC58" s="738"/>
      <c r="AD58" s="738"/>
      <c r="AE58" s="738"/>
      <c r="AF58" s="738"/>
      <c r="AG58" s="738"/>
      <c r="AH58" s="738"/>
      <c r="AI58" s="738"/>
      <c r="AJ58" s="738"/>
      <c r="AK58" s="738"/>
      <c r="AL58" s="738"/>
      <c r="AM58" s="738"/>
      <c r="AN58" s="738"/>
      <c r="AO58" s="738"/>
      <c r="AP58" s="738"/>
      <c r="AQ58" s="738"/>
      <c r="AR58" s="738"/>
      <c r="AS58" s="738"/>
      <c r="AT58" s="738"/>
      <c r="AU58" s="738"/>
      <c r="AV58" s="738"/>
      <c r="AW58" s="738"/>
      <c r="AX58" s="738"/>
      <c r="AY58" s="738"/>
      <c r="AZ58" s="738"/>
      <c r="BA58" s="738"/>
      <c r="BB58" s="738"/>
      <c r="BC58" s="738"/>
      <c r="BD58" s="738"/>
      <c r="BE58" s="738"/>
      <c r="BF58" s="738"/>
      <c r="BG58" s="738"/>
      <c r="BH58" s="738"/>
      <c r="BI58" s="738"/>
      <c r="BJ58" s="738"/>
      <c r="BK58" s="738"/>
      <c r="BL58" s="738"/>
    </row>
    <row r="59">
      <c r="A59" s="6"/>
      <c r="B59" s="769" t="s">
        <v>103</v>
      </c>
      <c r="C59" s="770" t="s">
        <v>15</v>
      </c>
      <c r="D59" s="820" t="s">
        <v>100</v>
      </c>
      <c r="E59" s="820" t="s">
        <v>100</v>
      </c>
      <c r="F59" s="820" t="s">
        <v>100</v>
      </c>
      <c r="G59" s="820" t="s">
        <v>100</v>
      </c>
      <c r="H59" s="820" t="s">
        <v>100</v>
      </c>
      <c r="I59" s="820" t="s">
        <v>100</v>
      </c>
      <c r="J59" s="820" t="s">
        <v>100</v>
      </c>
      <c r="K59" s="820" t="s">
        <v>100</v>
      </c>
      <c r="L59" s="820" t="s">
        <v>100</v>
      </c>
      <c r="M59" s="820" t="s">
        <v>100</v>
      </c>
      <c r="N59" s="820" t="s">
        <v>100</v>
      </c>
      <c r="O59" s="820" t="s">
        <v>100</v>
      </c>
      <c r="P59" s="820" t="s">
        <v>100</v>
      </c>
      <c r="Q59" s="820" t="s">
        <v>100</v>
      </c>
      <c r="R59" s="822" t="s">
        <v>100</v>
      </c>
      <c r="S59" s="816" t="s">
        <v>69</v>
      </c>
      <c r="T59" s="816" t="s">
        <v>69</v>
      </c>
      <c r="U59" s="817" t="s">
        <v>69</v>
      </c>
      <c r="V59" s="813" t="s">
        <v>69</v>
      </c>
      <c r="W59" s="814" t="s">
        <v>69</v>
      </c>
      <c r="X59" s="819" t="s">
        <v>70</v>
      </c>
      <c r="Y59" s="823" t="s">
        <v>70</v>
      </c>
      <c r="Z59" s="738"/>
      <c r="AA59" s="738"/>
      <c r="AB59" s="738"/>
      <c r="AC59" s="738"/>
      <c r="AD59" s="738"/>
      <c r="AE59" s="738"/>
      <c r="AF59" s="738"/>
      <c r="AG59" s="738"/>
      <c r="AH59" s="738"/>
      <c r="AI59" s="738"/>
      <c r="AJ59" s="738"/>
      <c r="AK59" s="738"/>
      <c r="AL59" s="738"/>
      <c r="AM59" s="738"/>
      <c r="AN59" s="738"/>
      <c r="AO59" s="738"/>
      <c r="AP59" s="738"/>
      <c r="AQ59" s="738"/>
      <c r="AR59" s="738"/>
      <c r="AS59" s="738"/>
      <c r="AT59" s="738"/>
      <c r="AU59" s="738"/>
      <c r="AV59" s="738"/>
      <c r="AW59" s="738"/>
      <c r="AX59" s="738"/>
      <c r="AY59" s="738"/>
      <c r="AZ59" s="738"/>
      <c r="BA59" s="738"/>
      <c r="BB59" s="738"/>
      <c r="BC59" s="738"/>
      <c r="BD59" s="738"/>
      <c r="BE59" s="738"/>
      <c r="BF59" s="738"/>
      <c r="BG59" s="738"/>
      <c r="BH59" s="738"/>
      <c r="BI59" s="738"/>
      <c r="BJ59" s="738"/>
      <c r="BK59" s="738"/>
      <c r="BL59" s="738"/>
    </row>
    <row r="60">
      <c r="A60" s="6"/>
      <c r="B60" s="769" t="s">
        <v>105</v>
      </c>
      <c r="C60" s="770" t="s">
        <v>15</v>
      </c>
      <c r="D60" s="820" t="s">
        <v>100</v>
      </c>
      <c r="E60" s="820" t="s">
        <v>100</v>
      </c>
      <c r="F60" s="820" t="s">
        <v>100</v>
      </c>
      <c r="G60" s="820" t="s">
        <v>100</v>
      </c>
      <c r="H60" s="820" t="s">
        <v>100</v>
      </c>
      <c r="I60" s="820" t="s">
        <v>100</v>
      </c>
      <c r="J60" s="820" t="s">
        <v>100</v>
      </c>
      <c r="K60" s="820" t="s">
        <v>100</v>
      </c>
      <c r="L60" s="820" t="s">
        <v>100</v>
      </c>
      <c r="M60" s="820" t="s">
        <v>100</v>
      </c>
      <c r="N60" s="820" t="s">
        <v>100</v>
      </c>
      <c r="O60" s="820" t="s">
        <v>100</v>
      </c>
      <c r="P60" s="820" t="s">
        <v>100</v>
      </c>
      <c r="Q60" s="820" t="s">
        <v>100</v>
      </c>
      <c r="R60" s="822" t="s">
        <v>100</v>
      </c>
      <c r="S60" s="813" t="s">
        <v>69</v>
      </c>
      <c r="T60" s="814" t="s">
        <v>69</v>
      </c>
      <c r="U60" s="823" t="s">
        <v>70</v>
      </c>
      <c r="V60" s="816" t="s">
        <v>69</v>
      </c>
      <c r="W60" s="816" t="s">
        <v>69</v>
      </c>
      <c r="X60" s="816" t="s">
        <v>69</v>
      </c>
      <c r="Y60" s="817" t="s">
        <v>70</v>
      </c>
      <c r="Z60" s="738"/>
      <c r="AA60" s="738"/>
      <c r="AB60" s="738"/>
      <c r="AC60" s="738"/>
      <c r="AD60" s="738"/>
      <c r="AE60" s="738"/>
      <c r="AF60" s="738"/>
      <c r="AG60" s="738"/>
      <c r="AH60" s="738"/>
      <c r="AI60" s="738"/>
      <c r="AJ60" s="738"/>
      <c r="AK60" s="738"/>
      <c r="AL60" s="738"/>
      <c r="AM60" s="738"/>
      <c r="AN60" s="738"/>
      <c r="AO60" s="738"/>
      <c r="AP60" s="738"/>
      <c r="AQ60" s="738"/>
      <c r="AR60" s="738"/>
      <c r="AS60" s="738"/>
      <c r="AT60" s="738"/>
      <c r="AU60" s="738"/>
      <c r="AV60" s="738"/>
      <c r="AW60" s="738"/>
      <c r="AX60" s="738"/>
      <c r="AY60" s="738"/>
      <c r="AZ60" s="738"/>
      <c r="BA60" s="738"/>
      <c r="BB60" s="738"/>
      <c r="BC60" s="738"/>
      <c r="BD60" s="738"/>
      <c r="BE60" s="738"/>
      <c r="BF60" s="738"/>
      <c r="BG60" s="738"/>
      <c r="BH60" s="738"/>
      <c r="BI60" s="738"/>
      <c r="BJ60" s="738"/>
      <c r="BK60" s="738"/>
      <c r="BL60" s="738"/>
    </row>
    <row r="61">
      <c r="A61" s="6"/>
      <c r="B61" s="757" t="s">
        <v>49</v>
      </c>
      <c r="C61" s="758" t="s">
        <v>23</v>
      </c>
      <c r="D61" s="821" t="s">
        <v>70</v>
      </c>
      <c r="E61" s="820" t="s">
        <v>69</v>
      </c>
      <c r="F61" s="821" t="s">
        <v>70</v>
      </c>
      <c r="G61" s="820" t="s">
        <v>69</v>
      </c>
      <c r="H61" s="821" t="s">
        <v>70</v>
      </c>
      <c r="I61" s="810" t="s">
        <v>70</v>
      </c>
      <c r="J61" s="811" t="s">
        <v>69</v>
      </c>
      <c r="K61" s="810" t="s">
        <v>70</v>
      </c>
      <c r="L61" s="811" t="s">
        <v>69</v>
      </c>
      <c r="M61" s="811" t="s">
        <v>69</v>
      </c>
      <c r="N61" s="811" t="s">
        <v>69</v>
      </c>
      <c r="O61" s="811" t="s">
        <v>69</v>
      </c>
      <c r="P61" s="810" t="s">
        <v>70</v>
      </c>
      <c r="Q61" s="810" t="s">
        <v>70</v>
      </c>
      <c r="R61" s="822" t="s">
        <v>100</v>
      </c>
      <c r="S61" s="816" t="s">
        <v>69</v>
      </c>
      <c r="T61" s="816" t="s">
        <v>69</v>
      </c>
      <c r="U61" s="817" t="s">
        <v>69</v>
      </c>
      <c r="V61" s="816" t="s">
        <v>99</v>
      </c>
      <c r="W61" s="816" t="s">
        <v>69</v>
      </c>
      <c r="X61" s="816" t="s">
        <v>70</v>
      </c>
      <c r="Y61" s="817" t="s">
        <v>69</v>
      </c>
      <c r="Z61" s="738"/>
      <c r="AA61" s="738"/>
      <c r="AB61" s="738"/>
      <c r="AC61" s="738"/>
      <c r="AD61" s="738"/>
      <c r="AE61" s="738"/>
      <c r="AF61" s="738"/>
      <c r="AG61" s="738"/>
      <c r="AH61" s="738"/>
      <c r="AI61" s="738"/>
      <c r="AJ61" s="738"/>
      <c r="AK61" s="738"/>
      <c r="AL61" s="738"/>
      <c r="AM61" s="738"/>
      <c r="AN61" s="738"/>
      <c r="AO61" s="738"/>
      <c r="AP61" s="738"/>
      <c r="AQ61" s="738"/>
      <c r="AR61" s="738"/>
      <c r="AS61" s="738"/>
      <c r="AT61" s="738"/>
      <c r="AU61" s="738"/>
      <c r="AV61" s="738"/>
      <c r="AW61" s="738"/>
      <c r="AX61" s="738"/>
      <c r="AY61" s="738"/>
      <c r="AZ61" s="738"/>
      <c r="BA61" s="738"/>
      <c r="BB61" s="738"/>
      <c r="BC61" s="738"/>
      <c r="BD61" s="738"/>
      <c r="BE61" s="738"/>
      <c r="BF61" s="738"/>
      <c r="BG61" s="738"/>
      <c r="BH61" s="738"/>
      <c r="BI61" s="738"/>
      <c r="BJ61" s="738"/>
      <c r="BK61" s="738"/>
      <c r="BL61" s="738"/>
    </row>
    <row r="62">
      <c r="A62" s="6"/>
      <c r="B62" s="759" t="s">
        <v>50</v>
      </c>
      <c r="C62" s="760" t="s">
        <v>23</v>
      </c>
      <c r="D62" s="821" t="s">
        <v>70</v>
      </c>
      <c r="E62" s="820" t="s">
        <v>69</v>
      </c>
      <c r="F62" s="821" t="s">
        <v>70</v>
      </c>
      <c r="G62" s="820" t="s">
        <v>69</v>
      </c>
      <c r="H62" s="821" t="s">
        <v>70</v>
      </c>
      <c r="I62" s="810" t="s">
        <v>70</v>
      </c>
      <c r="J62" s="811" t="s">
        <v>69</v>
      </c>
      <c r="K62" s="810" t="s">
        <v>70</v>
      </c>
      <c r="L62" s="811" t="s">
        <v>69</v>
      </c>
      <c r="M62" s="811" t="s">
        <v>69</v>
      </c>
      <c r="N62" s="811" t="s">
        <v>69</v>
      </c>
      <c r="O62" s="811" t="s">
        <v>69</v>
      </c>
      <c r="P62" s="810" t="s">
        <v>70</v>
      </c>
      <c r="Q62" s="810" t="s">
        <v>70</v>
      </c>
      <c r="R62" s="822" t="s">
        <v>100</v>
      </c>
      <c r="S62" s="816" t="s">
        <v>69</v>
      </c>
      <c r="T62" s="816" t="s">
        <v>69</v>
      </c>
      <c r="U62" s="817" t="s">
        <v>69</v>
      </c>
      <c r="V62" s="816" t="s">
        <v>100</v>
      </c>
      <c r="W62" s="816" t="s">
        <v>100</v>
      </c>
      <c r="X62" s="816" t="s">
        <v>100</v>
      </c>
      <c r="Y62" s="817" t="s">
        <v>100</v>
      </c>
      <c r="Z62" s="738"/>
      <c r="AA62" s="738"/>
      <c r="AB62" s="738"/>
      <c r="AC62" s="738"/>
      <c r="AD62" s="738"/>
      <c r="AE62" s="738"/>
      <c r="AF62" s="738"/>
      <c r="AG62" s="738"/>
      <c r="AH62" s="738"/>
      <c r="AI62" s="738"/>
      <c r="AJ62" s="738"/>
      <c r="AK62" s="738"/>
      <c r="AL62" s="738"/>
      <c r="AM62" s="738"/>
      <c r="AN62" s="738"/>
      <c r="AO62" s="738"/>
      <c r="AP62" s="738"/>
      <c r="AQ62" s="738"/>
      <c r="AR62" s="738"/>
      <c r="AS62" s="738"/>
      <c r="AT62" s="738"/>
      <c r="AU62" s="738"/>
      <c r="AV62" s="738"/>
      <c r="AW62" s="738"/>
      <c r="AX62" s="738"/>
      <c r="AY62" s="738"/>
      <c r="AZ62" s="738"/>
      <c r="BA62" s="738"/>
      <c r="BB62" s="738"/>
      <c r="BC62" s="738"/>
      <c r="BD62" s="738"/>
      <c r="BE62" s="738"/>
      <c r="BF62" s="738"/>
      <c r="BG62" s="738"/>
      <c r="BH62" s="738"/>
      <c r="BI62" s="738"/>
      <c r="BJ62" s="738"/>
      <c r="BK62" s="738"/>
      <c r="BL62" s="738"/>
    </row>
    <row r="63">
      <c r="A63" s="6"/>
      <c r="B63" s="759" t="s">
        <v>51</v>
      </c>
      <c r="C63" s="760" t="s">
        <v>23</v>
      </c>
      <c r="D63" s="831" t="s">
        <v>70</v>
      </c>
      <c r="E63" s="832" t="s">
        <v>69</v>
      </c>
      <c r="F63" s="833" t="s">
        <v>70</v>
      </c>
      <c r="G63" s="820" t="s">
        <v>69</v>
      </c>
      <c r="H63" s="821" t="s">
        <v>70</v>
      </c>
      <c r="I63" s="810" t="s">
        <v>70</v>
      </c>
      <c r="J63" s="811" t="s">
        <v>69</v>
      </c>
      <c r="K63" s="810" t="s">
        <v>70</v>
      </c>
      <c r="L63" s="811" t="s">
        <v>69</v>
      </c>
      <c r="M63" s="811" t="s">
        <v>69</v>
      </c>
      <c r="N63" s="811" t="s">
        <v>69</v>
      </c>
      <c r="O63" s="811" t="s">
        <v>69</v>
      </c>
      <c r="P63" s="810" t="s">
        <v>70</v>
      </c>
      <c r="Q63" s="810" t="s">
        <v>70</v>
      </c>
      <c r="R63" s="822" t="s">
        <v>100</v>
      </c>
      <c r="S63" s="813" t="s">
        <v>69</v>
      </c>
      <c r="T63" s="814" t="s">
        <v>69</v>
      </c>
      <c r="U63" s="815" t="s">
        <v>69</v>
      </c>
      <c r="V63" s="816" t="s">
        <v>99</v>
      </c>
      <c r="W63" s="816" t="s">
        <v>69</v>
      </c>
      <c r="X63" s="816" t="s">
        <v>70</v>
      </c>
      <c r="Y63" s="817" t="s">
        <v>69</v>
      </c>
      <c r="Z63" s="738"/>
      <c r="AA63" s="738"/>
      <c r="AB63" s="738"/>
      <c r="AC63" s="738"/>
      <c r="AD63" s="738"/>
      <c r="AE63" s="738"/>
      <c r="AF63" s="738"/>
      <c r="AG63" s="738"/>
      <c r="AH63" s="738"/>
      <c r="AI63" s="738"/>
      <c r="AJ63" s="738"/>
      <c r="AK63" s="738"/>
      <c r="AL63" s="738"/>
      <c r="AM63" s="738"/>
      <c r="AN63" s="738"/>
      <c r="AO63" s="738"/>
      <c r="AP63" s="738"/>
      <c r="AQ63" s="738"/>
      <c r="AR63" s="738"/>
      <c r="AS63" s="738"/>
      <c r="AT63" s="738"/>
      <c r="AU63" s="738"/>
      <c r="AV63" s="738"/>
      <c r="AW63" s="738"/>
      <c r="AX63" s="738"/>
      <c r="AY63" s="738"/>
      <c r="AZ63" s="738"/>
      <c r="BA63" s="738"/>
      <c r="BB63" s="738"/>
      <c r="BC63" s="738"/>
      <c r="BD63" s="738"/>
      <c r="BE63" s="738"/>
      <c r="BF63" s="738"/>
      <c r="BG63" s="738"/>
      <c r="BH63" s="738"/>
      <c r="BI63" s="738"/>
      <c r="BJ63" s="738"/>
      <c r="BK63" s="738"/>
      <c r="BL63" s="738"/>
    </row>
    <row r="64">
      <c r="A64" s="6"/>
      <c r="B64" s="782" t="s">
        <v>135</v>
      </c>
      <c r="C64" s="783" t="s">
        <v>107</v>
      </c>
      <c r="D64" s="834" t="s">
        <v>100</v>
      </c>
      <c r="E64" s="811" t="s">
        <v>69</v>
      </c>
      <c r="F64" s="811" t="s">
        <v>69</v>
      </c>
      <c r="G64" s="810" t="s">
        <v>70</v>
      </c>
      <c r="H64" s="811" t="s">
        <v>69</v>
      </c>
      <c r="I64" s="811" t="s">
        <v>69</v>
      </c>
      <c r="J64" s="811" t="s">
        <v>69</v>
      </c>
      <c r="K64" s="818" t="s">
        <v>99</v>
      </c>
      <c r="L64" s="811" t="s">
        <v>69</v>
      </c>
      <c r="M64" s="811" t="s">
        <v>69</v>
      </c>
      <c r="N64" s="811" t="s">
        <v>69</v>
      </c>
      <c r="O64" s="811" t="s">
        <v>69</v>
      </c>
      <c r="P64" s="811" t="s">
        <v>69</v>
      </c>
      <c r="Q64" s="811" t="s">
        <v>69</v>
      </c>
      <c r="R64" s="812" t="s">
        <v>69</v>
      </c>
      <c r="S64" s="816" t="s">
        <v>69</v>
      </c>
      <c r="T64" s="816" t="s">
        <v>70</v>
      </c>
      <c r="U64" s="817" t="s">
        <v>70</v>
      </c>
      <c r="V64" s="813" t="s">
        <v>69</v>
      </c>
      <c r="W64" s="819" t="s">
        <v>70</v>
      </c>
      <c r="X64" s="818" t="s">
        <v>69</v>
      </c>
      <c r="Y64" s="823" t="s">
        <v>70</v>
      </c>
      <c r="Z64" s="738"/>
      <c r="AA64" s="738"/>
      <c r="AB64" s="738"/>
      <c r="AC64" s="738"/>
      <c r="AD64" s="738"/>
      <c r="AE64" s="738"/>
      <c r="AF64" s="738"/>
      <c r="AG64" s="738"/>
      <c r="AH64" s="738"/>
      <c r="AI64" s="738"/>
      <c r="AJ64" s="738"/>
      <c r="AK64" s="738"/>
      <c r="AL64" s="738"/>
      <c r="AM64" s="738"/>
      <c r="AN64" s="738"/>
      <c r="AO64" s="738"/>
      <c r="AP64" s="738"/>
      <c r="AQ64" s="738"/>
      <c r="AR64" s="738"/>
      <c r="AS64" s="738"/>
      <c r="AT64" s="738"/>
      <c r="AU64" s="738"/>
      <c r="AV64" s="738"/>
      <c r="AW64" s="738"/>
      <c r="AX64" s="738"/>
      <c r="AY64" s="738"/>
      <c r="AZ64" s="738"/>
      <c r="BA64" s="738"/>
      <c r="BB64" s="738"/>
      <c r="BC64" s="738"/>
      <c r="BD64" s="738"/>
      <c r="BE64" s="738"/>
      <c r="BF64" s="738"/>
      <c r="BG64" s="738"/>
      <c r="BH64" s="738"/>
      <c r="BI64" s="738"/>
      <c r="BJ64" s="738"/>
      <c r="BK64" s="738"/>
      <c r="BL64" s="738"/>
    </row>
    <row r="65">
      <c r="A65" s="784"/>
      <c r="B65" s="785" t="s">
        <v>67</v>
      </c>
      <c r="C65" s="786" t="s">
        <v>107</v>
      </c>
      <c r="D65" s="832" t="s">
        <v>69</v>
      </c>
      <c r="E65" s="811" t="s">
        <v>69</v>
      </c>
      <c r="F65" s="811" t="s">
        <v>69</v>
      </c>
      <c r="G65" s="818" t="s">
        <v>99</v>
      </c>
      <c r="H65" s="811" t="s">
        <v>69</v>
      </c>
      <c r="I65" s="811" t="s">
        <v>69</v>
      </c>
      <c r="J65" s="811" t="s">
        <v>69</v>
      </c>
      <c r="K65" s="818" t="s">
        <v>99</v>
      </c>
      <c r="L65" s="811" t="s">
        <v>69</v>
      </c>
      <c r="M65" s="811" t="s">
        <v>69</v>
      </c>
      <c r="N65" s="811" t="s">
        <v>69</v>
      </c>
      <c r="O65" s="811" t="s">
        <v>69</v>
      </c>
      <c r="P65" s="811" t="s">
        <v>69</v>
      </c>
      <c r="Q65" s="811" t="s">
        <v>69</v>
      </c>
      <c r="R65" s="812" t="s">
        <v>69</v>
      </c>
      <c r="S65" s="816" t="s">
        <v>69</v>
      </c>
      <c r="T65" s="816" t="s">
        <v>70</v>
      </c>
      <c r="U65" s="817" t="s">
        <v>70</v>
      </c>
      <c r="V65" s="813" t="s">
        <v>69</v>
      </c>
      <c r="W65" s="819" t="s">
        <v>70</v>
      </c>
      <c r="X65" s="818" t="s">
        <v>69</v>
      </c>
      <c r="Y65" s="823" t="s">
        <v>70</v>
      </c>
      <c r="Z65" s="738"/>
      <c r="AA65" s="738"/>
      <c r="AB65" s="738"/>
      <c r="AC65" s="738"/>
      <c r="AD65" s="738"/>
      <c r="AE65" s="738"/>
      <c r="AF65" s="738"/>
      <c r="AG65" s="738"/>
      <c r="AH65" s="738"/>
      <c r="AI65" s="738"/>
      <c r="AJ65" s="738"/>
      <c r="AK65" s="738"/>
      <c r="AL65" s="738"/>
      <c r="AM65" s="738"/>
      <c r="AN65" s="738"/>
      <c r="AO65" s="738"/>
      <c r="AP65" s="738"/>
      <c r="AQ65" s="738"/>
      <c r="AR65" s="738"/>
      <c r="AS65" s="738"/>
      <c r="AT65" s="738"/>
      <c r="AU65" s="738"/>
      <c r="AV65" s="738"/>
      <c r="AW65" s="738"/>
      <c r="AX65" s="738"/>
      <c r="AY65" s="738"/>
      <c r="AZ65" s="738"/>
      <c r="BA65" s="738"/>
      <c r="BB65" s="738"/>
      <c r="BC65" s="738"/>
      <c r="BD65" s="738"/>
      <c r="BE65" s="738"/>
      <c r="BF65" s="738"/>
      <c r="BG65" s="738"/>
      <c r="BH65" s="738"/>
      <c r="BI65" s="738"/>
      <c r="BJ65" s="738"/>
      <c r="BK65" s="738"/>
      <c r="BL65" s="738"/>
    </row>
    <row r="66">
      <c r="A66" s="787" t="s">
        <v>68</v>
      </c>
      <c r="B66" s="835"/>
      <c r="C66" s="204"/>
      <c r="D66" s="731"/>
      <c r="E66" s="731"/>
      <c r="F66" s="731"/>
      <c r="G66" s="731"/>
      <c r="H66" s="731"/>
      <c r="I66" s="731"/>
      <c r="J66" s="731"/>
      <c r="K66" s="731"/>
      <c r="L66" s="731"/>
      <c r="U66" s="731"/>
      <c r="V66" s="731"/>
      <c r="W66" s="731"/>
      <c r="X66" s="731"/>
      <c r="Y66" s="731"/>
      <c r="Z66" s="731"/>
      <c r="AA66" s="731"/>
      <c r="AB66" s="731"/>
      <c r="AC66" s="731"/>
      <c r="AD66" s="731"/>
      <c r="AE66" s="731"/>
      <c r="AF66" s="731"/>
      <c r="AG66" s="731"/>
      <c r="AH66" s="731"/>
      <c r="AI66" s="731"/>
      <c r="AJ66" s="731"/>
      <c r="AK66" s="731"/>
      <c r="AL66" s="731"/>
      <c r="AM66" s="731"/>
      <c r="AN66" s="731"/>
      <c r="AO66" s="731"/>
      <c r="AP66" s="731"/>
      <c r="AQ66" s="731"/>
      <c r="AR66" s="731"/>
      <c r="AS66" s="731"/>
      <c r="AT66" s="731"/>
      <c r="AU66" s="731"/>
      <c r="AV66" s="731"/>
      <c r="AW66" s="731"/>
      <c r="AX66" s="731"/>
      <c r="AY66" s="731"/>
      <c r="AZ66" s="731"/>
      <c r="BA66" s="731"/>
      <c r="BB66" s="731"/>
      <c r="BC66" s="731"/>
      <c r="BD66" s="731"/>
      <c r="BE66" s="731"/>
      <c r="BF66" s="731"/>
      <c r="BG66" s="731"/>
      <c r="BH66" s="731"/>
      <c r="BI66" s="731"/>
      <c r="BJ66" s="731"/>
      <c r="BK66" s="731"/>
      <c r="BL66" s="731"/>
    </row>
    <row r="67">
      <c r="A67" s="789"/>
      <c r="B67" s="790" t="s">
        <v>69</v>
      </c>
      <c r="C67" s="71"/>
      <c r="D67" s="836">
        <f t="shared" ref="D67:Y67" si="8">COUNTIF(D2:D65,"Voor")</f>
        <v>13</v>
      </c>
      <c r="E67" s="836">
        <f t="shared" si="8"/>
        <v>11</v>
      </c>
      <c r="F67" s="836">
        <f t="shared" si="8"/>
        <v>23</v>
      </c>
      <c r="G67" s="836">
        <f t="shared" si="8"/>
        <v>7</v>
      </c>
      <c r="H67" s="836">
        <f t="shared" si="8"/>
        <v>30</v>
      </c>
      <c r="I67" s="836">
        <f t="shared" si="8"/>
        <v>27</v>
      </c>
      <c r="J67" s="836">
        <f t="shared" si="8"/>
        <v>36</v>
      </c>
      <c r="K67" s="837">
        <f t="shared" si="8"/>
        <v>1</v>
      </c>
      <c r="L67" s="837">
        <f t="shared" si="8"/>
        <v>22</v>
      </c>
      <c r="M67" s="837">
        <f t="shared" si="8"/>
        <v>20</v>
      </c>
      <c r="N67" s="837">
        <f t="shared" si="8"/>
        <v>19</v>
      </c>
      <c r="O67" s="837">
        <f t="shared" si="8"/>
        <v>19</v>
      </c>
      <c r="P67" s="837">
        <f t="shared" si="8"/>
        <v>7</v>
      </c>
      <c r="Q67" s="836">
        <f t="shared" si="8"/>
        <v>9</v>
      </c>
      <c r="R67" s="838">
        <f t="shared" si="8"/>
        <v>15</v>
      </c>
      <c r="S67" s="836">
        <f t="shared" si="8"/>
        <v>22</v>
      </c>
      <c r="T67" s="837">
        <f t="shared" si="8"/>
        <v>17</v>
      </c>
      <c r="U67" s="837">
        <f t="shared" si="8"/>
        <v>16</v>
      </c>
      <c r="V67" s="837">
        <f t="shared" si="8"/>
        <v>22</v>
      </c>
      <c r="W67" s="837">
        <f t="shared" si="8"/>
        <v>10</v>
      </c>
      <c r="X67" s="837">
        <f t="shared" si="8"/>
        <v>7</v>
      </c>
      <c r="Y67" s="838">
        <f t="shared" si="8"/>
        <v>16</v>
      </c>
      <c r="Z67" s="730"/>
      <c r="AA67" s="730"/>
      <c r="AB67" s="730"/>
      <c r="AC67" s="730"/>
      <c r="AD67" s="730"/>
      <c r="AE67" s="730"/>
      <c r="AF67" s="730"/>
      <c r="AG67" s="730"/>
      <c r="AH67" s="730"/>
      <c r="AI67" s="730"/>
      <c r="AJ67" s="730"/>
      <c r="AK67" s="730"/>
      <c r="AL67" s="730"/>
      <c r="AM67" s="730"/>
      <c r="AN67" s="730"/>
      <c r="AO67" s="730"/>
      <c r="AP67" s="730"/>
      <c r="AQ67" s="730"/>
      <c r="AR67" s="730"/>
      <c r="AS67" s="730"/>
      <c r="AT67" s="730"/>
      <c r="AU67" s="730"/>
      <c r="AV67" s="730"/>
      <c r="AW67" s="730"/>
      <c r="AX67" s="730"/>
      <c r="AY67" s="730"/>
      <c r="AZ67" s="730"/>
      <c r="BA67" s="730"/>
      <c r="BB67" s="730"/>
      <c r="BC67" s="730"/>
      <c r="BD67" s="730"/>
      <c r="BE67" s="730"/>
      <c r="BF67" s="730"/>
      <c r="BG67" s="730"/>
      <c r="BH67" s="730"/>
      <c r="BI67" s="730"/>
      <c r="BJ67" s="730"/>
      <c r="BK67" s="730"/>
      <c r="BL67" s="730"/>
    </row>
    <row r="68">
      <c r="A68" s="789"/>
      <c r="B68" s="792" t="s">
        <v>70</v>
      </c>
      <c r="C68" s="71"/>
      <c r="D68" s="839">
        <f t="shared" ref="D68:Y68" si="9">COUNTIF(D2:D65,"Tegen")</f>
        <v>28</v>
      </c>
      <c r="E68" s="839">
        <f t="shared" si="9"/>
        <v>30</v>
      </c>
      <c r="F68" s="839">
        <f t="shared" si="9"/>
        <v>19</v>
      </c>
      <c r="G68" s="839">
        <f t="shared" si="9"/>
        <v>34</v>
      </c>
      <c r="H68" s="839">
        <f t="shared" si="9"/>
        <v>11</v>
      </c>
      <c r="I68" s="839">
        <f t="shared" si="9"/>
        <v>14</v>
      </c>
      <c r="J68" s="839">
        <f t="shared" si="9"/>
        <v>6</v>
      </c>
      <c r="K68" s="840">
        <f t="shared" si="9"/>
        <v>19</v>
      </c>
      <c r="L68" s="840">
        <f t="shared" si="9"/>
        <v>0</v>
      </c>
      <c r="M68" s="840">
        <f t="shared" si="9"/>
        <v>2</v>
      </c>
      <c r="N68" s="840">
        <f t="shared" si="9"/>
        <v>2</v>
      </c>
      <c r="O68" s="840">
        <f t="shared" si="9"/>
        <v>3</v>
      </c>
      <c r="P68" s="840">
        <f t="shared" si="9"/>
        <v>13</v>
      </c>
      <c r="Q68" s="839">
        <f t="shared" si="9"/>
        <v>13</v>
      </c>
      <c r="R68" s="841">
        <f t="shared" si="9"/>
        <v>0</v>
      </c>
      <c r="S68" s="839">
        <f t="shared" si="9"/>
        <v>2</v>
      </c>
      <c r="T68" s="840">
        <f t="shared" si="9"/>
        <v>6</v>
      </c>
      <c r="U68" s="840">
        <f t="shared" si="9"/>
        <v>8</v>
      </c>
      <c r="V68" s="840">
        <f t="shared" si="9"/>
        <v>0</v>
      </c>
      <c r="W68" s="840">
        <f t="shared" si="9"/>
        <v>12</v>
      </c>
      <c r="X68" s="840">
        <f t="shared" si="9"/>
        <v>17</v>
      </c>
      <c r="Y68" s="841">
        <f t="shared" si="9"/>
        <v>6</v>
      </c>
      <c r="Z68" s="730"/>
      <c r="AA68" s="730"/>
      <c r="AB68" s="730"/>
      <c r="AC68" s="730"/>
      <c r="AD68" s="730"/>
      <c r="AE68" s="730"/>
      <c r="AF68" s="730"/>
      <c r="AG68" s="730"/>
      <c r="AH68" s="730"/>
      <c r="AI68" s="730"/>
      <c r="AJ68" s="730"/>
      <c r="AK68" s="730"/>
      <c r="AL68" s="730"/>
      <c r="AM68" s="730"/>
      <c r="AN68" s="730"/>
      <c r="AO68" s="730"/>
      <c r="AP68" s="730"/>
      <c r="AQ68" s="730"/>
      <c r="AR68" s="730"/>
      <c r="AS68" s="730"/>
      <c r="AT68" s="730"/>
      <c r="AU68" s="730"/>
      <c r="AV68" s="730"/>
      <c r="AW68" s="730"/>
      <c r="AX68" s="730"/>
      <c r="AY68" s="730"/>
      <c r="AZ68" s="730"/>
      <c r="BA68" s="730"/>
      <c r="BB68" s="730"/>
      <c r="BC68" s="730"/>
      <c r="BD68" s="730"/>
      <c r="BE68" s="730"/>
      <c r="BF68" s="730"/>
      <c r="BG68" s="730"/>
      <c r="BH68" s="730"/>
      <c r="BI68" s="730"/>
      <c r="BJ68" s="730"/>
      <c r="BK68" s="730"/>
      <c r="BL68" s="730"/>
    </row>
    <row r="69">
      <c r="A69" s="789"/>
      <c r="B69" s="794" t="s">
        <v>71</v>
      </c>
      <c r="C69" s="71"/>
      <c r="D69" s="842">
        <f t="shared" ref="D69:Y69" si="10">COUNTIF(D2:D65,"SO")</f>
        <v>0</v>
      </c>
      <c r="E69" s="842">
        <f t="shared" si="10"/>
        <v>1</v>
      </c>
      <c r="F69" s="842">
        <f t="shared" si="10"/>
        <v>0</v>
      </c>
      <c r="G69" s="842">
        <f t="shared" si="10"/>
        <v>1</v>
      </c>
      <c r="H69" s="842">
        <f t="shared" si="10"/>
        <v>1</v>
      </c>
      <c r="I69" s="842">
        <f t="shared" si="10"/>
        <v>1</v>
      </c>
      <c r="J69" s="842">
        <f t="shared" si="10"/>
        <v>0</v>
      </c>
      <c r="K69" s="843">
        <f t="shared" si="10"/>
        <v>2</v>
      </c>
      <c r="L69" s="843">
        <f t="shared" si="10"/>
        <v>0</v>
      </c>
      <c r="M69" s="843">
        <f t="shared" si="10"/>
        <v>0</v>
      </c>
      <c r="N69" s="843">
        <f t="shared" si="10"/>
        <v>1</v>
      </c>
      <c r="O69" s="843">
        <f t="shared" si="10"/>
        <v>0</v>
      </c>
      <c r="P69" s="843">
        <f t="shared" si="10"/>
        <v>2</v>
      </c>
      <c r="Q69" s="842">
        <f t="shared" si="10"/>
        <v>0</v>
      </c>
      <c r="R69" s="844">
        <f t="shared" si="10"/>
        <v>0</v>
      </c>
      <c r="S69" s="842">
        <f t="shared" si="10"/>
        <v>0</v>
      </c>
      <c r="T69" s="843">
        <f t="shared" si="10"/>
        <v>1</v>
      </c>
      <c r="U69" s="843">
        <f t="shared" si="10"/>
        <v>0</v>
      </c>
      <c r="V69" s="843">
        <f t="shared" si="10"/>
        <v>2</v>
      </c>
      <c r="W69" s="843">
        <f t="shared" si="10"/>
        <v>2</v>
      </c>
      <c r="X69" s="843">
        <f t="shared" si="10"/>
        <v>0</v>
      </c>
      <c r="Y69" s="844">
        <f t="shared" si="10"/>
        <v>2</v>
      </c>
      <c r="Z69" s="730"/>
      <c r="AA69" s="730"/>
      <c r="AB69" s="730"/>
      <c r="AC69" s="730"/>
      <c r="AD69" s="730"/>
      <c r="AE69" s="730"/>
      <c r="AF69" s="730"/>
      <c r="AG69" s="730"/>
      <c r="AH69" s="730"/>
      <c r="AI69" s="730"/>
      <c r="AJ69" s="730"/>
      <c r="AK69" s="730"/>
      <c r="AL69" s="730"/>
      <c r="AM69" s="730"/>
      <c r="AN69" s="730"/>
      <c r="AO69" s="730"/>
      <c r="AP69" s="730"/>
      <c r="AQ69" s="730"/>
      <c r="AR69" s="730"/>
      <c r="AS69" s="730"/>
      <c r="AT69" s="730"/>
      <c r="AU69" s="730"/>
      <c r="AV69" s="730"/>
      <c r="AW69" s="730"/>
      <c r="AX69" s="730"/>
      <c r="AY69" s="730"/>
      <c r="AZ69" s="730"/>
      <c r="BA69" s="730"/>
      <c r="BB69" s="730"/>
      <c r="BC69" s="730"/>
      <c r="BD69" s="730"/>
      <c r="BE69" s="730"/>
      <c r="BF69" s="730"/>
      <c r="BG69" s="730"/>
      <c r="BH69" s="730"/>
      <c r="BI69" s="730"/>
      <c r="BJ69" s="730"/>
      <c r="BK69" s="730"/>
      <c r="BL69" s="730"/>
    </row>
    <row r="70">
      <c r="A70" s="789"/>
      <c r="B70" s="796" t="s">
        <v>72</v>
      </c>
      <c r="C70" s="71"/>
      <c r="D70" s="845">
        <f t="shared" ref="D70:Y70" si="11">COUNTIF(D2:D65,"NG")</f>
        <v>4</v>
      </c>
      <c r="E70" s="845">
        <f t="shared" si="11"/>
        <v>3</v>
      </c>
      <c r="F70" s="845">
        <f t="shared" si="11"/>
        <v>3</v>
      </c>
      <c r="G70" s="845">
        <f t="shared" si="11"/>
        <v>3</v>
      </c>
      <c r="H70" s="845">
        <f t="shared" si="11"/>
        <v>3</v>
      </c>
      <c r="I70" s="845">
        <f t="shared" si="11"/>
        <v>3</v>
      </c>
      <c r="J70" s="845">
        <f t="shared" si="11"/>
        <v>3</v>
      </c>
      <c r="K70" s="846">
        <f t="shared" si="11"/>
        <v>3</v>
      </c>
      <c r="L70" s="846">
        <f t="shared" si="11"/>
        <v>3</v>
      </c>
      <c r="M70" s="846">
        <f t="shared" si="11"/>
        <v>3</v>
      </c>
      <c r="N70" s="846">
        <f t="shared" si="11"/>
        <v>3</v>
      </c>
      <c r="O70" s="846">
        <f t="shared" si="11"/>
        <v>3</v>
      </c>
      <c r="P70" s="846">
        <f t="shared" si="11"/>
        <v>3</v>
      </c>
      <c r="Q70" s="845">
        <f t="shared" si="11"/>
        <v>3</v>
      </c>
      <c r="R70" s="847">
        <f t="shared" si="11"/>
        <v>10</v>
      </c>
      <c r="S70" s="845">
        <f t="shared" si="11"/>
        <v>1</v>
      </c>
      <c r="T70" s="846">
        <f t="shared" si="11"/>
        <v>1</v>
      </c>
      <c r="U70" s="846">
        <f t="shared" si="11"/>
        <v>1</v>
      </c>
      <c r="V70" s="846">
        <f t="shared" si="11"/>
        <v>1</v>
      </c>
      <c r="W70" s="846">
        <f t="shared" si="11"/>
        <v>1</v>
      </c>
      <c r="X70" s="846">
        <f t="shared" si="11"/>
        <v>1</v>
      </c>
      <c r="Y70" s="847">
        <f t="shared" si="11"/>
        <v>1</v>
      </c>
      <c r="Z70" s="730"/>
      <c r="AA70" s="730"/>
      <c r="AB70" s="730"/>
      <c r="AC70" s="730"/>
      <c r="AD70" s="730"/>
      <c r="AE70" s="730"/>
      <c r="AF70" s="730"/>
      <c r="AG70" s="730"/>
      <c r="AH70" s="730"/>
      <c r="AI70" s="730"/>
      <c r="AJ70" s="730"/>
      <c r="AK70" s="730"/>
      <c r="AL70" s="730"/>
      <c r="AM70" s="730"/>
      <c r="AN70" s="730"/>
      <c r="AO70" s="730"/>
      <c r="AP70" s="730"/>
      <c r="AQ70" s="730"/>
      <c r="AR70" s="730"/>
      <c r="AS70" s="730"/>
      <c r="AT70" s="730"/>
      <c r="AU70" s="730"/>
      <c r="AV70" s="730"/>
      <c r="AW70" s="730"/>
      <c r="AX70" s="730"/>
      <c r="AY70" s="730"/>
      <c r="AZ70" s="730"/>
      <c r="BA70" s="730"/>
      <c r="BB70" s="730"/>
      <c r="BC70" s="730"/>
      <c r="BD70" s="730"/>
      <c r="BE70" s="730"/>
      <c r="BF70" s="730"/>
      <c r="BG70" s="730"/>
      <c r="BH70" s="730"/>
      <c r="BI70" s="730"/>
      <c r="BJ70" s="730"/>
      <c r="BK70" s="730"/>
      <c r="BL70" s="730"/>
    </row>
    <row r="71">
      <c r="A71" s="789"/>
      <c r="B71" s="798" t="s">
        <v>73</v>
      </c>
      <c r="C71" s="71"/>
      <c r="D71" s="848">
        <f t="shared" ref="D71:Y71" si="12">SUM(D67:D70)</f>
        <v>45</v>
      </c>
      <c r="E71" s="848">
        <f t="shared" si="12"/>
        <v>45</v>
      </c>
      <c r="F71" s="848">
        <f t="shared" si="12"/>
        <v>45</v>
      </c>
      <c r="G71" s="848">
        <f t="shared" si="12"/>
        <v>45</v>
      </c>
      <c r="H71" s="848">
        <f t="shared" si="12"/>
        <v>45</v>
      </c>
      <c r="I71" s="848">
        <f t="shared" si="12"/>
        <v>45</v>
      </c>
      <c r="J71" s="848">
        <f t="shared" si="12"/>
        <v>45</v>
      </c>
      <c r="K71" s="849">
        <f t="shared" si="12"/>
        <v>25</v>
      </c>
      <c r="L71" s="849">
        <f t="shared" si="12"/>
        <v>25</v>
      </c>
      <c r="M71" s="849">
        <f t="shared" si="12"/>
        <v>25</v>
      </c>
      <c r="N71" s="849">
        <f t="shared" si="12"/>
        <v>25</v>
      </c>
      <c r="O71" s="849">
        <f t="shared" si="12"/>
        <v>25</v>
      </c>
      <c r="P71" s="849">
        <f t="shared" si="12"/>
        <v>25</v>
      </c>
      <c r="Q71" s="848">
        <f t="shared" si="12"/>
        <v>25</v>
      </c>
      <c r="R71" s="850">
        <f t="shared" si="12"/>
        <v>25</v>
      </c>
      <c r="S71" s="848">
        <f t="shared" si="12"/>
        <v>25</v>
      </c>
      <c r="T71" s="849">
        <f t="shared" si="12"/>
        <v>25</v>
      </c>
      <c r="U71" s="849">
        <f t="shared" si="12"/>
        <v>25</v>
      </c>
      <c r="V71" s="849">
        <f t="shared" si="12"/>
        <v>25</v>
      </c>
      <c r="W71" s="849">
        <f t="shared" si="12"/>
        <v>25</v>
      </c>
      <c r="X71" s="849">
        <f t="shared" si="12"/>
        <v>25</v>
      </c>
      <c r="Y71" s="850">
        <f t="shared" si="12"/>
        <v>25</v>
      </c>
      <c r="Z71" s="730"/>
      <c r="AA71" s="730"/>
      <c r="AB71" s="730"/>
      <c r="AC71" s="730"/>
      <c r="AD71" s="730"/>
      <c r="AE71" s="730"/>
      <c r="AF71" s="730"/>
      <c r="AG71" s="730"/>
      <c r="AH71" s="730"/>
      <c r="AI71" s="730"/>
      <c r="AJ71" s="730"/>
      <c r="AK71" s="730"/>
      <c r="AL71" s="730"/>
      <c r="AM71" s="730"/>
      <c r="AN71" s="730"/>
      <c r="AO71" s="730"/>
      <c r="AP71" s="730"/>
      <c r="AQ71" s="730"/>
      <c r="AR71" s="730"/>
      <c r="AS71" s="730"/>
      <c r="AT71" s="730"/>
      <c r="AU71" s="730"/>
      <c r="AV71" s="730"/>
      <c r="AW71" s="730"/>
      <c r="AX71" s="730"/>
      <c r="AY71" s="730"/>
      <c r="AZ71" s="730"/>
      <c r="BA71" s="730"/>
      <c r="BB71" s="730"/>
      <c r="BC71" s="730"/>
      <c r="BD71" s="730"/>
      <c r="BE71" s="730"/>
      <c r="BF71" s="730"/>
      <c r="BG71" s="730"/>
      <c r="BH71" s="730"/>
      <c r="BI71" s="730"/>
      <c r="BJ71" s="730"/>
      <c r="BK71" s="730"/>
      <c r="BL71" s="730"/>
    </row>
    <row r="72">
      <c r="A72" s="789"/>
      <c r="B72" s="800" t="s">
        <v>74</v>
      </c>
      <c r="C72" s="71"/>
      <c r="D72" s="851">
        <f t="shared" ref="D72:Y72" si="13">D67+D68+D69</f>
        <v>41</v>
      </c>
      <c r="E72" s="851">
        <f t="shared" si="13"/>
        <v>42</v>
      </c>
      <c r="F72" s="851">
        <f t="shared" si="13"/>
        <v>42</v>
      </c>
      <c r="G72" s="851">
        <f t="shared" si="13"/>
        <v>42</v>
      </c>
      <c r="H72" s="851">
        <f t="shared" si="13"/>
        <v>42</v>
      </c>
      <c r="I72" s="851">
        <f t="shared" si="13"/>
        <v>42</v>
      </c>
      <c r="J72" s="851">
        <f t="shared" si="13"/>
        <v>42</v>
      </c>
      <c r="K72" s="852">
        <f t="shared" si="13"/>
        <v>22</v>
      </c>
      <c r="L72" s="852">
        <f t="shared" si="13"/>
        <v>22</v>
      </c>
      <c r="M72" s="852">
        <f t="shared" si="13"/>
        <v>22</v>
      </c>
      <c r="N72" s="852">
        <f t="shared" si="13"/>
        <v>22</v>
      </c>
      <c r="O72" s="852">
        <f t="shared" si="13"/>
        <v>22</v>
      </c>
      <c r="P72" s="852">
        <f t="shared" si="13"/>
        <v>22</v>
      </c>
      <c r="Q72" s="851">
        <f t="shared" si="13"/>
        <v>22</v>
      </c>
      <c r="R72" s="853">
        <f t="shared" si="13"/>
        <v>15</v>
      </c>
      <c r="S72" s="851">
        <f t="shared" si="13"/>
        <v>24</v>
      </c>
      <c r="T72" s="852">
        <f t="shared" si="13"/>
        <v>24</v>
      </c>
      <c r="U72" s="852">
        <f t="shared" si="13"/>
        <v>24</v>
      </c>
      <c r="V72" s="852">
        <f t="shared" si="13"/>
        <v>24</v>
      </c>
      <c r="W72" s="852">
        <f t="shared" si="13"/>
        <v>24</v>
      </c>
      <c r="X72" s="852">
        <f t="shared" si="13"/>
        <v>24</v>
      </c>
      <c r="Y72" s="853">
        <f t="shared" si="13"/>
        <v>24</v>
      </c>
      <c r="Z72" s="730"/>
      <c r="AA72" s="730"/>
      <c r="AB72" s="730"/>
      <c r="AC72" s="730"/>
      <c r="AD72" s="730"/>
      <c r="AE72" s="730"/>
      <c r="AF72" s="730"/>
      <c r="AG72" s="730"/>
      <c r="AH72" s="730"/>
      <c r="AI72" s="730"/>
      <c r="AJ72" s="730"/>
      <c r="AK72" s="730"/>
      <c r="AL72" s="730"/>
      <c r="AM72" s="730"/>
      <c r="AN72" s="730"/>
      <c r="AO72" s="730"/>
      <c r="AP72" s="730"/>
      <c r="AQ72" s="730"/>
      <c r="AR72" s="730"/>
      <c r="AS72" s="730"/>
      <c r="AT72" s="730"/>
      <c r="AU72" s="730"/>
      <c r="AV72" s="730"/>
      <c r="AW72" s="730"/>
      <c r="AX72" s="730"/>
      <c r="AY72" s="730"/>
      <c r="AZ72" s="730"/>
      <c r="BA72" s="730"/>
      <c r="BB72" s="730"/>
      <c r="BC72" s="730"/>
      <c r="BD72" s="730"/>
      <c r="BE72" s="730"/>
      <c r="BF72" s="730"/>
      <c r="BG72" s="730"/>
      <c r="BH72" s="730"/>
      <c r="BI72" s="730"/>
      <c r="BJ72" s="730"/>
      <c r="BK72" s="730"/>
      <c r="BL72" s="730"/>
    </row>
    <row r="73">
      <c r="A73" s="789"/>
      <c r="B73" s="854" t="s">
        <v>75</v>
      </c>
      <c r="C73" s="71"/>
      <c r="D73" s="855">
        <f t="shared" ref="D73:Y73" si="14">IFERROR(D72/D71,"")</f>
        <v>0.9111111111</v>
      </c>
      <c r="E73" s="855">
        <f t="shared" si="14"/>
        <v>0.9333333333</v>
      </c>
      <c r="F73" s="855">
        <f t="shared" si="14"/>
        <v>0.9333333333</v>
      </c>
      <c r="G73" s="855">
        <f t="shared" si="14"/>
        <v>0.9333333333</v>
      </c>
      <c r="H73" s="855">
        <f t="shared" si="14"/>
        <v>0.9333333333</v>
      </c>
      <c r="I73" s="855">
        <f t="shared" si="14"/>
        <v>0.9333333333</v>
      </c>
      <c r="J73" s="855">
        <f t="shared" si="14"/>
        <v>0.9333333333</v>
      </c>
      <c r="K73" s="856">
        <f t="shared" si="14"/>
        <v>0.88</v>
      </c>
      <c r="L73" s="856">
        <f t="shared" si="14"/>
        <v>0.88</v>
      </c>
      <c r="M73" s="856">
        <f t="shared" si="14"/>
        <v>0.88</v>
      </c>
      <c r="N73" s="856">
        <f t="shared" si="14"/>
        <v>0.88</v>
      </c>
      <c r="O73" s="856">
        <f t="shared" si="14"/>
        <v>0.88</v>
      </c>
      <c r="P73" s="856">
        <f t="shared" si="14"/>
        <v>0.88</v>
      </c>
      <c r="Q73" s="855">
        <f t="shared" si="14"/>
        <v>0.88</v>
      </c>
      <c r="R73" s="357">
        <f t="shared" si="14"/>
        <v>0.6</v>
      </c>
      <c r="S73" s="857">
        <f t="shared" si="14"/>
        <v>0.96</v>
      </c>
      <c r="T73" s="856">
        <f t="shared" si="14"/>
        <v>0.96</v>
      </c>
      <c r="U73" s="856">
        <f t="shared" si="14"/>
        <v>0.96</v>
      </c>
      <c r="V73" s="856">
        <f t="shared" si="14"/>
        <v>0.96</v>
      </c>
      <c r="W73" s="856">
        <f t="shared" si="14"/>
        <v>0.96</v>
      </c>
      <c r="X73" s="856">
        <f t="shared" si="14"/>
        <v>0.96</v>
      </c>
      <c r="Y73" s="357">
        <f t="shared" si="14"/>
        <v>0.96</v>
      </c>
      <c r="Z73" s="730"/>
      <c r="AA73" s="730"/>
      <c r="AB73" s="730"/>
      <c r="AC73" s="730"/>
      <c r="AD73" s="730"/>
      <c r="AE73" s="730"/>
      <c r="AF73" s="730"/>
      <c r="AG73" s="730"/>
      <c r="AH73" s="730"/>
      <c r="AI73" s="730"/>
      <c r="AJ73" s="730"/>
      <c r="AK73" s="730"/>
      <c r="AL73" s="730"/>
      <c r="AM73" s="730"/>
      <c r="AN73" s="730"/>
      <c r="AO73" s="730"/>
      <c r="AP73" s="730"/>
      <c r="AQ73" s="730"/>
      <c r="AR73" s="730"/>
      <c r="AS73" s="730"/>
      <c r="AT73" s="730"/>
      <c r="AU73" s="730"/>
      <c r="AV73" s="730"/>
      <c r="AW73" s="730"/>
      <c r="AX73" s="730"/>
      <c r="AY73" s="730"/>
      <c r="AZ73" s="730"/>
      <c r="BA73" s="730"/>
      <c r="BB73" s="730"/>
      <c r="BC73" s="730"/>
      <c r="BD73" s="730"/>
      <c r="BE73" s="730"/>
      <c r="BF73" s="730"/>
      <c r="BG73" s="730"/>
      <c r="BH73" s="730"/>
      <c r="BI73" s="730"/>
      <c r="BJ73" s="730"/>
      <c r="BK73" s="730"/>
      <c r="BL73" s="730"/>
    </row>
    <row r="74">
      <c r="A74" s="729"/>
      <c r="D74" s="805"/>
    </row>
    <row r="75">
      <c r="A75" s="731"/>
      <c r="B75" s="732" t="s">
        <v>1170</v>
      </c>
      <c r="C75" s="732" t="s">
        <v>7</v>
      </c>
      <c r="D75" s="858"/>
    </row>
    <row r="76">
      <c r="A76" s="735" t="s">
        <v>575</v>
      </c>
      <c r="D76" s="736" t="s">
        <v>577</v>
      </c>
      <c r="E76" s="736" t="s">
        <v>578</v>
      </c>
      <c r="F76" s="736" t="s">
        <v>579</v>
      </c>
      <c r="G76" s="736" t="s">
        <v>581</v>
      </c>
      <c r="H76" s="736" t="s">
        <v>582</v>
      </c>
      <c r="I76" s="736" t="s">
        <v>797</v>
      </c>
      <c r="J76" s="736" t="s">
        <v>798</v>
      </c>
      <c r="K76" s="737" t="s">
        <v>800</v>
      </c>
      <c r="L76" s="859" t="s">
        <v>583</v>
      </c>
      <c r="M76" s="736" t="s">
        <v>584</v>
      </c>
      <c r="N76" s="736" t="s">
        <v>585</v>
      </c>
      <c r="O76" s="736" t="s">
        <v>586</v>
      </c>
      <c r="P76" s="736"/>
      <c r="Q76" s="736" t="s">
        <v>801</v>
      </c>
      <c r="R76" s="737" t="s">
        <v>802</v>
      </c>
      <c r="S76" s="859" t="s">
        <v>1173</v>
      </c>
      <c r="T76" s="737" t="s">
        <v>1174</v>
      </c>
      <c r="U76" s="730"/>
      <c r="V76" s="730"/>
      <c r="W76" s="730"/>
      <c r="X76" s="730"/>
      <c r="Y76" s="730"/>
      <c r="Z76" s="730"/>
      <c r="AA76" s="730"/>
      <c r="AB76" s="730"/>
      <c r="AC76" s="730"/>
      <c r="AD76" s="730"/>
      <c r="AE76" s="730"/>
      <c r="AF76" s="730"/>
      <c r="AG76" s="730"/>
      <c r="AH76" s="730"/>
      <c r="AI76" s="730"/>
      <c r="AJ76" s="730"/>
      <c r="AK76" s="730"/>
      <c r="AL76" s="730"/>
      <c r="AM76" s="730"/>
      <c r="AN76" s="730"/>
      <c r="AO76" s="730"/>
      <c r="AP76" s="730"/>
      <c r="AQ76" s="730"/>
      <c r="AR76" s="730"/>
      <c r="AS76" s="730"/>
      <c r="AT76" s="730"/>
      <c r="AU76" s="730"/>
      <c r="AV76" s="730"/>
      <c r="AW76" s="730"/>
      <c r="AX76" s="730"/>
      <c r="AY76" s="730"/>
      <c r="AZ76" s="730"/>
      <c r="BA76" s="730"/>
      <c r="BB76" s="730"/>
      <c r="BC76" s="730"/>
      <c r="BD76" s="730"/>
      <c r="BE76" s="730"/>
      <c r="BF76" s="730"/>
      <c r="BG76" s="730"/>
      <c r="BH76" s="730"/>
      <c r="BI76" s="730"/>
      <c r="BJ76" s="730"/>
      <c r="BK76" s="730"/>
      <c r="BL76" s="730"/>
    </row>
    <row r="77">
      <c r="A77" s="860" t="s">
        <v>1171</v>
      </c>
      <c r="B77" s="861" t="s">
        <v>132</v>
      </c>
      <c r="C77" s="862" t="s">
        <v>21</v>
      </c>
      <c r="D77" s="863" t="s">
        <v>70</v>
      </c>
      <c r="E77" s="811" t="s">
        <v>69</v>
      </c>
      <c r="F77" s="810" t="s">
        <v>70</v>
      </c>
      <c r="G77" s="811" t="s">
        <v>69</v>
      </c>
      <c r="H77" s="810" t="s">
        <v>70</v>
      </c>
      <c r="I77" s="810" t="s">
        <v>70</v>
      </c>
      <c r="J77" s="810" t="s">
        <v>70</v>
      </c>
      <c r="K77" s="864" t="s">
        <v>69</v>
      </c>
      <c r="L77" s="819" t="s">
        <v>70</v>
      </c>
      <c r="M77" s="819" t="s">
        <v>70</v>
      </c>
      <c r="N77" s="814" t="s">
        <v>69</v>
      </c>
      <c r="O77" s="814" t="s">
        <v>69</v>
      </c>
      <c r="P77" s="814"/>
      <c r="Q77" s="814" t="s">
        <v>69</v>
      </c>
      <c r="R77" s="815" t="s">
        <v>69</v>
      </c>
      <c r="S77" s="865" t="s">
        <v>69</v>
      </c>
      <c r="T77" s="812" t="s">
        <v>69</v>
      </c>
      <c r="U77" s="730"/>
      <c r="V77" s="730"/>
      <c r="W77" s="730"/>
      <c r="X77" s="730"/>
      <c r="Y77" s="730"/>
      <c r="Z77" s="730"/>
      <c r="AA77" s="730"/>
      <c r="AB77" s="730"/>
      <c r="AC77" s="730"/>
      <c r="AD77" s="730"/>
      <c r="AE77" s="730"/>
      <c r="AF77" s="730"/>
      <c r="AG77" s="730"/>
      <c r="AH77" s="730"/>
      <c r="AI77" s="730"/>
      <c r="AJ77" s="730"/>
      <c r="AK77" s="730"/>
      <c r="AL77" s="730"/>
      <c r="AM77" s="730"/>
      <c r="AN77" s="730"/>
      <c r="AO77" s="730"/>
      <c r="AP77" s="730"/>
      <c r="AQ77" s="730"/>
      <c r="AR77" s="730"/>
      <c r="AS77" s="730"/>
      <c r="AT77" s="730"/>
      <c r="AU77" s="730"/>
      <c r="AV77" s="730"/>
      <c r="AW77" s="730"/>
      <c r="AX77" s="730"/>
      <c r="AY77" s="730"/>
      <c r="AZ77" s="730"/>
      <c r="BA77" s="730"/>
      <c r="BB77" s="730"/>
      <c r="BC77" s="730"/>
      <c r="BD77" s="730"/>
      <c r="BE77" s="730"/>
      <c r="BF77" s="730"/>
      <c r="BG77" s="730"/>
      <c r="BH77" s="730"/>
      <c r="BI77" s="730"/>
      <c r="BJ77" s="730"/>
      <c r="BK77" s="730"/>
      <c r="BL77" s="730"/>
    </row>
    <row r="78">
      <c r="A78" s="68"/>
      <c r="B78" s="866" t="s">
        <v>1175</v>
      </c>
      <c r="C78" s="867" t="s">
        <v>21</v>
      </c>
      <c r="D78" s="863" t="s">
        <v>70</v>
      </c>
      <c r="E78" s="811" t="s">
        <v>69</v>
      </c>
      <c r="F78" s="811" t="s">
        <v>69</v>
      </c>
      <c r="G78" s="811" t="s">
        <v>69</v>
      </c>
      <c r="H78" s="810" t="s">
        <v>70</v>
      </c>
      <c r="I78" s="810" t="s">
        <v>70</v>
      </c>
      <c r="J78" s="810" t="s">
        <v>70</v>
      </c>
      <c r="K78" s="864" t="s">
        <v>69</v>
      </c>
      <c r="L78" s="819" t="s">
        <v>70</v>
      </c>
      <c r="M78" s="819" t="s">
        <v>70</v>
      </c>
      <c r="N78" s="818" t="s">
        <v>99</v>
      </c>
      <c r="O78" s="814" t="s">
        <v>69</v>
      </c>
      <c r="P78" s="814"/>
      <c r="Q78" s="814" t="s">
        <v>69</v>
      </c>
      <c r="R78" s="815" t="s">
        <v>69</v>
      </c>
      <c r="S78" s="868" t="s">
        <v>100</v>
      </c>
      <c r="T78" s="869" t="s">
        <v>100</v>
      </c>
      <c r="U78" s="730"/>
      <c r="V78" s="730"/>
      <c r="W78" s="730"/>
      <c r="X78" s="730"/>
      <c r="Y78" s="730"/>
      <c r="Z78" s="730"/>
      <c r="AA78" s="730"/>
      <c r="AB78" s="730"/>
      <c r="AC78" s="730"/>
      <c r="AD78" s="730"/>
      <c r="AE78" s="730"/>
      <c r="AF78" s="730"/>
      <c r="AG78" s="730"/>
      <c r="AH78" s="730"/>
      <c r="AI78" s="730"/>
      <c r="AJ78" s="730"/>
      <c r="AK78" s="730"/>
      <c r="AL78" s="730"/>
      <c r="AM78" s="730"/>
      <c r="AN78" s="730"/>
      <c r="AO78" s="730"/>
      <c r="AP78" s="730"/>
      <c r="AQ78" s="730"/>
      <c r="AR78" s="730"/>
      <c r="AS78" s="730"/>
      <c r="AT78" s="730"/>
      <c r="AU78" s="730"/>
      <c r="AV78" s="730"/>
      <c r="AW78" s="730"/>
      <c r="AX78" s="730"/>
      <c r="AY78" s="730"/>
      <c r="AZ78" s="730"/>
      <c r="BA78" s="730"/>
      <c r="BB78" s="730"/>
      <c r="BC78" s="730"/>
      <c r="BD78" s="730"/>
      <c r="BE78" s="730"/>
      <c r="BF78" s="730"/>
      <c r="BG78" s="730"/>
      <c r="BH78" s="730"/>
      <c r="BI78" s="730"/>
      <c r="BJ78" s="730"/>
      <c r="BK78" s="730"/>
      <c r="BL78" s="730"/>
    </row>
    <row r="79">
      <c r="A79" s="68"/>
      <c r="B79" s="866" t="s">
        <v>1176</v>
      </c>
      <c r="C79" s="867" t="s">
        <v>21</v>
      </c>
      <c r="D79" s="811" t="s">
        <v>69</v>
      </c>
      <c r="E79" s="811" t="s">
        <v>69</v>
      </c>
      <c r="F79" s="811" t="s">
        <v>69</v>
      </c>
      <c r="G79" s="811" t="s">
        <v>69</v>
      </c>
      <c r="H79" s="818" t="s">
        <v>99</v>
      </c>
      <c r="I79" s="810" t="s">
        <v>70</v>
      </c>
      <c r="J79" s="810" t="s">
        <v>70</v>
      </c>
      <c r="K79" s="864" t="s">
        <v>69</v>
      </c>
      <c r="L79" s="870" t="s">
        <v>100</v>
      </c>
      <c r="M79" s="829" t="s">
        <v>100</v>
      </c>
      <c r="N79" s="829" t="s">
        <v>100</v>
      </c>
      <c r="O79" s="829" t="s">
        <v>100</v>
      </c>
      <c r="P79" s="829"/>
      <c r="Q79" s="829" t="s">
        <v>100</v>
      </c>
      <c r="R79" s="830" t="s">
        <v>100</v>
      </c>
      <c r="S79" s="868" t="s">
        <v>100</v>
      </c>
      <c r="T79" s="869" t="s">
        <v>100</v>
      </c>
      <c r="U79" s="730"/>
      <c r="V79" s="730"/>
      <c r="W79" s="730"/>
      <c r="X79" s="730"/>
      <c r="Y79" s="730"/>
      <c r="Z79" s="730"/>
      <c r="AA79" s="730"/>
      <c r="AB79" s="730"/>
      <c r="AC79" s="730"/>
      <c r="AD79" s="730"/>
      <c r="AE79" s="730"/>
      <c r="AF79" s="730"/>
      <c r="AG79" s="730"/>
      <c r="AH79" s="730"/>
      <c r="AI79" s="730"/>
      <c r="AJ79" s="730"/>
      <c r="AK79" s="730"/>
      <c r="AL79" s="730"/>
      <c r="AM79" s="730"/>
      <c r="AN79" s="730"/>
      <c r="AO79" s="730"/>
      <c r="AP79" s="730"/>
      <c r="AQ79" s="730"/>
      <c r="AR79" s="730"/>
      <c r="AS79" s="730"/>
      <c r="AT79" s="730"/>
      <c r="AU79" s="730"/>
      <c r="AV79" s="730"/>
      <c r="AW79" s="730"/>
      <c r="AX79" s="730"/>
      <c r="AY79" s="730"/>
      <c r="AZ79" s="730"/>
      <c r="BA79" s="730"/>
      <c r="BB79" s="730"/>
      <c r="BC79" s="730"/>
      <c r="BD79" s="730"/>
      <c r="BE79" s="730"/>
      <c r="BF79" s="730"/>
      <c r="BG79" s="730"/>
      <c r="BH79" s="730"/>
      <c r="BI79" s="730"/>
      <c r="BJ79" s="730"/>
      <c r="BK79" s="730"/>
      <c r="BL79" s="730"/>
    </row>
    <row r="80">
      <c r="A80" s="68"/>
      <c r="B80" s="866" t="s">
        <v>1177</v>
      </c>
      <c r="C80" s="867" t="s">
        <v>21</v>
      </c>
      <c r="D80" s="863" t="s">
        <v>70</v>
      </c>
      <c r="E80" s="811" t="s">
        <v>69</v>
      </c>
      <c r="F80" s="810" t="s">
        <v>70</v>
      </c>
      <c r="G80" s="811" t="s">
        <v>69</v>
      </c>
      <c r="H80" s="810" t="s">
        <v>70</v>
      </c>
      <c r="I80" s="810" t="s">
        <v>70</v>
      </c>
      <c r="J80" s="810" t="s">
        <v>70</v>
      </c>
      <c r="K80" s="864" t="s">
        <v>69</v>
      </c>
      <c r="L80" s="819" t="s">
        <v>70</v>
      </c>
      <c r="M80" s="819" t="s">
        <v>70</v>
      </c>
      <c r="N80" s="814" t="s">
        <v>69</v>
      </c>
      <c r="O80" s="814" t="s">
        <v>69</v>
      </c>
      <c r="P80" s="814"/>
      <c r="Q80" s="814" t="s">
        <v>69</v>
      </c>
      <c r="R80" s="815" t="s">
        <v>69</v>
      </c>
      <c r="S80" s="868" t="s">
        <v>100</v>
      </c>
      <c r="T80" s="869" t="s">
        <v>100</v>
      </c>
      <c r="U80" s="730"/>
      <c r="V80" s="730"/>
      <c r="W80" s="730"/>
      <c r="X80" s="730"/>
      <c r="Y80" s="730"/>
      <c r="Z80" s="730"/>
      <c r="AA80" s="730"/>
      <c r="AB80" s="730"/>
      <c r="AC80" s="730"/>
      <c r="AD80" s="730"/>
      <c r="AE80" s="730"/>
      <c r="AF80" s="730"/>
      <c r="AG80" s="730"/>
      <c r="AH80" s="730"/>
      <c r="AI80" s="730"/>
      <c r="AJ80" s="730"/>
      <c r="AK80" s="730"/>
      <c r="AL80" s="730"/>
      <c r="AM80" s="730"/>
      <c r="AN80" s="730"/>
      <c r="AO80" s="730"/>
      <c r="AP80" s="730"/>
      <c r="AQ80" s="730"/>
      <c r="AR80" s="730"/>
      <c r="AS80" s="730"/>
      <c r="AT80" s="730"/>
      <c r="AU80" s="730"/>
      <c r="AV80" s="730"/>
      <c r="AW80" s="730"/>
      <c r="AX80" s="730"/>
      <c r="AY80" s="730"/>
      <c r="AZ80" s="730"/>
      <c r="BA80" s="730"/>
      <c r="BB80" s="730"/>
      <c r="BC80" s="730"/>
      <c r="BD80" s="730"/>
      <c r="BE80" s="730"/>
      <c r="BF80" s="730"/>
      <c r="BG80" s="730"/>
      <c r="BH80" s="730"/>
      <c r="BI80" s="730"/>
      <c r="BJ80" s="730"/>
      <c r="BK80" s="730"/>
      <c r="BL80" s="730"/>
    </row>
    <row r="81">
      <c r="A81" s="68"/>
      <c r="B81" s="867" t="s">
        <v>1178</v>
      </c>
      <c r="C81" s="867" t="s">
        <v>21</v>
      </c>
      <c r="D81" s="863" t="s">
        <v>70</v>
      </c>
      <c r="E81" s="811" t="s">
        <v>69</v>
      </c>
      <c r="F81" s="818" t="s">
        <v>99</v>
      </c>
      <c r="G81" s="811" t="s">
        <v>69</v>
      </c>
      <c r="H81" s="810" t="s">
        <v>70</v>
      </c>
      <c r="I81" s="810" t="s">
        <v>70</v>
      </c>
      <c r="J81" s="810" t="s">
        <v>70</v>
      </c>
      <c r="K81" s="864" t="s">
        <v>69</v>
      </c>
      <c r="L81" s="819" t="s">
        <v>70</v>
      </c>
      <c r="M81" s="814" t="s">
        <v>69</v>
      </c>
      <c r="N81" s="814" t="s">
        <v>69</v>
      </c>
      <c r="O81" s="814" t="s">
        <v>69</v>
      </c>
      <c r="P81" s="814"/>
      <c r="Q81" s="814" t="s">
        <v>69</v>
      </c>
      <c r="R81" s="815" t="s">
        <v>69</v>
      </c>
      <c r="S81" s="865" t="s">
        <v>69</v>
      </c>
      <c r="T81" s="812" t="s">
        <v>69</v>
      </c>
      <c r="U81" s="730"/>
      <c r="V81" s="730"/>
      <c r="W81" s="730"/>
      <c r="X81" s="730"/>
      <c r="Y81" s="730"/>
      <c r="Z81" s="730"/>
      <c r="AA81" s="730"/>
      <c r="AB81" s="730"/>
      <c r="AC81" s="730"/>
      <c r="AD81" s="730"/>
      <c r="AE81" s="730"/>
      <c r="AF81" s="730"/>
      <c r="AG81" s="730"/>
      <c r="AH81" s="730"/>
      <c r="AI81" s="730"/>
      <c r="AJ81" s="730"/>
      <c r="AK81" s="730"/>
      <c r="AL81" s="730"/>
      <c r="AM81" s="730"/>
      <c r="AN81" s="730"/>
      <c r="AO81" s="730"/>
      <c r="AP81" s="730"/>
      <c r="AQ81" s="730"/>
      <c r="AR81" s="730"/>
      <c r="AS81" s="730"/>
      <c r="AT81" s="730"/>
      <c r="AU81" s="730"/>
      <c r="AV81" s="730"/>
      <c r="AW81" s="730"/>
      <c r="AX81" s="730"/>
      <c r="AY81" s="730"/>
      <c r="AZ81" s="730"/>
      <c r="BA81" s="730"/>
      <c r="BB81" s="730"/>
      <c r="BC81" s="730"/>
      <c r="BD81" s="730"/>
      <c r="BE81" s="730"/>
      <c r="BF81" s="730"/>
      <c r="BG81" s="730"/>
      <c r="BH81" s="730"/>
      <c r="BI81" s="730"/>
      <c r="BJ81" s="730"/>
      <c r="BK81" s="730"/>
      <c r="BL81" s="730"/>
    </row>
    <row r="82">
      <c r="A82" s="68"/>
      <c r="B82" s="871" t="s">
        <v>67</v>
      </c>
      <c r="C82" s="872" t="s">
        <v>107</v>
      </c>
      <c r="D82" s="828" t="s">
        <v>100</v>
      </c>
      <c r="E82" s="829" t="s">
        <v>100</v>
      </c>
      <c r="F82" s="829" t="s">
        <v>100</v>
      </c>
      <c r="G82" s="829" t="s">
        <v>100</v>
      </c>
      <c r="H82" s="829" t="s">
        <v>100</v>
      </c>
      <c r="I82" s="829" t="s">
        <v>100</v>
      </c>
      <c r="J82" s="829" t="s">
        <v>100</v>
      </c>
      <c r="K82" s="830" t="s">
        <v>100</v>
      </c>
      <c r="L82" s="870" t="s">
        <v>100</v>
      </c>
      <c r="M82" s="829" t="s">
        <v>100</v>
      </c>
      <c r="N82" s="829" t="s">
        <v>100</v>
      </c>
      <c r="O82" s="829" t="s">
        <v>100</v>
      </c>
      <c r="P82" s="829"/>
      <c r="Q82" s="829" t="s">
        <v>100</v>
      </c>
      <c r="R82" s="830" t="s">
        <v>100</v>
      </c>
      <c r="S82" s="865" t="s">
        <v>100</v>
      </c>
      <c r="T82" s="812" t="s">
        <v>100</v>
      </c>
      <c r="U82" s="730"/>
      <c r="V82" s="730"/>
      <c r="W82" s="730"/>
      <c r="X82" s="730"/>
      <c r="Y82" s="730"/>
      <c r="Z82" s="730"/>
      <c r="AA82" s="730"/>
      <c r="AB82" s="730"/>
      <c r="AC82" s="730"/>
      <c r="AD82" s="730"/>
      <c r="AE82" s="730"/>
      <c r="AF82" s="730"/>
      <c r="AG82" s="730"/>
      <c r="AH82" s="730"/>
      <c r="AI82" s="730"/>
      <c r="AJ82" s="730"/>
      <c r="AK82" s="730"/>
      <c r="AL82" s="730"/>
      <c r="AM82" s="730"/>
      <c r="AN82" s="730"/>
      <c r="AO82" s="730"/>
      <c r="AP82" s="730"/>
      <c r="AQ82" s="730"/>
      <c r="AR82" s="730"/>
      <c r="AS82" s="730"/>
      <c r="AT82" s="730"/>
      <c r="AU82" s="730"/>
      <c r="AV82" s="730"/>
      <c r="AW82" s="730"/>
      <c r="AX82" s="730"/>
      <c r="AY82" s="730"/>
      <c r="AZ82" s="730"/>
      <c r="BA82" s="730"/>
      <c r="BB82" s="730"/>
      <c r="BC82" s="730"/>
      <c r="BD82" s="730"/>
      <c r="BE82" s="730"/>
      <c r="BF82" s="730"/>
      <c r="BG82" s="730"/>
      <c r="BH82" s="730"/>
      <c r="BI82" s="730"/>
      <c r="BJ82" s="730"/>
      <c r="BK82" s="730"/>
      <c r="BL82" s="730"/>
    </row>
    <row r="83">
      <c r="A83" s="68"/>
      <c r="B83" s="873" t="s">
        <v>135</v>
      </c>
      <c r="C83" s="874" t="s">
        <v>107</v>
      </c>
      <c r="D83" s="863" t="s">
        <v>70</v>
      </c>
      <c r="E83" s="811" t="s">
        <v>69</v>
      </c>
      <c r="F83" s="863" t="s">
        <v>70</v>
      </c>
      <c r="G83" s="811" t="s">
        <v>69</v>
      </c>
      <c r="H83" s="811" t="s">
        <v>69</v>
      </c>
      <c r="I83" s="810" t="s">
        <v>70</v>
      </c>
      <c r="J83" s="810" t="s">
        <v>70</v>
      </c>
      <c r="K83" s="823" t="s">
        <v>70</v>
      </c>
      <c r="M83" s="829" t="s">
        <v>100</v>
      </c>
      <c r="N83" s="829" t="s">
        <v>100</v>
      </c>
      <c r="O83" s="829" t="s">
        <v>100</v>
      </c>
      <c r="P83" s="829"/>
      <c r="Q83" s="829" t="s">
        <v>100</v>
      </c>
      <c r="R83" s="830" t="s">
        <v>100</v>
      </c>
      <c r="S83" s="865" t="s">
        <v>100</v>
      </c>
      <c r="T83" s="812" t="s">
        <v>100</v>
      </c>
      <c r="U83" s="730"/>
      <c r="V83" s="730"/>
      <c r="W83" s="730"/>
      <c r="X83" s="730"/>
      <c r="Y83" s="730"/>
      <c r="Z83" s="730"/>
      <c r="AA83" s="730"/>
      <c r="AB83" s="730"/>
      <c r="AC83" s="730"/>
      <c r="AD83" s="730"/>
      <c r="AE83" s="730"/>
      <c r="AF83" s="730"/>
      <c r="AG83" s="730"/>
      <c r="AH83" s="730"/>
      <c r="AI83" s="730"/>
      <c r="AJ83" s="730"/>
      <c r="AK83" s="730"/>
      <c r="AL83" s="730"/>
      <c r="AM83" s="730"/>
      <c r="AN83" s="730"/>
      <c r="AO83" s="730"/>
      <c r="AP83" s="730"/>
      <c r="AQ83" s="730"/>
      <c r="AR83" s="730"/>
      <c r="AS83" s="730"/>
      <c r="AT83" s="730"/>
      <c r="AU83" s="730"/>
      <c r="AV83" s="730"/>
      <c r="AW83" s="730"/>
      <c r="AX83" s="730"/>
      <c r="AY83" s="730"/>
      <c r="AZ83" s="730"/>
      <c r="BA83" s="730"/>
      <c r="BB83" s="730"/>
      <c r="BC83" s="730"/>
      <c r="BD83" s="730"/>
      <c r="BE83" s="730"/>
      <c r="BF83" s="730"/>
      <c r="BG83" s="730"/>
      <c r="BH83" s="730"/>
      <c r="BI83" s="730"/>
      <c r="BJ83" s="730"/>
      <c r="BK83" s="730"/>
      <c r="BL83" s="730"/>
    </row>
    <row r="84">
      <c r="A84" s="68"/>
      <c r="B84" s="873" t="s">
        <v>1179</v>
      </c>
      <c r="C84" s="874" t="s">
        <v>107</v>
      </c>
      <c r="D84" s="828" t="s">
        <v>100</v>
      </c>
      <c r="E84" s="829" t="s">
        <v>100</v>
      </c>
      <c r="F84" s="829" t="s">
        <v>100</v>
      </c>
      <c r="G84" s="829" t="s">
        <v>100</v>
      </c>
      <c r="H84" s="829" t="s">
        <v>100</v>
      </c>
      <c r="I84" s="829" t="s">
        <v>100</v>
      </c>
      <c r="J84" s="829" t="s">
        <v>100</v>
      </c>
      <c r="K84" s="830" t="s">
        <v>100</v>
      </c>
      <c r="L84" s="870" t="s">
        <v>100</v>
      </c>
      <c r="M84" s="829" t="s">
        <v>100</v>
      </c>
      <c r="N84" s="829" t="s">
        <v>100</v>
      </c>
      <c r="O84" s="829" t="s">
        <v>100</v>
      </c>
      <c r="P84" s="829"/>
      <c r="Q84" s="829" t="s">
        <v>100</v>
      </c>
      <c r="R84" s="830" t="s">
        <v>100</v>
      </c>
      <c r="S84" s="865" t="s">
        <v>100</v>
      </c>
      <c r="T84" s="812" t="s">
        <v>100</v>
      </c>
      <c r="U84" s="730"/>
      <c r="V84" s="730"/>
      <c r="W84" s="730"/>
      <c r="X84" s="730"/>
      <c r="Y84" s="730"/>
      <c r="Z84" s="730"/>
      <c r="AA84" s="730"/>
      <c r="AB84" s="730"/>
      <c r="AC84" s="730"/>
      <c r="AD84" s="730"/>
      <c r="AE84" s="730"/>
      <c r="AF84" s="730"/>
      <c r="AG84" s="730"/>
      <c r="AH84" s="730"/>
      <c r="AI84" s="730"/>
      <c r="AJ84" s="730"/>
      <c r="AK84" s="730"/>
      <c r="AL84" s="730"/>
      <c r="AM84" s="730"/>
      <c r="AN84" s="730"/>
      <c r="AO84" s="730"/>
      <c r="AP84" s="730"/>
      <c r="AQ84" s="730"/>
      <c r="AR84" s="730"/>
      <c r="AS84" s="730"/>
      <c r="AT84" s="730"/>
      <c r="AU84" s="730"/>
      <c r="AV84" s="730"/>
      <c r="AW84" s="730"/>
      <c r="AX84" s="730"/>
      <c r="AY84" s="730"/>
      <c r="AZ84" s="730"/>
      <c r="BA84" s="730"/>
      <c r="BB84" s="730"/>
      <c r="BC84" s="730"/>
      <c r="BD84" s="730"/>
      <c r="BE84" s="730"/>
      <c r="BF84" s="730"/>
      <c r="BG84" s="730"/>
      <c r="BH84" s="730"/>
      <c r="BI84" s="730"/>
      <c r="BJ84" s="730"/>
      <c r="BK84" s="730"/>
      <c r="BL84" s="730"/>
    </row>
    <row r="85">
      <c r="A85" s="68"/>
      <c r="B85" s="873" t="s">
        <v>1180</v>
      </c>
      <c r="C85" s="874" t="s">
        <v>107</v>
      </c>
      <c r="D85" s="863" t="s">
        <v>70</v>
      </c>
      <c r="E85" s="811" t="s">
        <v>69</v>
      </c>
      <c r="F85" s="863" t="s">
        <v>70</v>
      </c>
      <c r="G85" s="811" t="s">
        <v>69</v>
      </c>
      <c r="H85" s="811" t="s">
        <v>69</v>
      </c>
      <c r="I85" s="810" t="s">
        <v>70</v>
      </c>
      <c r="J85" s="810" t="s">
        <v>70</v>
      </c>
      <c r="K85" s="823" t="s">
        <v>70</v>
      </c>
      <c r="L85" s="870" t="s">
        <v>100</v>
      </c>
      <c r="M85" s="829" t="s">
        <v>100</v>
      </c>
      <c r="N85" s="829" t="s">
        <v>100</v>
      </c>
      <c r="O85" s="829" t="s">
        <v>100</v>
      </c>
      <c r="P85" s="829"/>
      <c r="Q85" s="870" t="s">
        <v>100</v>
      </c>
      <c r="R85" s="830" t="s">
        <v>100</v>
      </c>
      <c r="S85" s="865" t="s">
        <v>100</v>
      </c>
      <c r="T85" s="812" t="s">
        <v>100</v>
      </c>
      <c r="U85" s="730"/>
      <c r="V85" s="730"/>
      <c r="W85" s="730"/>
      <c r="X85" s="730"/>
      <c r="Y85" s="730"/>
      <c r="Z85" s="730"/>
      <c r="AA85" s="730"/>
      <c r="AB85" s="730"/>
      <c r="AC85" s="730"/>
      <c r="AD85" s="730"/>
      <c r="AE85" s="730"/>
      <c r="AF85" s="730"/>
      <c r="AG85" s="730"/>
      <c r="AH85" s="730"/>
      <c r="AI85" s="730"/>
      <c r="AJ85" s="730"/>
      <c r="AK85" s="730"/>
      <c r="AL85" s="730"/>
      <c r="AM85" s="730"/>
      <c r="AN85" s="730"/>
      <c r="AO85" s="730"/>
      <c r="AP85" s="730"/>
      <c r="AQ85" s="730"/>
      <c r="AR85" s="730"/>
      <c r="AS85" s="730"/>
      <c r="AT85" s="730"/>
      <c r="AU85" s="730"/>
      <c r="AV85" s="730"/>
      <c r="AW85" s="730"/>
      <c r="AX85" s="730"/>
      <c r="AY85" s="730"/>
      <c r="AZ85" s="730"/>
      <c r="BA85" s="730"/>
      <c r="BB85" s="730"/>
      <c r="BC85" s="730"/>
      <c r="BD85" s="730"/>
      <c r="BE85" s="730"/>
      <c r="BF85" s="730"/>
      <c r="BG85" s="730"/>
      <c r="BH85" s="730"/>
      <c r="BI85" s="730"/>
      <c r="BJ85" s="730"/>
      <c r="BK85" s="730"/>
      <c r="BL85" s="730"/>
    </row>
    <row r="86">
      <c r="A86" s="68"/>
      <c r="B86" s="873" t="s">
        <v>1181</v>
      </c>
      <c r="C86" s="874" t="s">
        <v>107</v>
      </c>
      <c r="D86" s="863" t="s">
        <v>70</v>
      </c>
      <c r="E86" s="811" t="s">
        <v>69</v>
      </c>
      <c r="F86" s="863" t="s">
        <v>70</v>
      </c>
      <c r="G86" s="811" t="s">
        <v>69</v>
      </c>
      <c r="H86" s="811" t="s">
        <v>69</v>
      </c>
      <c r="I86" s="810" t="s">
        <v>70</v>
      </c>
      <c r="J86" s="810" t="s">
        <v>70</v>
      </c>
      <c r="K86" s="823" t="s">
        <v>70</v>
      </c>
      <c r="L86" s="819" t="s">
        <v>70</v>
      </c>
      <c r="M86" s="819" t="s">
        <v>70</v>
      </c>
      <c r="N86" s="818" t="s">
        <v>99</v>
      </c>
      <c r="O86" s="814" t="s">
        <v>69</v>
      </c>
      <c r="P86" s="814"/>
      <c r="Q86" s="814" t="s">
        <v>69</v>
      </c>
      <c r="R86" s="815" t="s">
        <v>69</v>
      </c>
      <c r="S86" s="865" t="s">
        <v>100</v>
      </c>
      <c r="T86" s="812" t="s">
        <v>100</v>
      </c>
      <c r="U86" s="730"/>
      <c r="V86" s="730"/>
      <c r="W86" s="730"/>
      <c r="X86" s="730"/>
      <c r="Y86" s="730"/>
      <c r="Z86" s="730"/>
      <c r="AA86" s="730"/>
      <c r="AB86" s="730"/>
      <c r="AC86" s="730"/>
      <c r="AD86" s="730"/>
      <c r="AE86" s="730"/>
      <c r="AF86" s="730"/>
      <c r="AG86" s="730"/>
      <c r="AH86" s="730"/>
      <c r="AI86" s="730"/>
      <c r="AJ86" s="730"/>
      <c r="AK86" s="730"/>
      <c r="AL86" s="730"/>
      <c r="AM86" s="730"/>
      <c r="AN86" s="730"/>
      <c r="AO86" s="730"/>
      <c r="AP86" s="730"/>
      <c r="AQ86" s="730"/>
      <c r="AR86" s="730"/>
      <c r="AS86" s="730"/>
      <c r="AT86" s="730"/>
      <c r="AU86" s="730"/>
      <c r="AV86" s="730"/>
      <c r="AW86" s="730"/>
      <c r="AX86" s="730"/>
      <c r="AY86" s="730"/>
      <c r="AZ86" s="730"/>
      <c r="BA86" s="730"/>
      <c r="BB86" s="730"/>
      <c r="BC86" s="730"/>
      <c r="BD86" s="730"/>
      <c r="BE86" s="730"/>
      <c r="BF86" s="730"/>
      <c r="BG86" s="730"/>
      <c r="BH86" s="730"/>
      <c r="BI86" s="730"/>
      <c r="BJ86" s="730"/>
      <c r="BK86" s="730"/>
      <c r="BL86" s="730"/>
    </row>
    <row r="87">
      <c r="A87" s="68"/>
      <c r="B87" s="740" t="s">
        <v>1182</v>
      </c>
      <c r="C87" s="875" t="s">
        <v>12</v>
      </c>
      <c r="D87" s="863" t="s">
        <v>70</v>
      </c>
      <c r="E87" s="863" t="s">
        <v>70</v>
      </c>
      <c r="F87" s="811" t="s">
        <v>69</v>
      </c>
      <c r="G87" s="863" t="s">
        <v>70</v>
      </c>
      <c r="H87" s="811" t="s">
        <v>69</v>
      </c>
      <c r="I87" s="811" t="s">
        <v>69</v>
      </c>
      <c r="J87" s="863" t="s">
        <v>70</v>
      </c>
      <c r="K87" s="876" t="s">
        <v>70</v>
      </c>
      <c r="L87" s="813" t="s">
        <v>69</v>
      </c>
      <c r="M87" s="819" t="s">
        <v>70</v>
      </c>
      <c r="N87" s="819" t="s">
        <v>70</v>
      </c>
      <c r="O87" s="814" t="s">
        <v>69</v>
      </c>
      <c r="P87" s="814"/>
      <c r="Q87" s="814" t="s">
        <v>69</v>
      </c>
      <c r="R87" s="815" t="s">
        <v>69</v>
      </c>
      <c r="S87" s="865" t="s">
        <v>69</v>
      </c>
      <c r="T87" s="812" t="s">
        <v>69</v>
      </c>
      <c r="U87" s="730"/>
      <c r="V87" s="730"/>
      <c r="W87" s="730"/>
      <c r="X87" s="730"/>
      <c r="Y87" s="730"/>
      <c r="Z87" s="730"/>
      <c r="AA87" s="730"/>
      <c r="AB87" s="730"/>
      <c r="AC87" s="730"/>
      <c r="AD87" s="730"/>
      <c r="AE87" s="730"/>
      <c r="AF87" s="730"/>
      <c r="AG87" s="730"/>
      <c r="AH87" s="730"/>
      <c r="AI87" s="730"/>
      <c r="AJ87" s="730"/>
      <c r="AK87" s="730"/>
      <c r="AL87" s="730"/>
      <c r="AM87" s="730"/>
      <c r="AN87" s="730"/>
      <c r="AO87" s="730"/>
      <c r="AP87" s="730"/>
      <c r="AQ87" s="730"/>
      <c r="AR87" s="730"/>
      <c r="AS87" s="730"/>
      <c r="AT87" s="730"/>
      <c r="AU87" s="730"/>
      <c r="AV87" s="730"/>
      <c r="AW87" s="730"/>
      <c r="AX87" s="730"/>
      <c r="AY87" s="730"/>
      <c r="AZ87" s="730"/>
      <c r="BA87" s="730"/>
      <c r="BB87" s="730"/>
      <c r="BC87" s="730"/>
      <c r="BD87" s="730"/>
      <c r="BE87" s="730"/>
      <c r="BF87" s="730"/>
      <c r="BG87" s="730"/>
      <c r="BH87" s="730"/>
      <c r="BI87" s="730"/>
      <c r="BJ87" s="730"/>
      <c r="BK87" s="730"/>
      <c r="BL87" s="730"/>
    </row>
    <row r="88">
      <c r="A88" s="68"/>
      <c r="B88" s="749" t="s">
        <v>1183</v>
      </c>
      <c r="C88" s="745" t="s">
        <v>12</v>
      </c>
      <c r="D88" s="811" t="s">
        <v>69</v>
      </c>
      <c r="E88" s="863" t="s">
        <v>70</v>
      </c>
      <c r="F88" s="863" t="s">
        <v>70</v>
      </c>
      <c r="G88" s="863" t="s">
        <v>70</v>
      </c>
      <c r="H88" s="863" t="s">
        <v>70</v>
      </c>
      <c r="I88" s="811" t="s">
        <v>69</v>
      </c>
      <c r="J88" s="863" t="s">
        <v>70</v>
      </c>
      <c r="K88" s="864" t="s">
        <v>69</v>
      </c>
      <c r="L88" s="865" t="s">
        <v>69</v>
      </c>
      <c r="M88" s="877" t="s">
        <v>70</v>
      </c>
      <c r="N88" s="877" t="s">
        <v>70</v>
      </c>
      <c r="O88" s="811" t="s">
        <v>69</v>
      </c>
      <c r="P88" s="811"/>
      <c r="Q88" s="811" t="s">
        <v>69</v>
      </c>
      <c r="R88" s="864" t="s">
        <v>69</v>
      </c>
      <c r="S88" s="865" t="s">
        <v>69</v>
      </c>
      <c r="T88" s="812" t="s">
        <v>69</v>
      </c>
      <c r="U88" s="730"/>
      <c r="V88" s="730"/>
      <c r="W88" s="730"/>
      <c r="X88" s="730"/>
      <c r="Y88" s="730"/>
      <c r="Z88" s="730"/>
      <c r="AA88" s="730"/>
      <c r="AB88" s="730"/>
      <c r="AC88" s="730"/>
      <c r="AD88" s="730"/>
      <c r="AE88" s="730"/>
      <c r="AF88" s="730"/>
      <c r="AG88" s="730"/>
      <c r="AH88" s="730"/>
      <c r="AI88" s="730"/>
      <c r="AJ88" s="730"/>
      <c r="AK88" s="730"/>
      <c r="AL88" s="730"/>
      <c r="AM88" s="730"/>
      <c r="AN88" s="730"/>
      <c r="AO88" s="730"/>
      <c r="AP88" s="730"/>
      <c r="AQ88" s="730"/>
      <c r="AR88" s="730"/>
      <c r="AS88" s="730"/>
      <c r="AT88" s="730"/>
      <c r="AU88" s="730"/>
      <c r="AV88" s="730"/>
      <c r="AW88" s="730"/>
      <c r="AX88" s="730"/>
      <c r="AY88" s="730"/>
      <c r="AZ88" s="730"/>
      <c r="BA88" s="730"/>
      <c r="BB88" s="730"/>
      <c r="BC88" s="730"/>
      <c r="BD88" s="730"/>
      <c r="BE88" s="730"/>
      <c r="BF88" s="730"/>
      <c r="BG88" s="730"/>
      <c r="BH88" s="730"/>
      <c r="BI88" s="730"/>
      <c r="BJ88" s="730"/>
      <c r="BK88" s="730"/>
      <c r="BL88" s="730"/>
    </row>
    <row r="89">
      <c r="A89" s="68"/>
      <c r="B89" s="745" t="s">
        <v>65</v>
      </c>
      <c r="C89" s="745" t="s">
        <v>12</v>
      </c>
      <c r="D89" s="878"/>
      <c r="E89" s="878"/>
      <c r="F89" s="878"/>
      <c r="G89" s="878"/>
      <c r="H89" s="878"/>
      <c r="I89" s="878"/>
      <c r="J89" s="878"/>
      <c r="K89" s="879"/>
      <c r="L89" s="880"/>
      <c r="M89" s="880"/>
      <c r="N89" s="880"/>
      <c r="O89" s="880"/>
      <c r="P89" s="880"/>
      <c r="Q89" s="880"/>
      <c r="R89" s="881"/>
      <c r="S89" s="865" t="s">
        <v>69</v>
      </c>
      <c r="T89" s="812" t="s">
        <v>69</v>
      </c>
      <c r="U89" s="730"/>
      <c r="V89" s="730"/>
      <c r="W89" s="730"/>
      <c r="X89" s="730"/>
      <c r="Y89" s="730"/>
      <c r="Z89" s="730"/>
      <c r="AA89" s="730"/>
      <c r="AB89" s="730"/>
      <c r="AC89" s="730"/>
      <c r="AD89" s="730"/>
      <c r="AE89" s="730"/>
      <c r="AF89" s="730"/>
      <c r="AG89" s="730"/>
      <c r="AH89" s="730"/>
      <c r="AI89" s="730"/>
      <c r="AJ89" s="730"/>
      <c r="AK89" s="730"/>
      <c r="AL89" s="730"/>
      <c r="AM89" s="730"/>
      <c r="AN89" s="730"/>
      <c r="AO89" s="730"/>
      <c r="AP89" s="730"/>
      <c r="AQ89" s="730"/>
      <c r="AR89" s="730"/>
      <c r="AS89" s="730"/>
      <c r="AT89" s="730"/>
      <c r="AU89" s="730"/>
      <c r="AV89" s="730"/>
      <c r="AW89" s="730"/>
      <c r="AX89" s="730"/>
      <c r="AY89" s="730"/>
      <c r="AZ89" s="730"/>
      <c r="BA89" s="730"/>
      <c r="BB89" s="730"/>
      <c r="BC89" s="730"/>
      <c r="BD89" s="730"/>
      <c r="BE89" s="730"/>
      <c r="BF89" s="730"/>
      <c r="BG89" s="730"/>
      <c r="BH89" s="730"/>
      <c r="BI89" s="730"/>
      <c r="BJ89" s="730"/>
      <c r="BK89" s="730"/>
      <c r="BL89" s="730"/>
    </row>
    <row r="90">
      <c r="A90" s="68"/>
      <c r="B90" s="882" t="s">
        <v>1184</v>
      </c>
      <c r="C90" s="883" t="s">
        <v>12</v>
      </c>
      <c r="D90" s="811" t="s">
        <v>69</v>
      </c>
      <c r="E90" s="811" t="s">
        <v>69</v>
      </c>
      <c r="F90" s="811" t="s">
        <v>69</v>
      </c>
      <c r="G90" s="811" t="s">
        <v>69</v>
      </c>
      <c r="H90" s="811" t="s">
        <v>69</v>
      </c>
      <c r="I90" s="811" t="s">
        <v>69</v>
      </c>
      <c r="J90" s="811" t="s">
        <v>69</v>
      </c>
      <c r="K90" s="823" t="s">
        <v>70</v>
      </c>
      <c r="L90" s="819" t="s">
        <v>70</v>
      </c>
      <c r="M90" s="819" t="s">
        <v>70</v>
      </c>
      <c r="N90" s="819" t="s">
        <v>70</v>
      </c>
      <c r="O90" s="814" t="s">
        <v>69</v>
      </c>
      <c r="P90" s="814"/>
      <c r="Q90" s="814" t="s">
        <v>69</v>
      </c>
      <c r="R90" s="815" t="s">
        <v>69</v>
      </c>
      <c r="S90" s="865" t="s">
        <v>70</v>
      </c>
      <c r="T90" s="812" t="s">
        <v>70</v>
      </c>
      <c r="U90" s="730"/>
      <c r="V90" s="730"/>
      <c r="W90" s="730"/>
      <c r="X90" s="730"/>
      <c r="Y90" s="730"/>
      <c r="Z90" s="730"/>
      <c r="AA90" s="730"/>
      <c r="AB90" s="730"/>
      <c r="AC90" s="730"/>
      <c r="AD90" s="730"/>
      <c r="AE90" s="730"/>
      <c r="AF90" s="730"/>
      <c r="AG90" s="730"/>
      <c r="AH90" s="730"/>
      <c r="AI90" s="730"/>
      <c r="AJ90" s="730"/>
      <c r="AK90" s="730"/>
      <c r="AL90" s="730"/>
      <c r="AM90" s="730"/>
      <c r="AN90" s="730"/>
      <c r="AO90" s="730"/>
      <c r="AP90" s="730"/>
      <c r="AQ90" s="730"/>
      <c r="AR90" s="730"/>
      <c r="AS90" s="730"/>
      <c r="AT90" s="730"/>
      <c r="AU90" s="730"/>
      <c r="AV90" s="730"/>
      <c r="AW90" s="730"/>
      <c r="AX90" s="730"/>
      <c r="AY90" s="730"/>
      <c r="AZ90" s="730"/>
      <c r="BA90" s="730"/>
      <c r="BB90" s="730"/>
      <c r="BC90" s="730"/>
      <c r="BD90" s="730"/>
      <c r="BE90" s="730"/>
      <c r="BF90" s="730"/>
      <c r="BG90" s="730"/>
      <c r="BH90" s="730"/>
      <c r="BI90" s="730"/>
      <c r="BJ90" s="730"/>
      <c r="BK90" s="730"/>
      <c r="BL90" s="730"/>
    </row>
    <row r="91">
      <c r="A91" s="68"/>
      <c r="B91" s="884" t="s">
        <v>53</v>
      </c>
      <c r="C91" s="885" t="s">
        <v>25</v>
      </c>
      <c r="D91" s="811" t="s">
        <v>69</v>
      </c>
      <c r="E91" s="863" t="s">
        <v>70</v>
      </c>
      <c r="F91" s="863" t="s">
        <v>70</v>
      </c>
      <c r="G91" s="811" t="s">
        <v>69</v>
      </c>
      <c r="H91" s="811" t="s">
        <v>69</v>
      </c>
      <c r="I91" s="811" t="s">
        <v>69</v>
      </c>
      <c r="J91" s="811" t="s">
        <v>69</v>
      </c>
      <c r="K91" s="823" t="s">
        <v>70</v>
      </c>
      <c r="L91" s="865" t="s">
        <v>69</v>
      </c>
      <c r="M91" s="814" t="s">
        <v>69</v>
      </c>
      <c r="N91" s="814" t="s">
        <v>69</v>
      </c>
      <c r="O91" s="818" t="s">
        <v>99</v>
      </c>
      <c r="P91" s="818"/>
      <c r="Q91" s="814" t="s">
        <v>69</v>
      </c>
      <c r="R91" s="815" t="s">
        <v>69</v>
      </c>
      <c r="S91" s="865" t="s">
        <v>69</v>
      </c>
      <c r="T91" s="812" t="s">
        <v>69</v>
      </c>
      <c r="U91" s="730"/>
      <c r="V91" s="730"/>
      <c r="W91" s="730"/>
      <c r="X91" s="730"/>
      <c r="Y91" s="730"/>
      <c r="Z91" s="730"/>
      <c r="AA91" s="730"/>
      <c r="AB91" s="730"/>
      <c r="AC91" s="730"/>
      <c r="AD91" s="730"/>
      <c r="AE91" s="730"/>
      <c r="AF91" s="730"/>
      <c r="AG91" s="730"/>
      <c r="AH91" s="730"/>
      <c r="AI91" s="730"/>
      <c r="AJ91" s="730"/>
      <c r="AK91" s="730"/>
      <c r="AL91" s="730"/>
      <c r="AM91" s="730"/>
      <c r="AN91" s="730"/>
      <c r="AO91" s="730"/>
      <c r="AP91" s="730"/>
      <c r="AQ91" s="730"/>
      <c r="AR91" s="730"/>
      <c r="AS91" s="730"/>
      <c r="AT91" s="730"/>
      <c r="AU91" s="730"/>
      <c r="AV91" s="730"/>
      <c r="AW91" s="730"/>
      <c r="AX91" s="730"/>
      <c r="AY91" s="730"/>
      <c r="AZ91" s="730"/>
      <c r="BA91" s="730"/>
      <c r="BB91" s="730"/>
      <c r="BC91" s="730"/>
      <c r="BD91" s="730"/>
      <c r="BE91" s="730"/>
      <c r="BF91" s="730"/>
      <c r="BG91" s="730"/>
      <c r="BH91" s="730"/>
      <c r="BI91" s="730"/>
      <c r="BJ91" s="730"/>
      <c r="BK91" s="730"/>
      <c r="BL91" s="730"/>
    </row>
    <row r="92">
      <c r="A92" s="68"/>
      <c r="B92" s="886" t="s">
        <v>1185</v>
      </c>
      <c r="C92" s="887" t="s">
        <v>25</v>
      </c>
      <c r="D92" s="811" t="s">
        <v>69</v>
      </c>
      <c r="E92" s="863" t="s">
        <v>70</v>
      </c>
      <c r="F92" s="863" t="s">
        <v>70</v>
      </c>
      <c r="G92" s="811" t="s">
        <v>69</v>
      </c>
      <c r="H92" s="811" t="s">
        <v>69</v>
      </c>
      <c r="I92" s="811" t="s">
        <v>69</v>
      </c>
      <c r="J92" s="811" t="s">
        <v>69</v>
      </c>
      <c r="K92" s="823" t="s">
        <v>70</v>
      </c>
      <c r="L92" s="813" t="s">
        <v>69</v>
      </c>
      <c r="M92" s="814" t="s">
        <v>69</v>
      </c>
      <c r="N92" s="819" t="s">
        <v>70</v>
      </c>
      <c r="O92" s="814" t="s">
        <v>69</v>
      </c>
      <c r="P92" s="814"/>
      <c r="Q92" s="814" t="s">
        <v>69</v>
      </c>
      <c r="R92" s="815" t="s">
        <v>69</v>
      </c>
      <c r="S92" s="865" t="s">
        <v>69</v>
      </c>
      <c r="T92" s="812" t="s">
        <v>69</v>
      </c>
      <c r="U92" s="730"/>
      <c r="V92" s="730"/>
      <c r="W92" s="730"/>
      <c r="X92" s="730"/>
      <c r="Y92" s="730"/>
      <c r="Z92" s="730"/>
      <c r="AA92" s="730"/>
      <c r="AB92" s="730"/>
      <c r="AC92" s="730"/>
      <c r="AD92" s="730"/>
      <c r="AE92" s="730"/>
      <c r="AF92" s="730"/>
      <c r="AG92" s="730"/>
      <c r="AH92" s="730"/>
      <c r="AI92" s="730"/>
      <c r="AJ92" s="730"/>
      <c r="AK92" s="730"/>
      <c r="AL92" s="730"/>
      <c r="AM92" s="730"/>
      <c r="AN92" s="730"/>
      <c r="AO92" s="730"/>
      <c r="AP92" s="730"/>
      <c r="AQ92" s="730"/>
      <c r="AR92" s="730"/>
      <c r="AS92" s="730"/>
      <c r="AT92" s="730"/>
      <c r="AU92" s="730"/>
      <c r="AV92" s="730"/>
      <c r="AW92" s="730"/>
      <c r="AX92" s="730"/>
      <c r="AY92" s="730"/>
      <c r="AZ92" s="730"/>
      <c r="BA92" s="730"/>
      <c r="BB92" s="730"/>
      <c r="BC92" s="730"/>
      <c r="BD92" s="730"/>
      <c r="BE92" s="730"/>
      <c r="BF92" s="730"/>
      <c r="BG92" s="730"/>
      <c r="BH92" s="730"/>
      <c r="BI92" s="730"/>
      <c r="BJ92" s="730"/>
      <c r="BK92" s="730"/>
      <c r="BL92" s="730"/>
    </row>
    <row r="93">
      <c r="A93" s="888" t="s">
        <v>1186</v>
      </c>
      <c r="B93" s="767" t="s">
        <v>1187</v>
      </c>
      <c r="C93" s="889" t="s">
        <v>15</v>
      </c>
      <c r="D93" s="811" t="s">
        <v>69</v>
      </c>
      <c r="E93" s="811" t="s">
        <v>69</v>
      </c>
      <c r="F93" s="811" t="s">
        <v>69</v>
      </c>
      <c r="G93" s="811" t="s">
        <v>69</v>
      </c>
      <c r="H93" s="811" t="s">
        <v>69</v>
      </c>
      <c r="I93" s="810" t="s">
        <v>70</v>
      </c>
      <c r="J93" s="826" t="s">
        <v>69</v>
      </c>
      <c r="K93" s="823" t="s">
        <v>70</v>
      </c>
      <c r="L93" s="813" t="s">
        <v>69</v>
      </c>
      <c r="M93" s="814" t="s">
        <v>69</v>
      </c>
      <c r="N93" s="819" t="s">
        <v>70</v>
      </c>
      <c r="O93" s="814" t="s">
        <v>69</v>
      </c>
      <c r="P93" s="814"/>
      <c r="Q93" s="814" t="s">
        <v>69</v>
      </c>
      <c r="R93" s="815" t="s">
        <v>69</v>
      </c>
      <c r="S93" s="865" t="s">
        <v>69</v>
      </c>
      <c r="T93" s="812" t="s">
        <v>69</v>
      </c>
      <c r="U93" s="730"/>
      <c r="V93" s="730"/>
      <c r="W93" s="730"/>
      <c r="X93" s="730"/>
      <c r="Y93" s="730"/>
      <c r="Z93" s="730"/>
      <c r="AA93" s="730"/>
      <c r="AB93" s="730"/>
      <c r="AC93" s="730"/>
      <c r="AD93" s="730"/>
      <c r="AE93" s="730"/>
      <c r="AF93" s="730"/>
      <c r="AG93" s="730"/>
      <c r="AH93" s="730"/>
      <c r="AI93" s="730"/>
      <c r="AJ93" s="730"/>
      <c r="AK93" s="730"/>
      <c r="AL93" s="730"/>
      <c r="AM93" s="730"/>
      <c r="AN93" s="730"/>
      <c r="AO93" s="730"/>
      <c r="AP93" s="730"/>
      <c r="AQ93" s="730"/>
      <c r="AR93" s="730"/>
      <c r="AS93" s="730"/>
      <c r="AT93" s="730"/>
      <c r="AU93" s="730"/>
      <c r="AV93" s="730"/>
      <c r="AW93" s="730"/>
      <c r="AX93" s="730"/>
      <c r="AY93" s="730"/>
      <c r="AZ93" s="730"/>
      <c r="BA93" s="730"/>
      <c r="BB93" s="730"/>
      <c r="BC93" s="730"/>
      <c r="BD93" s="730"/>
      <c r="BE93" s="730"/>
      <c r="BF93" s="730"/>
      <c r="BG93" s="730"/>
      <c r="BH93" s="730"/>
      <c r="BI93" s="730"/>
      <c r="BJ93" s="730"/>
      <c r="BK93" s="730"/>
      <c r="BL93" s="730"/>
    </row>
    <row r="94">
      <c r="A94" s="68"/>
      <c r="B94" s="890" t="s">
        <v>148</v>
      </c>
      <c r="C94" s="890" t="s">
        <v>15</v>
      </c>
      <c r="D94" s="863" t="s">
        <v>70</v>
      </c>
      <c r="E94" s="811" t="s">
        <v>69</v>
      </c>
      <c r="F94" s="811" t="s">
        <v>69</v>
      </c>
      <c r="G94" s="811" t="s">
        <v>69</v>
      </c>
      <c r="H94" s="811" t="s">
        <v>69</v>
      </c>
      <c r="I94" s="810" t="s">
        <v>70</v>
      </c>
      <c r="J94" s="826" t="s">
        <v>69</v>
      </c>
      <c r="K94" s="823" t="s">
        <v>70</v>
      </c>
      <c r="L94" s="813" t="s">
        <v>69</v>
      </c>
      <c r="M94" s="814" t="s">
        <v>69</v>
      </c>
      <c r="N94" s="819" t="s">
        <v>70</v>
      </c>
      <c r="O94" s="814" t="s">
        <v>69</v>
      </c>
      <c r="P94" s="814"/>
      <c r="Q94" s="814" t="s">
        <v>69</v>
      </c>
      <c r="R94" s="815" t="s">
        <v>69</v>
      </c>
      <c r="S94" s="868" t="s">
        <v>100</v>
      </c>
      <c r="T94" s="869" t="s">
        <v>100</v>
      </c>
      <c r="U94" s="730"/>
      <c r="V94" s="730"/>
      <c r="W94" s="730"/>
      <c r="X94" s="730"/>
      <c r="Y94" s="730"/>
      <c r="Z94" s="730"/>
      <c r="AA94" s="730"/>
      <c r="AB94" s="730"/>
      <c r="AC94" s="730"/>
      <c r="AD94" s="730"/>
      <c r="AE94" s="730"/>
      <c r="AF94" s="730"/>
      <c r="AG94" s="730"/>
      <c r="AH94" s="730"/>
      <c r="AI94" s="730"/>
      <c r="AJ94" s="730"/>
      <c r="AK94" s="730"/>
      <c r="AL94" s="730"/>
      <c r="AM94" s="730"/>
      <c r="AN94" s="730"/>
      <c r="AO94" s="730"/>
      <c r="AP94" s="730"/>
      <c r="AQ94" s="730"/>
      <c r="AR94" s="730"/>
      <c r="AS94" s="730"/>
      <c r="AT94" s="730"/>
      <c r="AU94" s="730"/>
      <c r="AV94" s="730"/>
      <c r="AW94" s="730"/>
      <c r="AX94" s="730"/>
      <c r="AY94" s="730"/>
      <c r="AZ94" s="730"/>
      <c r="BA94" s="730"/>
      <c r="BB94" s="730"/>
      <c r="BC94" s="730"/>
      <c r="BD94" s="730"/>
      <c r="BE94" s="730"/>
      <c r="BF94" s="730"/>
      <c r="BG94" s="730"/>
      <c r="BH94" s="730"/>
      <c r="BI94" s="730"/>
      <c r="BJ94" s="730"/>
      <c r="BK94" s="730"/>
      <c r="BL94" s="730"/>
    </row>
    <row r="95">
      <c r="A95" s="68"/>
      <c r="B95" s="769" t="s">
        <v>59</v>
      </c>
      <c r="C95" s="890" t="s">
        <v>15</v>
      </c>
      <c r="D95" s="863" t="s">
        <v>70</v>
      </c>
      <c r="E95" s="818" t="s">
        <v>99</v>
      </c>
      <c r="F95" s="811" t="s">
        <v>69</v>
      </c>
      <c r="G95" s="811" t="s">
        <v>69</v>
      </c>
      <c r="H95" s="811" t="s">
        <v>69</v>
      </c>
      <c r="I95" s="810" t="s">
        <v>70</v>
      </c>
      <c r="J95" s="810" t="s">
        <v>70</v>
      </c>
      <c r="K95" s="864" t="s">
        <v>69</v>
      </c>
      <c r="L95" s="870" t="s">
        <v>100</v>
      </c>
      <c r="M95" s="829" t="s">
        <v>100</v>
      </c>
      <c r="N95" s="829" t="s">
        <v>100</v>
      </c>
      <c r="O95" s="829" t="s">
        <v>100</v>
      </c>
      <c r="P95" s="829"/>
      <c r="Q95" s="829" t="s">
        <v>100</v>
      </c>
      <c r="R95" s="830" t="s">
        <v>100</v>
      </c>
      <c r="S95" s="865" t="s">
        <v>69</v>
      </c>
      <c r="T95" s="812" t="s">
        <v>69</v>
      </c>
      <c r="U95" s="730"/>
      <c r="V95" s="730"/>
      <c r="W95" s="730"/>
      <c r="X95" s="730"/>
      <c r="Y95" s="730"/>
      <c r="Z95" s="730"/>
      <c r="AA95" s="730"/>
      <c r="AB95" s="730"/>
      <c r="AC95" s="730"/>
      <c r="AD95" s="730"/>
      <c r="AE95" s="730"/>
      <c r="AF95" s="730"/>
      <c r="AG95" s="730"/>
      <c r="AH95" s="730"/>
      <c r="AI95" s="730"/>
      <c r="AJ95" s="730"/>
      <c r="AK95" s="730"/>
      <c r="AL95" s="730"/>
      <c r="AM95" s="730"/>
      <c r="AN95" s="730"/>
      <c r="AO95" s="730"/>
      <c r="AP95" s="730"/>
      <c r="AQ95" s="730"/>
      <c r="AR95" s="730"/>
      <c r="AS95" s="730"/>
      <c r="AT95" s="730"/>
      <c r="AU95" s="730"/>
      <c r="AV95" s="730"/>
      <c r="AW95" s="730"/>
      <c r="AX95" s="730"/>
      <c r="AY95" s="730"/>
      <c r="AZ95" s="730"/>
      <c r="BA95" s="730"/>
      <c r="BB95" s="730"/>
      <c r="BC95" s="730"/>
      <c r="BD95" s="730"/>
      <c r="BE95" s="730"/>
      <c r="BF95" s="730"/>
      <c r="BG95" s="730"/>
      <c r="BH95" s="730"/>
      <c r="BI95" s="730"/>
      <c r="BJ95" s="730"/>
      <c r="BK95" s="730"/>
      <c r="BL95" s="730"/>
    </row>
    <row r="96">
      <c r="A96" s="68"/>
      <c r="B96" s="769" t="s">
        <v>60</v>
      </c>
      <c r="C96" s="890" t="s">
        <v>15</v>
      </c>
      <c r="D96" s="863" t="s">
        <v>70</v>
      </c>
      <c r="E96" s="811" t="s">
        <v>69</v>
      </c>
      <c r="F96" s="811" t="s">
        <v>69</v>
      </c>
      <c r="G96" s="811" t="s">
        <v>69</v>
      </c>
      <c r="H96" s="811" t="s">
        <v>69</v>
      </c>
      <c r="I96" s="810" t="s">
        <v>70</v>
      </c>
      <c r="J96" s="810" t="s">
        <v>70</v>
      </c>
      <c r="K96" s="864" t="s">
        <v>69</v>
      </c>
      <c r="L96" s="813" t="s">
        <v>69</v>
      </c>
      <c r="M96" s="814" t="s">
        <v>69</v>
      </c>
      <c r="N96" s="814" t="s">
        <v>69</v>
      </c>
      <c r="O96" s="814" t="s">
        <v>69</v>
      </c>
      <c r="P96" s="814"/>
      <c r="Q96" s="814" t="s">
        <v>69</v>
      </c>
      <c r="R96" s="815" t="s">
        <v>69</v>
      </c>
      <c r="S96" s="865" t="s">
        <v>69</v>
      </c>
      <c r="T96" s="812" t="s">
        <v>69</v>
      </c>
      <c r="U96" s="730"/>
      <c r="V96" s="730"/>
      <c r="W96" s="730"/>
      <c r="X96" s="730"/>
      <c r="Y96" s="730"/>
      <c r="Z96" s="730"/>
      <c r="AA96" s="730"/>
      <c r="AB96" s="730"/>
      <c r="AC96" s="730"/>
      <c r="AD96" s="730"/>
      <c r="AE96" s="730"/>
      <c r="AF96" s="730"/>
      <c r="AG96" s="730"/>
      <c r="AH96" s="730"/>
      <c r="AI96" s="730"/>
      <c r="AJ96" s="730"/>
      <c r="AK96" s="730"/>
      <c r="AL96" s="730"/>
      <c r="AM96" s="730"/>
      <c r="AN96" s="730"/>
      <c r="AO96" s="730"/>
      <c r="AP96" s="730"/>
      <c r="AQ96" s="730"/>
      <c r="AR96" s="730"/>
      <c r="AS96" s="730"/>
      <c r="AT96" s="730"/>
      <c r="AU96" s="730"/>
      <c r="AV96" s="730"/>
      <c r="AW96" s="730"/>
      <c r="AX96" s="730"/>
      <c r="AY96" s="730"/>
      <c r="AZ96" s="730"/>
      <c r="BA96" s="730"/>
      <c r="BB96" s="730"/>
      <c r="BC96" s="730"/>
      <c r="BD96" s="730"/>
      <c r="BE96" s="730"/>
      <c r="BF96" s="730"/>
      <c r="BG96" s="730"/>
      <c r="BH96" s="730"/>
      <c r="BI96" s="730"/>
      <c r="BJ96" s="730"/>
      <c r="BK96" s="730"/>
      <c r="BL96" s="730"/>
    </row>
    <row r="97">
      <c r="A97" s="68"/>
      <c r="B97" s="769" t="s">
        <v>102</v>
      </c>
      <c r="C97" s="890" t="s">
        <v>15</v>
      </c>
      <c r="D97" s="863" t="s">
        <v>70</v>
      </c>
      <c r="E97" s="811" t="s">
        <v>69</v>
      </c>
      <c r="F97" s="811" t="s">
        <v>69</v>
      </c>
      <c r="G97" s="811" t="s">
        <v>69</v>
      </c>
      <c r="H97" s="811" t="s">
        <v>69</v>
      </c>
      <c r="I97" s="810" t="s">
        <v>70</v>
      </c>
      <c r="J97" s="810" t="s">
        <v>70</v>
      </c>
      <c r="K97" s="823" t="s">
        <v>70</v>
      </c>
      <c r="L97" s="878" t="s">
        <v>100</v>
      </c>
      <c r="M97" s="878" t="s">
        <v>100</v>
      </c>
      <c r="N97" s="878" t="s">
        <v>100</v>
      </c>
      <c r="O97" s="878" t="s">
        <v>100</v>
      </c>
      <c r="P97" s="878"/>
      <c r="Q97" s="878" t="s">
        <v>100</v>
      </c>
      <c r="R97" s="891" t="s">
        <v>100</v>
      </c>
      <c r="S97" s="865" t="s">
        <v>69</v>
      </c>
      <c r="T97" s="812" t="s">
        <v>69</v>
      </c>
      <c r="U97" s="730"/>
      <c r="V97" s="730"/>
      <c r="W97" s="730"/>
      <c r="X97" s="730"/>
      <c r="Y97" s="730"/>
      <c r="Z97" s="730"/>
      <c r="AA97" s="730"/>
      <c r="AB97" s="730"/>
      <c r="AC97" s="730"/>
      <c r="AD97" s="730"/>
      <c r="AE97" s="730"/>
      <c r="AF97" s="730"/>
      <c r="AG97" s="730"/>
      <c r="AH97" s="730"/>
      <c r="AI97" s="730"/>
      <c r="AJ97" s="730"/>
      <c r="AK97" s="730"/>
      <c r="AL97" s="730"/>
      <c r="AM97" s="730"/>
      <c r="AN97" s="730"/>
      <c r="AO97" s="730"/>
      <c r="AP97" s="730"/>
      <c r="AQ97" s="730"/>
      <c r="AR97" s="730"/>
      <c r="AS97" s="730"/>
      <c r="AT97" s="730"/>
      <c r="AU97" s="730"/>
      <c r="AV97" s="730"/>
      <c r="AW97" s="730"/>
      <c r="AX97" s="730"/>
      <c r="AY97" s="730"/>
      <c r="AZ97" s="730"/>
      <c r="BA97" s="730"/>
      <c r="BB97" s="730"/>
      <c r="BC97" s="730"/>
      <c r="BD97" s="730"/>
      <c r="BE97" s="730"/>
      <c r="BF97" s="730"/>
      <c r="BG97" s="730"/>
      <c r="BH97" s="730"/>
      <c r="BI97" s="730"/>
      <c r="BJ97" s="730"/>
      <c r="BK97" s="730"/>
      <c r="BL97" s="730"/>
    </row>
    <row r="98">
      <c r="A98" s="68"/>
      <c r="B98" s="892" t="s">
        <v>1188</v>
      </c>
      <c r="C98" s="892" t="s">
        <v>1189</v>
      </c>
      <c r="D98" s="878" t="s">
        <v>100</v>
      </c>
      <c r="E98" s="878" t="s">
        <v>100</v>
      </c>
      <c r="F98" s="878" t="s">
        <v>100</v>
      </c>
      <c r="G98" s="878" t="s">
        <v>100</v>
      </c>
      <c r="H98" s="878" t="s">
        <v>100</v>
      </c>
      <c r="I98" s="878" t="s">
        <v>100</v>
      </c>
      <c r="J98" s="878" t="s">
        <v>100</v>
      </c>
      <c r="K98" s="891" t="s">
        <v>100</v>
      </c>
      <c r="L98" s="878" t="s">
        <v>100</v>
      </c>
      <c r="M98" s="878" t="s">
        <v>100</v>
      </c>
      <c r="N98" s="878" t="s">
        <v>100</v>
      </c>
      <c r="O98" s="878" t="s">
        <v>100</v>
      </c>
      <c r="P98" s="878"/>
      <c r="Q98" s="878" t="s">
        <v>100</v>
      </c>
      <c r="R98" s="891" t="s">
        <v>100</v>
      </c>
      <c r="S98" s="868" t="s">
        <v>100</v>
      </c>
      <c r="T98" s="869" t="s">
        <v>100</v>
      </c>
      <c r="U98" s="730"/>
      <c r="V98" s="730"/>
      <c r="W98" s="730"/>
      <c r="X98" s="730"/>
      <c r="Y98" s="730"/>
      <c r="Z98" s="730"/>
      <c r="AA98" s="730"/>
      <c r="AB98" s="730"/>
      <c r="AC98" s="730"/>
      <c r="AD98" s="730"/>
      <c r="AE98" s="730"/>
      <c r="AF98" s="730"/>
      <c r="AG98" s="730"/>
      <c r="AH98" s="730"/>
      <c r="AI98" s="730"/>
      <c r="AJ98" s="730"/>
      <c r="AK98" s="730"/>
      <c r="AL98" s="730"/>
      <c r="AM98" s="730"/>
      <c r="AN98" s="730"/>
      <c r="AO98" s="730"/>
      <c r="AP98" s="730"/>
      <c r="AQ98" s="730"/>
      <c r="AR98" s="730"/>
      <c r="AS98" s="730"/>
      <c r="AT98" s="730"/>
      <c r="AU98" s="730"/>
      <c r="AV98" s="730"/>
      <c r="AW98" s="730"/>
      <c r="AX98" s="730"/>
      <c r="AY98" s="730"/>
      <c r="AZ98" s="730"/>
      <c r="BA98" s="730"/>
      <c r="BB98" s="730"/>
      <c r="BC98" s="730"/>
      <c r="BD98" s="730"/>
      <c r="BE98" s="730"/>
      <c r="BF98" s="730"/>
      <c r="BG98" s="730"/>
      <c r="BH98" s="730"/>
      <c r="BI98" s="730"/>
      <c r="BJ98" s="730"/>
      <c r="BK98" s="730"/>
      <c r="BL98" s="730"/>
    </row>
    <row r="99">
      <c r="A99" s="68"/>
      <c r="B99" s="757" t="s">
        <v>1190</v>
      </c>
      <c r="C99" s="893" t="s">
        <v>23</v>
      </c>
      <c r="D99" s="811" t="s">
        <v>69</v>
      </c>
      <c r="E99" s="863" t="s">
        <v>70</v>
      </c>
      <c r="F99" s="811" t="s">
        <v>69</v>
      </c>
      <c r="G99" s="863" t="s">
        <v>70</v>
      </c>
      <c r="H99" s="811" t="s">
        <v>69</v>
      </c>
      <c r="I99" s="811" t="s">
        <v>69</v>
      </c>
      <c r="J99" s="811" t="s">
        <v>69</v>
      </c>
      <c r="K99" s="864" t="s">
        <v>69</v>
      </c>
      <c r="L99" s="813" t="s">
        <v>69</v>
      </c>
      <c r="M99" s="819" t="s">
        <v>70</v>
      </c>
      <c r="N99" s="814" t="s">
        <v>69</v>
      </c>
      <c r="O99" s="814" t="s">
        <v>69</v>
      </c>
      <c r="P99" s="814"/>
      <c r="Q99" s="814" t="s">
        <v>69</v>
      </c>
      <c r="R99" s="894" t="s">
        <v>70</v>
      </c>
      <c r="S99" s="865" t="s">
        <v>70</v>
      </c>
      <c r="T99" s="812" t="s">
        <v>70</v>
      </c>
      <c r="U99" s="730"/>
      <c r="V99" s="730"/>
      <c r="W99" s="730"/>
      <c r="X99" s="730"/>
      <c r="Y99" s="730"/>
      <c r="Z99" s="730"/>
      <c r="AA99" s="730"/>
      <c r="AB99" s="730"/>
      <c r="AC99" s="730"/>
      <c r="AD99" s="730"/>
      <c r="AE99" s="730"/>
      <c r="AF99" s="730"/>
      <c r="AG99" s="730"/>
      <c r="AH99" s="730"/>
      <c r="AI99" s="730"/>
      <c r="AJ99" s="730"/>
      <c r="AK99" s="730"/>
      <c r="AL99" s="730"/>
      <c r="AM99" s="730"/>
      <c r="AN99" s="730"/>
      <c r="AO99" s="730"/>
      <c r="AP99" s="730"/>
      <c r="AQ99" s="730"/>
      <c r="AR99" s="730"/>
      <c r="AS99" s="730"/>
      <c r="AT99" s="730"/>
      <c r="AU99" s="730"/>
      <c r="AV99" s="730"/>
      <c r="AW99" s="730"/>
      <c r="AX99" s="730"/>
      <c r="AY99" s="730"/>
      <c r="AZ99" s="730"/>
      <c r="BA99" s="730"/>
      <c r="BB99" s="730"/>
      <c r="BC99" s="730"/>
      <c r="BD99" s="730"/>
      <c r="BE99" s="730"/>
      <c r="BF99" s="730"/>
      <c r="BG99" s="730"/>
      <c r="BH99" s="730"/>
      <c r="BI99" s="730"/>
      <c r="BJ99" s="730"/>
      <c r="BK99" s="730"/>
      <c r="BL99" s="730"/>
    </row>
    <row r="100">
      <c r="A100" s="68"/>
      <c r="B100" s="759" t="s">
        <v>51</v>
      </c>
      <c r="C100" s="895" t="s">
        <v>23</v>
      </c>
      <c r="D100" s="878" t="s">
        <v>100</v>
      </c>
      <c r="E100" s="878" t="s">
        <v>100</v>
      </c>
      <c r="F100" s="878" t="s">
        <v>100</v>
      </c>
      <c r="G100" s="878" t="s">
        <v>100</v>
      </c>
      <c r="H100" s="878" t="s">
        <v>100</v>
      </c>
      <c r="I100" s="878" t="s">
        <v>100</v>
      </c>
      <c r="J100" s="878" t="s">
        <v>100</v>
      </c>
      <c r="K100" s="891" t="s">
        <v>100</v>
      </c>
      <c r="L100" s="813" t="s">
        <v>69</v>
      </c>
      <c r="M100" s="819" t="s">
        <v>70</v>
      </c>
      <c r="N100" s="814" t="s">
        <v>69</v>
      </c>
      <c r="O100" s="814" t="s">
        <v>69</v>
      </c>
      <c r="P100" s="814"/>
      <c r="Q100" s="814" t="s">
        <v>69</v>
      </c>
      <c r="R100" s="894" t="s">
        <v>70</v>
      </c>
      <c r="S100" s="865" t="s">
        <v>69</v>
      </c>
      <c r="T100" s="812" t="s">
        <v>69</v>
      </c>
      <c r="U100" s="730"/>
      <c r="V100" s="730"/>
      <c r="W100" s="730"/>
      <c r="X100" s="730"/>
      <c r="Y100" s="730"/>
      <c r="Z100" s="730"/>
      <c r="AA100" s="730"/>
      <c r="AB100" s="730"/>
      <c r="AC100" s="730"/>
      <c r="AD100" s="730"/>
      <c r="AE100" s="730"/>
      <c r="AF100" s="730"/>
      <c r="AG100" s="730"/>
      <c r="AH100" s="730"/>
      <c r="AI100" s="730"/>
      <c r="AJ100" s="730"/>
      <c r="AK100" s="730"/>
      <c r="AL100" s="730"/>
      <c r="AM100" s="730"/>
      <c r="AN100" s="730"/>
      <c r="AO100" s="730"/>
      <c r="AP100" s="730"/>
      <c r="AQ100" s="730"/>
      <c r="AR100" s="730"/>
      <c r="AS100" s="730"/>
      <c r="AT100" s="730"/>
      <c r="AU100" s="730"/>
      <c r="AV100" s="730"/>
      <c r="AW100" s="730"/>
      <c r="AX100" s="730"/>
      <c r="AY100" s="730"/>
      <c r="AZ100" s="730"/>
      <c r="BA100" s="730"/>
      <c r="BB100" s="730"/>
      <c r="BC100" s="730"/>
      <c r="BD100" s="730"/>
      <c r="BE100" s="730"/>
      <c r="BF100" s="730"/>
      <c r="BG100" s="730"/>
      <c r="BH100" s="730"/>
      <c r="BI100" s="730"/>
      <c r="BJ100" s="730"/>
      <c r="BK100" s="730"/>
      <c r="BL100" s="730"/>
    </row>
    <row r="101">
      <c r="A101" s="68"/>
      <c r="B101" s="759" t="s">
        <v>142</v>
      </c>
      <c r="C101" s="895" t="s">
        <v>23</v>
      </c>
      <c r="D101" s="878" t="s">
        <v>100</v>
      </c>
      <c r="E101" s="878" t="s">
        <v>100</v>
      </c>
      <c r="F101" s="878" t="s">
        <v>100</v>
      </c>
      <c r="G101" s="878" t="s">
        <v>100</v>
      </c>
      <c r="H101" s="878" t="s">
        <v>100</v>
      </c>
      <c r="I101" s="878" t="s">
        <v>100</v>
      </c>
      <c r="J101" s="878" t="s">
        <v>100</v>
      </c>
      <c r="K101" s="891" t="s">
        <v>100</v>
      </c>
      <c r="L101" s="813" t="s">
        <v>69</v>
      </c>
      <c r="M101" s="819" t="s">
        <v>70</v>
      </c>
      <c r="N101" s="814" t="s">
        <v>69</v>
      </c>
      <c r="O101" s="814" t="s">
        <v>69</v>
      </c>
      <c r="P101" s="814"/>
      <c r="Q101" s="814" t="s">
        <v>69</v>
      </c>
      <c r="R101" s="894" t="s">
        <v>70</v>
      </c>
      <c r="S101" s="865" t="s">
        <v>70</v>
      </c>
      <c r="T101" s="812" t="s">
        <v>70</v>
      </c>
      <c r="U101" s="730"/>
      <c r="V101" s="730"/>
      <c r="W101" s="730"/>
      <c r="X101" s="730"/>
      <c r="Y101" s="730"/>
      <c r="Z101" s="730"/>
      <c r="AA101" s="730"/>
      <c r="AB101" s="730"/>
      <c r="AC101" s="730"/>
      <c r="AD101" s="730"/>
      <c r="AE101" s="730"/>
      <c r="AF101" s="730"/>
      <c r="AG101" s="730"/>
      <c r="AH101" s="730"/>
      <c r="AI101" s="730"/>
      <c r="AJ101" s="730"/>
      <c r="AK101" s="730"/>
      <c r="AL101" s="730"/>
      <c r="AM101" s="730"/>
      <c r="AN101" s="730"/>
      <c r="AO101" s="730"/>
      <c r="AP101" s="730"/>
      <c r="AQ101" s="730"/>
      <c r="AR101" s="730"/>
      <c r="AS101" s="730"/>
      <c r="AT101" s="730"/>
      <c r="AU101" s="730"/>
      <c r="AV101" s="730"/>
      <c r="AW101" s="730"/>
      <c r="AX101" s="730"/>
      <c r="AY101" s="730"/>
      <c r="AZ101" s="730"/>
      <c r="BA101" s="730"/>
      <c r="BB101" s="730"/>
      <c r="BC101" s="730"/>
      <c r="BD101" s="730"/>
      <c r="BE101" s="730"/>
      <c r="BF101" s="730"/>
      <c r="BG101" s="730"/>
      <c r="BH101" s="730"/>
      <c r="BI101" s="730"/>
      <c r="BJ101" s="730"/>
      <c r="BK101" s="730"/>
      <c r="BL101" s="730"/>
    </row>
    <row r="102">
      <c r="A102" s="896"/>
      <c r="B102" s="897" t="s">
        <v>1191</v>
      </c>
      <c r="C102" s="898" t="s">
        <v>23</v>
      </c>
      <c r="D102" s="811" t="s">
        <v>69</v>
      </c>
      <c r="E102" s="863" t="s">
        <v>70</v>
      </c>
      <c r="F102" s="811" t="s">
        <v>69</v>
      </c>
      <c r="G102" s="863" t="s">
        <v>70</v>
      </c>
      <c r="H102" s="811" t="s">
        <v>69</v>
      </c>
      <c r="I102" s="811" t="s">
        <v>69</v>
      </c>
      <c r="J102" s="811" t="s">
        <v>69</v>
      </c>
      <c r="K102" s="864" t="s">
        <v>69</v>
      </c>
      <c r="L102" s="819" t="s">
        <v>70</v>
      </c>
      <c r="M102" s="819" t="s">
        <v>70</v>
      </c>
      <c r="N102" s="814" t="s">
        <v>69</v>
      </c>
      <c r="O102" s="814" t="s">
        <v>69</v>
      </c>
      <c r="P102" s="814"/>
      <c r="Q102" s="814" t="s">
        <v>69</v>
      </c>
      <c r="R102" s="894" t="s">
        <v>70</v>
      </c>
      <c r="S102" s="865" t="s">
        <v>70</v>
      </c>
      <c r="T102" s="812" t="s">
        <v>70</v>
      </c>
      <c r="U102" s="730"/>
      <c r="V102" s="730"/>
      <c r="W102" s="730"/>
      <c r="X102" s="730"/>
      <c r="Y102" s="730"/>
      <c r="Z102" s="730"/>
      <c r="AA102" s="730"/>
      <c r="AB102" s="730"/>
      <c r="AC102" s="730"/>
      <c r="AD102" s="730"/>
      <c r="AE102" s="730"/>
      <c r="AF102" s="730"/>
      <c r="AG102" s="730"/>
      <c r="AH102" s="730"/>
      <c r="AI102" s="730"/>
      <c r="AJ102" s="730"/>
      <c r="AK102" s="730"/>
      <c r="AL102" s="730"/>
      <c r="AM102" s="730"/>
      <c r="AN102" s="730"/>
      <c r="AO102" s="730"/>
      <c r="AP102" s="730"/>
      <c r="AQ102" s="730"/>
      <c r="AR102" s="730"/>
      <c r="AS102" s="730"/>
      <c r="AT102" s="730"/>
      <c r="AU102" s="730"/>
      <c r="AV102" s="730"/>
      <c r="AW102" s="730"/>
      <c r="AX102" s="730"/>
      <c r="AY102" s="730"/>
      <c r="AZ102" s="730"/>
      <c r="BA102" s="730"/>
      <c r="BB102" s="730"/>
      <c r="BC102" s="730"/>
      <c r="BD102" s="730"/>
      <c r="BE102" s="730"/>
      <c r="BF102" s="730"/>
      <c r="BG102" s="730"/>
      <c r="BH102" s="730"/>
      <c r="BI102" s="730"/>
      <c r="BJ102" s="730"/>
      <c r="BK102" s="730"/>
      <c r="BL102" s="730"/>
    </row>
    <row r="103">
      <c r="A103" s="899" t="s">
        <v>68</v>
      </c>
      <c r="B103" s="900"/>
      <c r="D103" s="858"/>
    </row>
    <row r="104">
      <c r="A104" s="901"/>
      <c r="B104" s="790" t="s">
        <v>69</v>
      </c>
      <c r="D104" s="791">
        <f t="shared" ref="D104:O104" si="15">COUNTIF(D74:D102,"Voor")</f>
        <v>8</v>
      </c>
      <c r="E104" s="791">
        <f t="shared" si="15"/>
        <v>13</v>
      </c>
      <c r="F104" s="791">
        <f t="shared" si="15"/>
        <v>11</v>
      </c>
      <c r="G104" s="791">
        <f t="shared" si="15"/>
        <v>16</v>
      </c>
      <c r="H104" s="791">
        <f t="shared" si="15"/>
        <v>14</v>
      </c>
      <c r="I104" s="791">
        <f t="shared" si="15"/>
        <v>7</v>
      </c>
      <c r="J104" s="791">
        <f t="shared" si="15"/>
        <v>7</v>
      </c>
      <c r="K104" s="343">
        <f t="shared" si="15"/>
        <v>10</v>
      </c>
      <c r="L104" s="791">
        <f t="shared" si="15"/>
        <v>10</v>
      </c>
      <c r="M104" s="791">
        <f t="shared" si="15"/>
        <v>6</v>
      </c>
      <c r="N104" s="791">
        <f t="shared" si="15"/>
        <v>9</v>
      </c>
      <c r="O104" s="791">
        <f t="shared" si="15"/>
        <v>16</v>
      </c>
      <c r="P104" s="791"/>
      <c r="Q104" s="791">
        <f t="shared" ref="Q104:T104" si="16">COUNTIF(Q74:Q102,"Voor")</f>
        <v>17</v>
      </c>
      <c r="R104" s="343">
        <f t="shared" si="16"/>
        <v>13</v>
      </c>
      <c r="S104" s="902">
        <f t="shared" si="16"/>
        <v>12</v>
      </c>
      <c r="T104" s="343">
        <f t="shared" si="16"/>
        <v>12</v>
      </c>
      <c r="U104" s="730"/>
      <c r="V104" s="730"/>
      <c r="W104" s="730"/>
      <c r="X104" s="730"/>
      <c r="Y104" s="730"/>
      <c r="Z104" s="730"/>
      <c r="AA104" s="730"/>
      <c r="AB104" s="730"/>
      <c r="AC104" s="730"/>
      <c r="AD104" s="730"/>
      <c r="AE104" s="730"/>
      <c r="AF104" s="730"/>
      <c r="AG104" s="730"/>
      <c r="AH104" s="730"/>
      <c r="AI104" s="730"/>
      <c r="AJ104" s="730"/>
      <c r="AK104" s="730"/>
      <c r="AL104" s="730"/>
      <c r="AM104" s="730"/>
      <c r="AN104" s="730"/>
      <c r="AO104" s="730"/>
      <c r="AP104" s="730"/>
      <c r="AQ104" s="730"/>
      <c r="AR104" s="730"/>
      <c r="AS104" s="730"/>
      <c r="AT104" s="730"/>
      <c r="AU104" s="730"/>
      <c r="AV104" s="730"/>
      <c r="AW104" s="730"/>
      <c r="AX104" s="730"/>
      <c r="AY104" s="730"/>
      <c r="AZ104" s="730"/>
      <c r="BA104" s="730"/>
      <c r="BB104" s="730"/>
      <c r="BC104" s="730"/>
      <c r="BD104" s="730"/>
      <c r="BE104" s="730"/>
      <c r="BF104" s="730"/>
      <c r="BG104" s="730"/>
      <c r="BH104" s="730"/>
      <c r="BI104" s="730"/>
      <c r="BJ104" s="730"/>
      <c r="BK104" s="730"/>
      <c r="BL104" s="730"/>
    </row>
    <row r="105">
      <c r="A105" s="901"/>
      <c r="B105" s="792" t="s">
        <v>70</v>
      </c>
      <c r="D105" s="793">
        <f t="shared" ref="D105:O105" si="17">COUNTIF(D74:D102,"Tegen")</f>
        <v>12</v>
      </c>
      <c r="E105" s="793">
        <f t="shared" si="17"/>
        <v>6</v>
      </c>
      <c r="F105" s="793">
        <f t="shared" si="17"/>
        <v>8</v>
      </c>
      <c r="G105" s="793">
        <f t="shared" si="17"/>
        <v>4</v>
      </c>
      <c r="H105" s="793">
        <f t="shared" si="17"/>
        <v>5</v>
      </c>
      <c r="I105" s="793">
        <f t="shared" si="17"/>
        <v>13</v>
      </c>
      <c r="J105" s="793">
        <f t="shared" si="17"/>
        <v>13</v>
      </c>
      <c r="K105" s="345">
        <f t="shared" si="17"/>
        <v>10</v>
      </c>
      <c r="L105" s="793">
        <f t="shared" si="17"/>
        <v>7</v>
      </c>
      <c r="M105" s="793">
        <f t="shared" si="17"/>
        <v>11</v>
      </c>
      <c r="N105" s="793">
        <f t="shared" si="17"/>
        <v>6</v>
      </c>
      <c r="O105" s="793">
        <f t="shared" si="17"/>
        <v>0</v>
      </c>
      <c r="P105" s="793"/>
      <c r="Q105" s="793">
        <f t="shared" ref="Q105:T105" si="18">COUNTIF(Q74:Q102,"Tegen")</f>
        <v>0</v>
      </c>
      <c r="R105" s="345">
        <f t="shared" si="18"/>
        <v>4</v>
      </c>
      <c r="S105" s="903">
        <f t="shared" si="18"/>
        <v>4</v>
      </c>
      <c r="T105" s="345">
        <f t="shared" si="18"/>
        <v>4</v>
      </c>
      <c r="U105" s="730"/>
      <c r="V105" s="730"/>
      <c r="W105" s="730"/>
      <c r="X105" s="730"/>
      <c r="Y105" s="730"/>
      <c r="Z105" s="730"/>
      <c r="AA105" s="730"/>
      <c r="AB105" s="730"/>
      <c r="AC105" s="730"/>
      <c r="AD105" s="730"/>
      <c r="AE105" s="730"/>
      <c r="AF105" s="730"/>
      <c r="AG105" s="730"/>
      <c r="AH105" s="730"/>
      <c r="AI105" s="730"/>
      <c r="AJ105" s="730"/>
      <c r="AK105" s="730"/>
      <c r="AL105" s="730"/>
      <c r="AM105" s="730"/>
      <c r="AN105" s="730"/>
      <c r="AO105" s="730"/>
      <c r="AP105" s="730"/>
      <c r="AQ105" s="730"/>
      <c r="AR105" s="730"/>
      <c r="AS105" s="730"/>
      <c r="AT105" s="730"/>
      <c r="AU105" s="730"/>
      <c r="AV105" s="730"/>
      <c r="AW105" s="730"/>
      <c r="AX105" s="730"/>
      <c r="AY105" s="730"/>
      <c r="AZ105" s="730"/>
      <c r="BA105" s="730"/>
      <c r="BB105" s="730"/>
      <c r="BC105" s="730"/>
      <c r="BD105" s="730"/>
      <c r="BE105" s="730"/>
      <c r="BF105" s="730"/>
      <c r="BG105" s="730"/>
      <c r="BH105" s="730"/>
      <c r="BI105" s="730"/>
      <c r="BJ105" s="730"/>
      <c r="BK105" s="730"/>
      <c r="BL105" s="730"/>
    </row>
    <row r="106">
      <c r="A106" s="901"/>
      <c r="B106" s="794" t="s">
        <v>71</v>
      </c>
      <c r="D106" s="795">
        <f t="shared" ref="D106:O106" si="19">COUNTIF(D74:D102,"SO")</f>
        <v>0</v>
      </c>
      <c r="E106" s="795">
        <f t="shared" si="19"/>
        <v>1</v>
      </c>
      <c r="F106" s="795">
        <f t="shared" si="19"/>
        <v>1</v>
      </c>
      <c r="G106" s="795">
        <f t="shared" si="19"/>
        <v>0</v>
      </c>
      <c r="H106" s="795">
        <f t="shared" si="19"/>
        <v>1</v>
      </c>
      <c r="I106" s="795">
        <f t="shared" si="19"/>
        <v>0</v>
      </c>
      <c r="J106" s="795">
        <f t="shared" si="19"/>
        <v>0</v>
      </c>
      <c r="K106" s="348">
        <f t="shared" si="19"/>
        <v>0</v>
      </c>
      <c r="L106" s="795">
        <f t="shared" si="19"/>
        <v>0</v>
      </c>
      <c r="M106" s="795">
        <f t="shared" si="19"/>
        <v>0</v>
      </c>
      <c r="N106" s="795">
        <f t="shared" si="19"/>
        <v>2</v>
      </c>
      <c r="O106" s="795">
        <f t="shared" si="19"/>
        <v>1</v>
      </c>
      <c r="P106" s="795"/>
      <c r="Q106" s="795">
        <f t="shared" ref="Q106:T106" si="20">COUNTIF(Q74:Q102,"SO")</f>
        <v>0</v>
      </c>
      <c r="R106" s="348">
        <f t="shared" si="20"/>
        <v>0</v>
      </c>
      <c r="S106" s="904">
        <f t="shared" si="20"/>
        <v>0</v>
      </c>
      <c r="T106" s="348">
        <f t="shared" si="20"/>
        <v>0</v>
      </c>
      <c r="U106" s="730"/>
      <c r="V106" s="730"/>
      <c r="W106" s="730"/>
      <c r="X106" s="730"/>
      <c r="Y106" s="730"/>
      <c r="Z106" s="730"/>
      <c r="AA106" s="730"/>
      <c r="AB106" s="730"/>
      <c r="AC106" s="730"/>
      <c r="AD106" s="730"/>
      <c r="AE106" s="730"/>
      <c r="AF106" s="730"/>
      <c r="AG106" s="730"/>
      <c r="AH106" s="730"/>
      <c r="AI106" s="730"/>
      <c r="AJ106" s="730"/>
      <c r="AK106" s="730"/>
      <c r="AL106" s="730"/>
      <c r="AM106" s="730"/>
      <c r="AN106" s="730"/>
      <c r="AO106" s="730"/>
      <c r="AP106" s="730"/>
      <c r="AQ106" s="730"/>
      <c r="AR106" s="730"/>
      <c r="AS106" s="730"/>
      <c r="AT106" s="730"/>
      <c r="AU106" s="730"/>
      <c r="AV106" s="730"/>
      <c r="AW106" s="730"/>
      <c r="AX106" s="730"/>
      <c r="AY106" s="730"/>
      <c r="AZ106" s="730"/>
      <c r="BA106" s="730"/>
      <c r="BB106" s="730"/>
      <c r="BC106" s="730"/>
      <c r="BD106" s="730"/>
      <c r="BE106" s="730"/>
      <c r="BF106" s="730"/>
      <c r="BG106" s="730"/>
      <c r="BH106" s="730"/>
      <c r="BI106" s="730"/>
      <c r="BJ106" s="730"/>
      <c r="BK106" s="730"/>
      <c r="BL106" s="730"/>
    </row>
    <row r="107">
      <c r="A107" s="901"/>
      <c r="B107" s="796" t="s">
        <v>72</v>
      </c>
      <c r="D107" s="797">
        <f t="shared" ref="D107:O107" si="21">COUNTIF(D74:D102,"NG")</f>
        <v>5</v>
      </c>
      <c r="E107" s="797">
        <f t="shared" si="21"/>
        <v>5</v>
      </c>
      <c r="F107" s="797">
        <f t="shared" si="21"/>
        <v>5</v>
      </c>
      <c r="G107" s="797">
        <f t="shared" si="21"/>
        <v>5</v>
      </c>
      <c r="H107" s="797">
        <f t="shared" si="21"/>
        <v>5</v>
      </c>
      <c r="I107" s="797">
        <f t="shared" si="21"/>
        <v>5</v>
      </c>
      <c r="J107" s="797">
        <f t="shared" si="21"/>
        <v>5</v>
      </c>
      <c r="K107" s="351">
        <f t="shared" si="21"/>
        <v>5</v>
      </c>
      <c r="L107" s="797">
        <f t="shared" si="21"/>
        <v>7</v>
      </c>
      <c r="M107" s="797">
        <f t="shared" si="21"/>
        <v>8</v>
      </c>
      <c r="N107" s="797">
        <f t="shared" si="21"/>
        <v>8</v>
      </c>
      <c r="O107" s="797">
        <f t="shared" si="21"/>
        <v>8</v>
      </c>
      <c r="P107" s="797"/>
      <c r="Q107" s="797">
        <f t="shared" ref="Q107:T107" si="22">COUNTIF(Q74:Q102,"NG")</f>
        <v>8</v>
      </c>
      <c r="R107" s="351">
        <f t="shared" si="22"/>
        <v>8</v>
      </c>
      <c r="S107" s="905">
        <f t="shared" si="22"/>
        <v>10</v>
      </c>
      <c r="T107" s="351">
        <f t="shared" si="22"/>
        <v>10</v>
      </c>
      <c r="U107" s="730"/>
      <c r="V107" s="730"/>
      <c r="W107" s="730"/>
      <c r="X107" s="730"/>
      <c r="Y107" s="730"/>
      <c r="Z107" s="730"/>
      <c r="AA107" s="730"/>
      <c r="AB107" s="730"/>
      <c r="AC107" s="730"/>
      <c r="AD107" s="730"/>
      <c r="AE107" s="730"/>
      <c r="AF107" s="730"/>
      <c r="AG107" s="730"/>
      <c r="AH107" s="730"/>
      <c r="AI107" s="730"/>
      <c r="AJ107" s="730"/>
      <c r="AK107" s="730"/>
      <c r="AL107" s="730"/>
      <c r="AM107" s="730"/>
      <c r="AN107" s="730"/>
      <c r="AO107" s="730"/>
      <c r="AP107" s="730"/>
      <c r="AQ107" s="730"/>
      <c r="AR107" s="730"/>
      <c r="AS107" s="730"/>
      <c r="AT107" s="730"/>
      <c r="AU107" s="730"/>
      <c r="AV107" s="730"/>
      <c r="AW107" s="730"/>
      <c r="AX107" s="730"/>
      <c r="AY107" s="730"/>
      <c r="AZ107" s="730"/>
      <c r="BA107" s="730"/>
      <c r="BB107" s="730"/>
      <c r="BC107" s="730"/>
      <c r="BD107" s="730"/>
      <c r="BE107" s="730"/>
      <c r="BF107" s="730"/>
      <c r="BG107" s="730"/>
      <c r="BH107" s="730"/>
      <c r="BI107" s="730"/>
      <c r="BJ107" s="730"/>
      <c r="BK107" s="730"/>
      <c r="BL107" s="730"/>
    </row>
    <row r="108">
      <c r="A108" s="901"/>
      <c r="B108" s="798" t="s">
        <v>73</v>
      </c>
      <c r="D108" s="799">
        <f t="shared" ref="D108:O108" si="23">SUM(D104:D107)</f>
        <v>25</v>
      </c>
      <c r="E108" s="799">
        <f t="shared" si="23"/>
        <v>25</v>
      </c>
      <c r="F108" s="799">
        <f t="shared" si="23"/>
        <v>25</v>
      </c>
      <c r="G108" s="799">
        <f t="shared" si="23"/>
        <v>25</v>
      </c>
      <c r="H108" s="799">
        <f t="shared" si="23"/>
        <v>25</v>
      </c>
      <c r="I108" s="799">
        <f t="shared" si="23"/>
        <v>25</v>
      </c>
      <c r="J108" s="799">
        <f t="shared" si="23"/>
        <v>25</v>
      </c>
      <c r="K108" s="353">
        <f t="shared" si="23"/>
        <v>25</v>
      </c>
      <c r="L108" s="799">
        <f t="shared" si="23"/>
        <v>24</v>
      </c>
      <c r="M108" s="799">
        <f t="shared" si="23"/>
        <v>25</v>
      </c>
      <c r="N108" s="799">
        <f t="shared" si="23"/>
        <v>25</v>
      </c>
      <c r="O108" s="799">
        <f t="shared" si="23"/>
        <v>25</v>
      </c>
      <c r="P108" s="799"/>
      <c r="Q108" s="799">
        <f t="shared" ref="Q108:T108" si="24">SUM(Q104:Q107)</f>
        <v>25</v>
      </c>
      <c r="R108" s="353">
        <f t="shared" si="24"/>
        <v>25</v>
      </c>
      <c r="S108" s="906">
        <f t="shared" si="24"/>
        <v>26</v>
      </c>
      <c r="T108" s="353">
        <f t="shared" si="24"/>
        <v>26</v>
      </c>
      <c r="U108" s="730"/>
      <c r="V108" s="730"/>
      <c r="W108" s="730"/>
      <c r="X108" s="730"/>
      <c r="Y108" s="730"/>
      <c r="Z108" s="730"/>
      <c r="AA108" s="730"/>
      <c r="AB108" s="730"/>
      <c r="AC108" s="730"/>
      <c r="AD108" s="730"/>
      <c r="AE108" s="730"/>
      <c r="AF108" s="730"/>
      <c r="AG108" s="730"/>
      <c r="AH108" s="730"/>
      <c r="AI108" s="730"/>
      <c r="AJ108" s="730"/>
      <c r="AK108" s="730"/>
      <c r="AL108" s="730"/>
      <c r="AM108" s="730"/>
      <c r="AN108" s="730"/>
      <c r="AO108" s="730"/>
      <c r="AP108" s="730"/>
      <c r="AQ108" s="730"/>
      <c r="AR108" s="730"/>
      <c r="AS108" s="730"/>
      <c r="AT108" s="730"/>
      <c r="AU108" s="730"/>
      <c r="AV108" s="730"/>
      <c r="AW108" s="730"/>
      <c r="AX108" s="730"/>
      <c r="AY108" s="730"/>
      <c r="AZ108" s="730"/>
      <c r="BA108" s="730"/>
      <c r="BB108" s="730"/>
      <c r="BC108" s="730"/>
      <c r="BD108" s="730"/>
      <c r="BE108" s="730"/>
      <c r="BF108" s="730"/>
      <c r="BG108" s="730"/>
      <c r="BH108" s="730"/>
      <c r="BI108" s="730"/>
      <c r="BJ108" s="730"/>
      <c r="BK108" s="730"/>
      <c r="BL108" s="730"/>
    </row>
    <row r="109">
      <c r="A109" s="901"/>
      <c r="B109" s="800" t="s">
        <v>74</v>
      </c>
      <c r="D109" s="801">
        <f t="shared" ref="D109:O109" si="25">D104+D105+D106</f>
        <v>20</v>
      </c>
      <c r="E109" s="801">
        <f t="shared" si="25"/>
        <v>20</v>
      </c>
      <c r="F109" s="801">
        <f t="shared" si="25"/>
        <v>20</v>
      </c>
      <c r="G109" s="801">
        <f t="shared" si="25"/>
        <v>20</v>
      </c>
      <c r="H109" s="801">
        <f t="shared" si="25"/>
        <v>20</v>
      </c>
      <c r="I109" s="801">
        <f t="shared" si="25"/>
        <v>20</v>
      </c>
      <c r="J109" s="801">
        <f t="shared" si="25"/>
        <v>20</v>
      </c>
      <c r="K109" s="355">
        <f t="shared" si="25"/>
        <v>20</v>
      </c>
      <c r="L109" s="801">
        <f t="shared" si="25"/>
        <v>17</v>
      </c>
      <c r="M109" s="801">
        <f t="shared" si="25"/>
        <v>17</v>
      </c>
      <c r="N109" s="801">
        <f t="shared" si="25"/>
        <v>17</v>
      </c>
      <c r="O109" s="801">
        <f t="shared" si="25"/>
        <v>17</v>
      </c>
      <c r="P109" s="801"/>
      <c r="Q109" s="801">
        <f t="shared" ref="Q109:T109" si="26">Q104+Q105+Q106</f>
        <v>17</v>
      </c>
      <c r="R109" s="355">
        <f t="shared" si="26"/>
        <v>17</v>
      </c>
      <c r="S109" s="907">
        <f t="shared" si="26"/>
        <v>16</v>
      </c>
      <c r="T109" s="355">
        <f t="shared" si="26"/>
        <v>16</v>
      </c>
      <c r="U109" s="730"/>
      <c r="V109" s="730"/>
      <c r="W109" s="730"/>
      <c r="X109" s="730"/>
      <c r="Y109" s="730"/>
      <c r="Z109" s="730"/>
      <c r="AA109" s="730"/>
      <c r="AB109" s="730"/>
      <c r="AC109" s="730"/>
      <c r="AD109" s="730"/>
      <c r="AE109" s="730"/>
      <c r="AF109" s="730"/>
      <c r="AG109" s="730"/>
      <c r="AH109" s="730"/>
      <c r="AI109" s="730"/>
      <c r="AJ109" s="730"/>
      <c r="AK109" s="730"/>
      <c r="AL109" s="730"/>
      <c r="AM109" s="730"/>
      <c r="AN109" s="730"/>
      <c r="AO109" s="730"/>
      <c r="AP109" s="730"/>
      <c r="AQ109" s="730"/>
      <c r="AR109" s="730"/>
      <c r="AS109" s="730"/>
      <c r="AT109" s="730"/>
      <c r="AU109" s="730"/>
      <c r="AV109" s="730"/>
      <c r="AW109" s="730"/>
      <c r="AX109" s="730"/>
      <c r="AY109" s="730"/>
      <c r="AZ109" s="730"/>
      <c r="BA109" s="730"/>
      <c r="BB109" s="730"/>
      <c r="BC109" s="730"/>
      <c r="BD109" s="730"/>
      <c r="BE109" s="730"/>
      <c r="BF109" s="730"/>
      <c r="BG109" s="730"/>
      <c r="BH109" s="730"/>
      <c r="BI109" s="730"/>
      <c r="BJ109" s="730"/>
      <c r="BK109" s="730"/>
      <c r="BL109" s="730"/>
    </row>
    <row r="110">
      <c r="A110" s="901"/>
      <c r="B110" s="854" t="s">
        <v>75</v>
      </c>
      <c r="D110" s="908">
        <f t="shared" ref="D110:O110" si="27">IFERROR(D109/D108,"")</f>
        <v>0.8</v>
      </c>
      <c r="E110" s="908">
        <f t="shared" si="27"/>
        <v>0.8</v>
      </c>
      <c r="F110" s="908">
        <f t="shared" si="27"/>
        <v>0.8</v>
      </c>
      <c r="G110" s="908">
        <f t="shared" si="27"/>
        <v>0.8</v>
      </c>
      <c r="H110" s="908">
        <f t="shared" si="27"/>
        <v>0.8</v>
      </c>
      <c r="I110" s="908">
        <f t="shared" si="27"/>
        <v>0.8</v>
      </c>
      <c r="J110" s="908">
        <f t="shared" si="27"/>
        <v>0.8</v>
      </c>
      <c r="K110" s="909">
        <f t="shared" si="27"/>
        <v>0.8</v>
      </c>
      <c r="L110" s="908">
        <f t="shared" si="27"/>
        <v>0.7083333333</v>
      </c>
      <c r="M110" s="908">
        <f t="shared" si="27"/>
        <v>0.68</v>
      </c>
      <c r="N110" s="908">
        <f t="shared" si="27"/>
        <v>0.68</v>
      </c>
      <c r="O110" s="908">
        <f t="shared" si="27"/>
        <v>0.68</v>
      </c>
      <c r="P110" s="908"/>
      <c r="Q110" s="908">
        <f t="shared" ref="Q110:T110" si="28">IFERROR(Q109/Q108,"")</f>
        <v>0.68</v>
      </c>
      <c r="R110" s="909">
        <f t="shared" si="28"/>
        <v>0.68</v>
      </c>
      <c r="S110" s="910">
        <f t="shared" si="28"/>
        <v>0.6153846154</v>
      </c>
      <c r="T110" s="909">
        <f t="shared" si="28"/>
        <v>0.6153846154</v>
      </c>
      <c r="U110" s="730"/>
      <c r="V110" s="730"/>
      <c r="W110" s="730"/>
      <c r="X110" s="730"/>
      <c r="Y110" s="730"/>
      <c r="Z110" s="730"/>
      <c r="AA110" s="730"/>
      <c r="AB110" s="730"/>
      <c r="AC110" s="730"/>
      <c r="AD110" s="730"/>
      <c r="AE110" s="730"/>
      <c r="AF110" s="730"/>
      <c r="AG110" s="730"/>
      <c r="AH110" s="730"/>
      <c r="AI110" s="730"/>
      <c r="AJ110" s="730"/>
      <c r="AK110" s="730"/>
      <c r="AL110" s="730"/>
      <c r="AM110" s="730"/>
      <c r="AN110" s="730"/>
      <c r="AO110" s="730"/>
      <c r="AP110" s="730"/>
      <c r="AQ110" s="730"/>
      <c r="AR110" s="730"/>
      <c r="AS110" s="730"/>
      <c r="AT110" s="730"/>
      <c r="AU110" s="730"/>
      <c r="AV110" s="730"/>
      <c r="AW110" s="730"/>
      <c r="AX110" s="730"/>
      <c r="AY110" s="730"/>
      <c r="AZ110" s="730"/>
      <c r="BA110" s="730"/>
      <c r="BB110" s="730"/>
      <c r="BC110" s="730"/>
      <c r="BD110" s="730"/>
      <c r="BE110" s="730"/>
      <c r="BF110" s="730"/>
      <c r="BG110" s="730"/>
      <c r="BH110" s="730"/>
      <c r="BI110" s="730"/>
      <c r="BJ110" s="730"/>
      <c r="BK110" s="730"/>
      <c r="BL110" s="730"/>
    </row>
    <row r="111">
      <c r="A111" s="911"/>
      <c r="D111" s="858"/>
    </row>
    <row r="112">
      <c r="A112" s="912"/>
      <c r="D112" s="913"/>
      <c r="E112" s="914"/>
      <c r="F112" s="914"/>
      <c r="G112" s="914"/>
      <c r="H112" s="914"/>
      <c r="I112" s="914"/>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5"/>
      <c r="BE112" s="916"/>
      <c r="BF112" s="916"/>
      <c r="BG112" s="916"/>
      <c r="BH112" s="916"/>
      <c r="BI112" s="916"/>
      <c r="BJ112" s="916"/>
      <c r="BK112" s="916"/>
      <c r="BL112" s="917"/>
    </row>
    <row r="113">
      <c r="A113" s="731"/>
      <c r="B113" s="732" t="s">
        <v>1170</v>
      </c>
      <c r="C113" s="732" t="s">
        <v>7</v>
      </c>
      <c r="D113" s="918"/>
      <c r="E113" s="671"/>
      <c r="F113" s="671"/>
      <c r="G113" s="671"/>
      <c r="H113" s="671"/>
      <c r="I113" s="671"/>
      <c r="J113" s="671"/>
      <c r="K113" s="671"/>
      <c r="L113" s="671"/>
      <c r="M113" s="671"/>
      <c r="N113" s="671"/>
      <c r="O113" s="671"/>
      <c r="P113" s="671"/>
      <c r="Q113" s="671"/>
      <c r="R113" s="671"/>
      <c r="S113" s="671"/>
      <c r="T113" s="671"/>
      <c r="U113" s="671"/>
      <c r="V113" s="671"/>
      <c r="W113" s="671"/>
      <c r="X113" s="671"/>
      <c r="Y113" s="671"/>
      <c r="Z113" s="671"/>
      <c r="AA113" s="671"/>
      <c r="AB113" s="671"/>
      <c r="AC113" s="671"/>
      <c r="AD113" s="671"/>
      <c r="AE113" s="671"/>
      <c r="AF113" s="671"/>
      <c r="AG113" s="671"/>
      <c r="AH113" s="671"/>
      <c r="AI113" s="671"/>
      <c r="AJ113" s="671"/>
      <c r="AK113" s="671"/>
      <c r="AL113" s="919"/>
      <c r="AM113" s="919"/>
      <c r="AN113" s="919"/>
      <c r="AO113" s="919"/>
      <c r="AP113" s="919"/>
      <c r="AQ113" s="919"/>
      <c r="AR113" s="919"/>
      <c r="AS113" s="919"/>
      <c r="AT113" s="919"/>
      <c r="AU113" s="919"/>
      <c r="AV113" s="919"/>
      <c r="AW113" s="919"/>
      <c r="AX113" s="919"/>
      <c r="AY113" s="919"/>
      <c r="AZ113" s="919"/>
      <c r="BA113" s="919"/>
      <c r="BB113" s="919"/>
      <c r="BC113" s="919"/>
      <c r="BD113" s="919"/>
      <c r="BE113" s="920"/>
      <c r="BF113" s="920"/>
      <c r="BG113" s="920"/>
      <c r="BH113" s="920"/>
      <c r="BI113" s="920"/>
      <c r="BJ113" s="920"/>
      <c r="BK113" s="920"/>
      <c r="BL113" s="920"/>
    </row>
    <row r="114">
      <c r="A114" s="735" t="s">
        <v>554</v>
      </c>
      <c r="D114" s="921" t="s">
        <v>541</v>
      </c>
      <c r="E114" s="922" t="s">
        <v>544</v>
      </c>
      <c r="F114" s="922" t="s">
        <v>546</v>
      </c>
      <c r="G114" s="922" t="s">
        <v>548</v>
      </c>
      <c r="H114" s="923" t="s">
        <v>550</v>
      </c>
      <c r="I114" s="923" t="s">
        <v>552</v>
      </c>
      <c r="J114" s="923" t="s">
        <v>766</v>
      </c>
      <c r="K114" s="923" t="s">
        <v>770</v>
      </c>
      <c r="L114" s="923" t="s">
        <v>555</v>
      </c>
      <c r="M114" s="923" t="s">
        <v>556</v>
      </c>
      <c r="N114" s="923" t="s">
        <v>557</v>
      </c>
      <c r="O114" s="923" t="s">
        <v>558</v>
      </c>
      <c r="P114" s="923"/>
      <c r="Q114" s="923" t="s">
        <v>559</v>
      </c>
      <c r="R114" s="923" t="s">
        <v>560</v>
      </c>
      <c r="S114" s="923" t="s">
        <v>562</v>
      </c>
      <c r="T114" s="923" t="s">
        <v>564</v>
      </c>
      <c r="U114" s="485" t="s">
        <v>565</v>
      </c>
      <c r="V114" s="485" t="s">
        <v>566</v>
      </c>
      <c r="W114" s="485" t="s">
        <v>567</v>
      </c>
      <c r="X114" s="923" t="s">
        <v>568</v>
      </c>
      <c r="Y114" s="485" t="s">
        <v>569</v>
      </c>
      <c r="Z114" s="923" t="s">
        <v>570</v>
      </c>
      <c r="AA114" s="923" t="s">
        <v>571</v>
      </c>
      <c r="AB114" s="923" t="s">
        <v>796</v>
      </c>
      <c r="AC114" s="924"/>
      <c r="AD114" s="924"/>
      <c r="AE114" s="924"/>
      <c r="AF114" s="924"/>
      <c r="AG114" s="924"/>
      <c r="AH114" s="924"/>
      <c r="AI114" s="924"/>
      <c r="AJ114" s="924"/>
      <c r="AK114" s="924"/>
      <c r="AL114" s="919"/>
      <c r="AM114" s="919"/>
      <c r="AN114" s="919"/>
      <c r="AO114" s="919"/>
      <c r="AP114" s="919"/>
      <c r="AQ114" s="919"/>
      <c r="AR114" s="919"/>
      <c r="AS114" s="919"/>
      <c r="AT114" s="919"/>
      <c r="AU114" s="919"/>
      <c r="AV114" s="919"/>
      <c r="AW114" s="919"/>
      <c r="AX114" s="919"/>
      <c r="AY114" s="919"/>
      <c r="AZ114" s="919"/>
      <c r="BA114" s="919"/>
      <c r="BB114" s="919"/>
      <c r="BC114" s="919"/>
      <c r="BD114" s="919"/>
      <c r="BE114" s="920"/>
      <c r="BF114" s="920"/>
      <c r="BG114" s="920"/>
      <c r="BH114" s="920"/>
      <c r="BI114" s="920"/>
      <c r="BJ114" s="920"/>
      <c r="BK114" s="920"/>
      <c r="BL114" s="920"/>
    </row>
    <row r="115">
      <c r="A115" s="925" t="s">
        <v>1192</v>
      </c>
      <c r="B115" s="926" t="s">
        <v>132</v>
      </c>
      <c r="C115" s="927" t="s">
        <v>21</v>
      </c>
      <c r="D115" s="811" t="s">
        <v>69</v>
      </c>
      <c r="E115" s="810" t="s">
        <v>70</v>
      </c>
      <c r="F115" s="810" t="s">
        <v>70</v>
      </c>
      <c r="G115" s="832" t="s">
        <v>69</v>
      </c>
      <c r="H115" s="832" t="s">
        <v>69</v>
      </c>
      <c r="I115" s="832" t="s">
        <v>69</v>
      </c>
      <c r="J115" s="832" t="s">
        <v>69</v>
      </c>
      <c r="K115" s="832" t="s">
        <v>69</v>
      </c>
      <c r="L115" s="878" t="s">
        <v>70</v>
      </c>
      <c r="M115" s="878" t="s">
        <v>70</v>
      </c>
      <c r="N115" s="878" t="s">
        <v>70</v>
      </c>
      <c r="O115" s="878" t="s">
        <v>69</v>
      </c>
      <c r="P115" s="878"/>
      <c r="Q115" s="878" t="s">
        <v>70</v>
      </c>
      <c r="R115" s="878" t="s">
        <v>69</v>
      </c>
      <c r="S115" s="878" t="s">
        <v>69</v>
      </c>
      <c r="T115" s="878" t="s">
        <v>70</v>
      </c>
      <c r="U115" s="878" t="s">
        <v>70</v>
      </c>
      <c r="V115" s="878" t="s">
        <v>70</v>
      </c>
      <c r="W115" s="878" t="s">
        <v>70</v>
      </c>
      <c r="X115" s="878" t="s">
        <v>1193</v>
      </c>
      <c r="Y115" s="878" t="s">
        <v>1193</v>
      </c>
      <c r="Z115" s="878" t="s">
        <v>1193</v>
      </c>
      <c r="AA115" s="878" t="s">
        <v>1193</v>
      </c>
      <c r="AB115" s="878" t="s">
        <v>1193</v>
      </c>
      <c r="AC115" s="924"/>
      <c r="AD115" s="924"/>
      <c r="AE115" s="924"/>
      <c r="AF115" s="924"/>
      <c r="AG115" s="924"/>
      <c r="AH115" s="924"/>
      <c r="AI115" s="924"/>
      <c r="AJ115" s="924"/>
      <c r="AK115" s="924"/>
      <c r="AL115" s="919"/>
      <c r="AM115" s="919"/>
      <c r="AN115" s="919"/>
      <c r="AO115" s="919"/>
      <c r="AP115" s="919"/>
      <c r="AQ115" s="919"/>
      <c r="AR115" s="919"/>
      <c r="AS115" s="919"/>
      <c r="AT115" s="919"/>
      <c r="AU115" s="919"/>
      <c r="AV115" s="919"/>
      <c r="AW115" s="919"/>
      <c r="AX115" s="919"/>
      <c r="AY115" s="919"/>
      <c r="AZ115" s="919"/>
      <c r="BA115" s="919"/>
      <c r="BB115" s="919"/>
      <c r="BC115" s="919"/>
      <c r="BD115" s="919"/>
      <c r="BE115" s="920"/>
      <c r="BF115" s="920"/>
      <c r="BG115" s="920"/>
      <c r="BH115" s="920"/>
      <c r="BI115" s="920"/>
      <c r="BJ115" s="920"/>
      <c r="BK115" s="920"/>
      <c r="BL115" s="920"/>
    </row>
    <row r="116">
      <c r="A116" s="622"/>
      <c r="B116" s="928" t="s">
        <v>1175</v>
      </c>
      <c r="C116" s="929" t="s">
        <v>21</v>
      </c>
      <c r="D116" s="811" t="s">
        <v>69</v>
      </c>
      <c r="E116" s="810" t="s">
        <v>70</v>
      </c>
      <c r="F116" s="832" t="s">
        <v>69</v>
      </c>
      <c r="G116" s="832" t="s">
        <v>69</v>
      </c>
      <c r="H116" s="832" t="s">
        <v>69</v>
      </c>
      <c r="I116" s="832" t="s">
        <v>69</v>
      </c>
      <c r="J116" s="832" t="s">
        <v>69</v>
      </c>
      <c r="K116" s="832" t="s">
        <v>69</v>
      </c>
      <c r="L116" s="878" t="s">
        <v>70</v>
      </c>
      <c r="M116" s="878" t="s">
        <v>70</v>
      </c>
      <c r="N116" s="878" t="s">
        <v>70</v>
      </c>
      <c r="O116" s="878" t="s">
        <v>69</v>
      </c>
      <c r="P116" s="878"/>
      <c r="Q116" s="878" t="s">
        <v>70</v>
      </c>
      <c r="R116" s="878" t="s">
        <v>69</v>
      </c>
      <c r="S116" s="878" t="s">
        <v>69</v>
      </c>
      <c r="T116" s="878" t="s">
        <v>70</v>
      </c>
      <c r="U116" s="878" t="s">
        <v>70</v>
      </c>
      <c r="V116" s="878" t="s">
        <v>70</v>
      </c>
      <c r="W116" s="878" t="s">
        <v>70</v>
      </c>
      <c r="X116" s="878" t="s">
        <v>1193</v>
      </c>
      <c r="Y116" s="878" t="s">
        <v>1193</v>
      </c>
      <c r="Z116" s="878" t="s">
        <v>1193</v>
      </c>
      <c r="AA116" s="878" t="s">
        <v>1193</v>
      </c>
      <c r="AB116" s="878" t="s">
        <v>1193</v>
      </c>
      <c r="AC116" s="924"/>
      <c r="AD116" s="924"/>
      <c r="AE116" s="924"/>
      <c r="AF116" s="924"/>
      <c r="AG116" s="924"/>
      <c r="AH116" s="924"/>
      <c r="AI116" s="924"/>
      <c r="AJ116" s="924"/>
      <c r="AK116" s="924"/>
      <c r="AL116" s="919"/>
      <c r="AM116" s="919"/>
      <c r="AN116" s="919"/>
      <c r="AO116" s="919"/>
      <c r="AP116" s="919"/>
      <c r="AQ116" s="919"/>
      <c r="AR116" s="919"/>
      <c r="AS116" s="919"/>
      <c r="AT116" s="919"/>
      <c r="AU116" s="919"/>
      <c r="AV116" s="919"/>
      <c r="AW116" s="919"/>
      <c r="AX116" s="919"/>
      <c r="AY116" s="919"/>
      <c r="AZ116" s="919"/>
      <c r="BA116" s="919"/>
      <c r="BB116" s="919"/>
      <c r="BC116" s="919"/>
      <c r="BD116" s="919"/>
      <c r="BE116" s="920"/>
      <c r="BF116" s="920"/>
      <c r="BG116" s="920"/>
      <c r="BH116" s="920"/>
      <c r="BI116" s="920"/>
      <c r="BJ116" s="920"/>
      <c r="BK116" s="920"/>
      <c r="BL116" s="920"/>
    </row>
    <row r="117">
      <c r="A117" s="622"/>
      <c r="B117" s="928" t="s">
        <v>1176</v>
      </c>
      <c r="C117" s="929" t="s">
        <v>21</v>
      </c>
      <c r="D117" s="811" t="s">
        <v>69</v>
      </c>
      <c r="E117" s="810" t="s">
        <v>70</v>
      </c>
      <c r="F117" s="832" t="s">
        <v>69</v>
      </c>
      <c r="G117" s="832" t="s">
        <v>69</v>
      </c>
      <c r="H117" s="832" t="s">
        <v>69</v>
      </c>
      <c r="I117" s="832" t="s">
        <v>69</v>
      </c>
      <c r="J117" s="832" t="s">
        <v>69</v>
      </c>
      <c r="K117" s="832" t="s">
        <v>69</v>
      </c>
      <c r="L117" s="831" t="s">
        <v>70</v>
      </c>
      <c r="M117" s="833" t="s">
        <v>70</v>
      </c>
      <c r="N117" s="818" t="s">
        <v>99</v>
      </c>
      <c r="O117" s="832" t="s">
        <v>69</v>
      </c>
      <c r="P117" s="832"/>
      <c r="Q117" s="833" t="s">
        <v>70</v>
      </c>
      <c r="R117" s="832" t="s">
        <v>69</v>
      </c>
      <c r="S117" s="832" t="s">
        <v>69</v>
      </c>
      <c r="T117" s="878" t="s">
        <v>70</v>
      </c>
      <c r="U117" s="878" t="s">
        <v>70</v>
      </c>
      <c r="V117" s="878" t="s">
        <v>70</v>
      </c>
      <c r="W117" s="878" t="s">
        <v>70</v>
      </c>
      <c r="X117" s="878" t="s">
        <v>1193</v>
      </c>
      <c r="Y117" s="878" t="s">
        <v>1193</v>
      </c>
      <c r="Z117" s="878" t="s">
        <v>1193</v>
      </c>
      <c r="AA117" s="878" t="s">
        <v>1193</v>
      </c>
      <c r="AB117" s="878" t="s">
        <v>1193</v>
      </c>
      <c r="AC117" s="924"/>
      <c r="AD117" s="924"/>
      <c r="AE117" s="924"/>
      <c r="AF117" s="924"/>
      <c r="AG117" s="924"/>
      <c r="AH117" s="924"/>
      <c r="AI117" s="924"/>
      <c r="AJ117" s="924"/>
      <c r="AK117" s="924"/>
      <c r="AL117" s="919"/>
      <c r="AM117" s="919"/>
      <c r="AN117" s="919"/>
      <c r="AO117" s="919"/>
      <c r="AP117" s="919"/>
      <c r="AQ117" s="919"/>
      <c r="AR117" s="919"/>
      <c r="AS117" s="919"/>
      <c r="AT117" s="919"/>
      <c r="AU117" s="919"/>
      <c r="AV117" s="919"/>
      <c r="AW117" s="919"/>
      <c r="AX117" s="919"/>
      <c r="AY117" s="919"/>
      <c r="AZ117" s="919"/>
      <c r="BA117" s="919"/>
      <c r="BB117" s="919"/>
      <c r="BC117" s="919"/>
      <c r="BD117" s="919"/>
      <c r="BE117" s="920"/>
      <c r="BF117" s="920"/>
      <c r="BG117" s="920"/>
      <c r="BH117" s="920"/>
      <c r="BI117" s="920"/>
      <c r="BJ117" s="920"/>
      <c r="BK117" s="920"/>
      <c r="BL117" s="920"/>
    </row>
    <row r="118">
      <c r="A118" s="622"/>
      <c r="B118" s="928" t="s">
        <v>1177</v>
      </c>
      <c r="C118" s="928" t="s">
        <v>21</v>
      </c>
      <c r="D118" s="811" t="s">
        <v>69</v>
      </c>
      <c r="E118" s="810" t="s">
        <v>70</v>
      </c>
      <c r="F118" s="832" t="s">
        <v>69</v>
      </c>
      <c r="G118" s="832" t="s">
        <v>69</v>
      </c>
      <c r="H118" s="832" t="s">
        <v>69</v>
      </c>
      <c r="I118" s="832" t="s">
        <v>69</v>
      </c>
      <c r="J118" s="832" t="s">
        <v>69</v>
      </c>
      <c r="K118" s="832" t="s">
        <v>69</v>
      </c>
      <c r="L118" s="878" t="s">
        <v>70</v>
      </c>
      <c r="M118" s="878" t="s">
        <v>70</v>
      </c>
      <c r="N118" s="878" t="s">
        <v>69</v>
      </c>
      <c r="O118" s="878" t="s">
        <v>69</v>
      </c>
      <c r="P118" s="878"/>
      <c r="Q118" s="878" t="s">
        <v>70</v>
      </c>
      <c r="R118" s="878" t="s">
        <v>69</v>
      </c>
      <c r="S118" s="878" t="s">
        <v>69</v>
      </c>
      <c r="T118" s="878" t="s">
        <v>70</v>
      </c>
      <c r="U118" s="878" t="s">
        <v>70</v>
      </c>
      <c r="V118" s="878" t="s">
        <v>70</v>
      </c>
      <c r="W118" s="878" t="s">
        <v>70</v>
      </c>
      <c r="X118" s="878" t="s">
        <v>1193</v>
      </c>
      <c r="Y118" s="878" t="s">
        <v>1193</v>
      </c>
      <c r="Z118" s="878" t="s">
        <v>1193</v>
      </c>
      <c r="AA118" s="878" t="s">
        <v>1193</v>
      </c>
      <c r="AB118" s="878" t="s">
        <v>1193</v>
      </c>
      <c r="AC118" s="924"/>
      <c r="AD118" s="924"/>
      <c r="AE118" s="924"/>
      <c r="AF118" s="924"/>
      <c r="AG118" s="924"/>
      <c r="AH118" s="924"/>
      <c r="AI118" s="924"/>
      <c r="AJ118" s="924"/>
      <c r="AK118" s="924"/>
      <c r="AL118" s="919"/>
      <c r="AM118" s="919"/>
      <c r="AN118" s="919"/>
      <c r="AO118" s="919"/>
      <c r="AP118" s="919"/>
      <c r="AQ118" s="919"/>
      <c r="AR118" s="919"/>
      <c r="AS118" s="919"/>
      <c r="AT118" s="919"/>
      <c r="AU118" s="919"/>
      <c r="AV118" s="919"/>
      <c r="AW118" s="919"/>
      <c r="AX118" s="919"/>
      <c r="AY118" s="919"/>
      <c r="AZ118" s="919"/>
      <c r="BA118" s="919"/>
      <c r="BB118" s="919"/>
      <c r="BC118" s="919"/>
      <c r="BD118" s="919"/>
      <c r="BE118" s="920"/>
      <c r="BF118" s="920"/>
      <c r="BG118" s="920"/>
      <c r="BH118" s="920"/>
      <c r="BI118" s="920"/>
      <c r="BJ118" s="920"/>
      <c r="BK118" s="920"/>
      <c r="BL118" s="920"/>
    </row>
    <row r="119">
      <c r="A119" s="622"/>
      <c r="B119" s="928" t="s">
        <v>1194</v>
      </c>
      <c r="C119" s="928" t="s">
        <v>21</v>
      </c>
      <c r="D119" s="878" t="s">
        <v>100</v>
      </c>
      <c r="E119" s="878" t="s">
        <v>100</v>
      </c>
      <c r="F119" s="878" t="s">
        <v>100</v>
      </c>
      <c r="G119" s="878" t="s">
        <v>100</v>
      </c>
      <c r="H119" s="878" t="s">
        <v>100</v>
      </c>
      <c r="I119" s="878" t="s">
        <v>100</v>
      </c>
      <c r="J119" s="878" t="s">
        <v>100</v>
      </c>
      <c r="K119" s="878" t="s">
        <v>100</v>
      </c>
      <c r="L119" s="831" t="s">
        <v>70</v>
      </c>
      <c r="M119" s="833" t="s">
        <v>70</v>
      </c>
      <c r="N119" s="818" t="s">
        <v>99</v>
      </c>
      <c r="O119" s="832" t="s">
        <v>69</v>
      </c>
      <c r="P119" s="832"/>
      <c r="Q119" s="833" t="s">
        <v>70</v>
      </c>
      <c r="R119" s="832" t="s">
        <v>69</v>
      </c>
      <c r="S119" s="832" t="s">
        <v>69</v>
      </c>
      <c r="T119" s="878" t="s">
        <v>100</v>
      </c>
      <c r="U119" s="878" t="s">
        <v>100</v>
      </c>
      <c r="V119" s="878" t="s">
        <v>100</v>
      </c>
      <c r="W119" s="878" t="s">
        <v>100</v>
      </c>
      <c r="X119" s="878" t="s">
        <v>100</v>
      </c>
      <c r="Y119" s="878" t="s">
        <v>100</v>
      </c>
      <c r="Z119" s="878" t="s">
        <v>100</v>
      </c>
      <c r="AA119" s="878" t="s">
        <v>100</v>
      </c>
      <c r="AB119" s="878" t="s">
        <v>100</v>
      </c>
      <c r="AC119" s="924"/>
      <c r="AD119" s="924"/>
      <c r="AE119" s="924"/>
      <c r="AF119" s="924"/>
      <c r="AG119" s="924"/>
      <c r="AH119" s="924"/>
      <c r="AI119" s="924"/>
      <c r="AJ119" s="924"/>
      <c r="AK119" s="924"/>
      <c r="AL119" s="919"/>
      <c r="AM119" s="919"/>
      <c r="AN119" s="919"/>
      <c r="AO119" s="919"/>
      <c r="AP119" s="919"/>
      <c r="AQ119" s="919"/>
      <c r="AR119" s="919"/>
      <c r="AS119" s="919"/>
      <c r="AT119" s="919"/>
      <c r="AU119" s="919"/>
      <c r="AV119" s="919"/>
      <c r="AW119" s="919"/>
      <c r="AX119" s="919"/>
      <c r="AY119" s="919"/>
      <c r="AZ119" s="919"/>
      <c r="BA119" s="919"/>
      <c r="BB119" s="919"/>
      <c r="BC119" s="919"/>
      <c r="BD119" s="919"/>
      <c r="BE119" s="920"/>
      <c r="BF119" s="920"/>
      <c r="BG119" s="920"/>
      <c r="BH119" s="920"/>
      <c r="BI119" s="920"/>
      <c r="BJ119" s="920"/>
      <c r="BK119" s="920"/>
      <c r="BL119" s="920"/>
    </row>
    <row r="120">
      <c r="A120" s="622"/>
      <c r="B120" s="930" t="s">
        <v>67</v>
      </c>
      <c r="C120" s="931" t="s">
        <v>107</v>
      </c>
      <c r="D120" s="811" t="s">
        <v>69</v>
      </c>
      <c r="E120" s="810" t="s">
        <v>70</v>
      </c>
      <c r="F120" s="832" t="s">
        <v>69</v>
      </c>
      <c r="G120" s="832" t="s">
        <v>69</v>
      </c>
      <c r="H120" s="832" t="s">
        <v>69</v>
      </c>
      <c r="I120" s="832" t="s">
        <v>69</v>
      </c>
      <c r="J120" s="832" t="s">
        <v>69</v>
      </c>
      <c r="K120" s="832" t="s">
        <v>69</v>
      </c>
      <c r="L120" s="878" t="s">
        <v>100</v>
      </c>
      <c r="M120" s="878" t="s">
        <v>100</v>
      </c>
      <c r="N120" s="878" t="s">
        <v>100</v>
      </c>
      <c r="O120" s="878" t="s">
        <v>100</v>
      </c>
      <c r="P120" s="878"/>
      <c r="Q120" s="878" t="s">
        <v>100</v>
      </c>
      <c r="R120" s="878" t="s">
        <v>100</v>
      </c>
      <c r="S120" s="878" t="s">
        <v>100</v>
      </c>
      <c r="T120" s="878" t="s">
        <v>1193</v>
      </c>
      <c r="U120" s="878" t="s">
        <v>1193</v>
      </c>
      <c r="V120" s="878" t="s">
        <v>1193</v>
      </c>
      <c r="W120" s="878" t="s">
        <v>1193</v>
      </c>
      <c r="X120" s="878" t="s">
        <v>70</v>
      </c>
      <c r="Y120" s="878" t="s">
        <v>1193</v>
      </c>
      <c r="Z120" s="878" t="s">
        <v>1193</v>
      </c>
      <c r="AA120" s="878" t="s">
        <v>1193</v>
      </c>
      <c r="AB120" s="878" t="s">
        <v>1193</v>
      </c>
      <c r="AC120" s="924"/>
      <c r="AD120" s="924"/>
      <c r="AE120" s="924"/>
      <c r="AF120" s="924"/>
      <c r="AG120" s="924"/>
      <c r="AH120" s="924"/>
      <c r="AI120" s="924"/>
      <c r="AJ120" s="924"/>
      <c r="AK120" s="924"/>
      <c r="AL120" s="919"/>
      <c r="AM120" s="919"/>
      <c r="AN120" s="919"/>
      <c r="AO120" s="919"/>
      <c r="AP120" s="919"/>
      <c r="AQ120" s="919"/>
      <c r="AR120" s="919"/>
      <c r="AS120" s="919"/>
      <c r="AT120" s="919"/>
      <c r="AU120" s="919"/>
      <c r="AV120" s="919"/>
      <c r="AW120" s="919"/>
      <c r="AX120" s="919"/>
      <c r="AY120" s="919"/>
      <c r="AZ120" s="919"/>
      <c r="BA120" s="919"/>
      <c r="BB120" s="919"/>
      <c r="BC120" s="919"/>
      <c r="BD120" s="919"/>
      <c r="BE120" s="920"/>
      <c r="BF120" s="920"/>
      <c r="BG120" s="920"/>
      <c r="BH120" s="920"/>
      <c r="BI120" s="920"/>
      <c r="BJ120" s="920"/>
      <c r="BK120" s="920"/>
      <c r="BL120" s="920"/>
    </row>
    <row r="121">
      <c r="A121" s="622"/>
      <c r="B121" s="932" t="s">
        <v>135</v>
      </c>
      <c r="C121" s="932" t="s">
        <v>107</v>
      </c>
      <c r="D121" s="878" t="s">
        <v>69</v>
      </c>
      <c r="E121" s="878" t="s">
        <v>69</v>
      </c>
      <c r="F121" s="878" t="s">
        <v>69</v>
      </c>
      <c r="G121" s="878" t="s">
        <v>69</v>
      </c>
      <c r="H121" s="878" t="s">
        <v>69</v>
      </c>
      <c r="I121" s="878" t="s">
        <v>69</v>
      </c>
      <c r="J121" s="878" t="s">
        <v>69</v>
      </c>
      <c r="K121" s="878" t="s">
        <v>69</v>
      </c>
      <c r="L121" s="831" t="s">
        <v>70</v>
      </c>
      <c r="M121" s="833" t="s">
        <v>70</v>
      </c>
      <c r="N121" s="832" t="s">
        <v>69</v>
      </c>
      <c r="O121" s="832" t="s">
        <v>69</v>
      </c>
      <c r="P121" s="832"/>
      <c r="Q121" s="832" t="s">
        <v>69</v>
      </c>
      <c r="R121" s="832" t="s">
        <v>69</v>
      </c>
      <c r="S121" s="832" t="s">
        <v>69</v>
      </c>
      <c r="T121" s="878" t="s">
        <v>1193</v>
      </c>
      <c r="U121" s="878" t="s">
        <v>70</v>
      </c>
      <c r="V121" s="878" t="s">
        <v>1193</v>
      </c>
      <c r="W121" s="878" t="s">
        <v>70</v>
      </c>
      <c r="X121" s="878" t="s">
        <v>1193</v>
      </c>
      <c r="Y121" s="878" t="s">
        <v>1193</v>
      </c>
      <c r="Z121" s="878" t="s">
        <v>1193</v>
      </c>
      <c r="AA121" s="878" t="s">
        <v>1193</v>
      </c>
      <c r="AB121" s="878" t="s">
        <v>1193</v>
      </c>
      <c r="AC121" s="924"/>
      <c r="AD121" s="924"/>
      <c r="AE121" s="924"/>
      <c r="AF121" s="924"/>
      <c r="AG121" s="924"/>
      <c r="AH121" s="924"/>
      <c r="AI121" s="924"/>
      <c r="AJ121" s="924"/>
      <c r="AK121" s="924"/>
      <c r="AL121" s="919"/>
      <c r="AM121" s="919"/>
      <c r="AN121" s="919"/>
      <c r="AO121" s="919"/>
      <c r="AP121" s="919"/>
      <c r="AQ121" s="919"/>
      <c r="AR121" s="919"/>
      <c r="AS121" s="919"/>
      <c r="AT121" s="919"/>
      <c r="AU121" s="919"/>
      <c r="AV121" s="919"/>
      <c r="AW121" s="919"/>
      <c r="AX121" s="919"/>
      <c r="AY121" s="919"/>
      <c r="AZ121" s="919"/>
      <c r="BA121" s="919"/>
      <c r="BB121" s="919"/>
      <c r="BC121" s="919"/>
      <c r="BD121" s="919"/>
      <c r="BE121" s="920"/>
      <c r="BF121" s="920"/>
      <c r="BG121" s="920"/>
      <c r="BH121" s="920"/>
      <c r="BI121" s="920"/>
      <c r="BJ121" s="920"/>
      <c r="BK121" s="920"/>
      <c r="BL121" s="920"/>
    </row>
    <row r="122">
      <c r="A122" s="622"/>
      <c r="B122" s="933" t="s">
        <v>1179</v>
      </c>
      <c r="C122" s="932" t="s">
        <v>107</v>
      </c>
      <c r="D122" s="811" t="s">
        <v>69</v>
      </c>
      <c r="E122" s="810" t="s">
        <v>70</v>
      </c>
      <c r="F122" s="832" t="s">
        <v>69</v>
      </c>
      <c r="G122" s="832" t="s">
        <v>69</v>
      </c>
      <c r="H122" s="832" t="s">
        <v>69</v>
      </c>
      <c r="I122" s="832" t="s">
        <v>69</v>
      </c>
      <c r="J122" s="832" t="s">
        <v>69</v>
      </c>
      <c r="K122" s="832" t="s">
        <v>69</v>
      </c>
      <c r="L122" s="878" t="s">
        <v>100</v>
      </c>
      <c r="M122" s="878" t="s">
        <v>100</v>
      </c>
      <c r="N122" s="878" t="s">
        <v>100</v>
      </c>
      <c r="O122" s="878" t="s">
        <v>100</v>
      </c>
      <c r="P122" s="878"/>
      <c r="Q122" s="878" t="s">
        <v>100</v>
      </c>
      <c r="R122" s="878" t="s">
        <v>100</v>
      </c>
      <c r="S122" s="878" t="s">
        <v>100</v>
      </c>
      <c r="T122" s="878" t="s">
        <v>100</v>
      </c>
      <c r="U122" s="878" t="s">
        <v>100</v>
      </c>
      <c r="V122" s="878" t="s">
        <v>100</v>
      </c>
      <c r="W122" s="878" t="s">
        <v>100</v>
      </c>
      <c r="X122" s="878" t="s">
        <v>100</v>
      </c>
      <c r="Y122" s="878" t="s">
        <v>100</v>
      </c>
      <c r="Z122" s="878" t="s">
        <v>100</v>
      </c>
      <c r="AA122" s="878" t="s">
        <v>100</v>
      </c>
      <c r="AB122" s="878" t="s">
        <v>100</v>
      </c>
      <c r="AC122" s="924"/>
      <c r="AD122" s="924"/>
      <c r="AE122" s="924"/>
      <c r="AF122" s="924"/>
      <c r="AG122" s="924"/>
      <c r="AH122" s="924"/>
      <c r="AI122" s="924"/>
      <c r="AJ122" s="924"/>
      <c r="AK122" s="924"/>
      <c r="AL122" s="919"/>
      <c r="AM122" s="919"/>
      <c r="AN122" s="919"/>
      <c r="AO122" s="919"/>
      <c r="AP122" s="919"/>
      <c r="AQ122" s="919"/>
      <c r="AR122" s="919"/>
      <c r="AS122" s="919"/>
      <c r="AT122" s="919"/>
      <c r="AU122" s="919"/>
      <c r="AV122" s="919"/>
      <c r="AW122" s="919"/>
      <c r="AX122" s="919"/>
      <c r="AY122" s="919"/>
      <c r="AZ122" s="919"/>
      <c r="BA122" s="919"/>
      <c r="BB122" s="919"/>
      <c r="BC122" s="919"/>
      <c r="BD122" s="919"/>
      <c r="BE122" s="920"/>
      <c r="BF122" s="920"/>
      <c r="BG122" s="920"/>
      <c r="BH122" s="920"/>
      <c r="BI122" s="920"/>
      <c r="BJ122" s="920"/>
      <c r="BK122" s="920"/>
      <c r="BL122" s="920"/>
    </row>
    <row r="123">
      <c r="A123" s="622"/>
      <c r="B123" s="934" t="s">
        <v>1180</v>
      </c>
      <c r="C123" s="932" t="s">
        <v>107</v>
      </c>
      <c r="D123" s="811" t="s">
        <v>69</v>
      </c>
      <c r="E123" s="810" t="s">
        <v>70</v>
      </c>
      <c r="F123" s="810" t="s">
        <v>70</v>
      </c>
      <c r="G123" s="832" t="s">
        <v>69</v>
      </c>
      <c r="H123" s="832" t="s">
        <v>69</v>
      </c>
      <c r="I123" s="832" t="s">
        <v>69</v>
      </c>
      <c r="J123" s="832" t="s">
        <v>69</v>
      </c>
      <c r="K123" s="832" t="s">
        <v>69</v>
      </c>
      <c r="L123" s="878" t="s">
        <v>70</v>
      </c>
      <c r="M123" s="878" t="s">
        <v>70</v>
      </c>
      <c r="N123" s="878" t="s">
        <v>69</v>
      </c>
      <c r="O123" s="878" t="s">
        <v>69</v>
      </c>
      <c r="P123" s="878"/>
      <c r="Q123" s="878" t="s">
        <v>69</v>
      </c>
      <c r="R123" s="878" t="s">
        <v>69</v>
      </c>
      <c r="S123" s="878" t="s">
        <v>69</v>
      </c>
      <c r="T123" s="878" t="s">
        <v>1193</v>
      </c>
      <c r="U123" s="878" t="s">
        <v>1193</v>
      </c>
      <c r="V123" s="878" t="s">
        <v>1193</v>
      </c>
      <c r="W123" s="878" t="s">
        <v>1193</v>
      </c>
      <c r="X123" s="878" t="s">
        <v>1193</v>
      </c>
      <c r="Y123" s="878" t="s">
        <v>1193</v>
      </c>
      <c r="Z123" s="878" t="s">
        <v>1193</v>
      </c>
      <c r="AA123" s="878" t="s">
        <v>1193</v>
      </c>
      <c r="AB123" s="878" t="s">
        <v>1193</v>
      </c>
      <c r="AC123" s="924"/>
      <c r="AD123" s="924"/>
      <c r="AE123" s="924"/>
      <c r="AF123" s="924"/>
      <c r="AG123" s="924"/>
      <c r="AH123" s="924"/>
      <c r="AI123" s="924"/>
      <c r="AJ123" s="924"/>
      <c r="AK123" s="924"/>
      <c r="AL123" s="919"/>
      <c r="AM123" s="919"/>
      <c r="AN123" s="919"/>
      <c r="AO123" s="919"/>
      <c r="AP123" s="919"/>
      <c r="AQ123" s="919"/>
      <c r="AR123" s="919"/>
      <c r="AS123" s="919"/>
      <c r="AT123" s="919"/>
      <c r="AU123" s="919"/>
      <c r="AV123" s="919"/>
      <c r="AW123" s="919"/>
      <c r="AX123" s="919"/>
      <c r="AY123" s="919"/>
      <c r="AZ123" s="919"/>
      <c r="BA123" s="919"/>
      <c r="BB123" s="919"/>
      <c r="BC123" s="919"/>
      <c r="BD123" s="919"/>
      <c r="BE123" s="920"/>
      <c r="BF123" s="920"/>
      <c r="BG123" s="920"/>
      <c r="BH123" s="920"/>
      <c r="BI123" s="920"/>
      <c r="BJ123" s="920"/>
      <c r="BK123" s="920"/>
      <c r="BL123" s="920"/>
    </row>
    <row r="124">
      <c r="A124" s="622"/>
      <c r="B124" s="932" t="s">
        <v>1181</v>
      </c>
      <c r="C124" s="932" t="s">
        <v>107</v>
      </c>
      <c r="D124" s="878" t="s">
        <v>69</v>
      </c>
      <c r="E124" s="878" t="s">
        <v>69</v>
      </c>
      <c r="F124" s="878" t="s">
        <v>69</v>
      </c>
      <c r="G124" s="878" t="s">
        <v>69</v>
      </c>
      <c r="H124" s="878" t="s">
        <v>69</v>
      </c>
      <c r="I124" s="878" t="s">
        <v>69</v>
      </c>
      <c r="J124" s="878" t="s">
        <v>69</v>
      </c>
      <c r="K124" s="878" t="s">
        <v>69</v>
      </c>
      <c r="L124" s="878" t="s">
        <v>70</v>
      </c>
      <c r="M124" s="878" t="s">
        <v>70</v>
      </c>
      <c r="N124" s="878" t="s">
        <v>69</v>
      </c>
      <c r="O124" s="878" t="s">
        <v>69</v>
      </c>
      <c r="P124" s="878"/>
      <c r="Q124" s="878" t="s">
        <v>69</v>
      </c>
      <c r="R124" s="878" t="s">
        <v>69</v>
      </c>
      <c r="S124" s="878" t="s">
        <v>69</v>
      </c>
      <c r="T124" s="878" t="s">
        <v>1193</v>
      </c>
      <c r="U124" s="878" t="s">
        <v>1193</v>
      </c>
      <c r="V124" s="878" t="s">
        <v>1193</v>
      </c>
      <c r="W124" s="878" t="s">
        <v>1193</v>
      </c>
      <c r="X124" s="878" t="s">
        <v>1193</v>
      </c>
      <c r="Y124" s="878" t="s">
        <v>1193</v>
      </c>
      <c r="Z124" s="878" t="s">
        <v>1193</v>
      </c>
      <c r="AA124" s="878" t="s">
        <v>1193</v>
      </c>
      <c r="AB124" s="878" t="s">
        <v>1193</v>
      </c>
      <c r="AC124" s="924"/>
      <c r="AD124" s="924"/>
      <c r="AE124" s="924"/>
      <c r="AF124" s="924"/>
      <c r="AG124" s="924"/>
      <c r="AH124" s="924"/>
      <c r="AI124" s="924"/>
      <c r="AJ124" s="924"/>
      <c r="AK124" s="924"/>
      <c r="AL124" s="919"/>
      <c r="AM124" s="919"/>
      <c r="AN124" s="919"/>
      <c r="AO124" s="919"/>
      <c r="AP124" s="919"/>
      <c r="AQ124" s="919"/>
      <c r="AR124" s="919"/>
      <c r="AS124" s="919"/>
      <c r="AT124" s="919"/>
      <c r="AU124" s="919"/>
      <c r="AV124" s="919"/>
      <c r="AW124" s="919"/>
      <c r="AX124" s="919"/>
      <c r="AY124" s="919"/>
      <c r="AZ124" s="919"/>
      <c r="BA124" s="919"/>
      <c r="BB124" s="919"/>
      <c r="BC124" s="919"/>
      <c r="BD124" s="919"/>
      <c r="BE124" s="920"/>
      <c r="BF124" s="920"/>
      <c r="BG124" s="920"/>
      <c r="BH124" s="920"/>
      <c r="BI124" s="920"/>
      <c r="BJ124" s="920"/>
      <c r="BK124" s="920"/>
      <c r="BL124" s="920"/>
    </row>
    <row r="125">
      <c r="A125" s="622"/>
      <c r="B125" s="935" t="s">
        <v>106</v>
      </c>
      <c r="C125" s="936" t="s">
        <v>437</v>
      </c>
      <c r="D125" s="863" t="s">
        <v>70</v>
      </c>
      <c r="E125" s="832" t="s">
        <v>69</v>
      </c>
      <c r="F125" s="832" t="s">
        <v>69</v>
      </c>
      <c r="G125" s="832" t="s">
        <v>69</v>
      </c>
      <c r="H125" s="832" t="s">
        <v>69</v>
      </c>
      <c r="I125" s="810" t="s">
        <v>70</v>
      </c>
      <c r="J125" s="832" t="s">
        <v>69</v>
      </c>
      <c r="K125" s="832" t="s">
        <v>69</v>
      </c>
      <c r="L125" s="878" t="s">
        <v>70</v>
      </c>
      <c r="M125" s="878" t="s">
        <v>70</v>
      </c>
      <c r="N125" s="878" t="s">
        <v>70</v>
      </c>
      <c r="O125" s="878" t="s">
        <v>69</v>
      </c>
      <c r="P125" s="878"/>
      <c r="Q125" s="878" t="s">
        <v>70</v>
      </c>
      <c r="R125" s="878" t="s">
        <v>69</v>
      </c>
      <c r="S125" s="878" t="s">
        <v>69</v>
      </c>
      <c r="T125" s="878" t="s">
        <v>70</v>
      </c>
      <c r="U125" s="878" t="s">
        <v>70</v>
      </c>
      <c r="V125" s="878" t="s">
        <v>70</v>
      </c>
      <c r="W125" s="878" t="s">
        <v>70</v>
      </c>
      <c r="X125" s="878" t="s">
        <v>70</v>
      </c>
      <c r="Y125" s="878" t="s">
        <v>70</v>
      </c>
      <c r="Z125" s="878" t="s">
        <v>1193</v>
      </c>
      <c r="AA125" s="878" t="s">
        <v>1193</v>
      </c>
      <c r="AB125" s="878" t="s">
        <v>1193</v>
      </c>
      <c r="AC125" s="924"/>
      <c r="AD125" s="924"/>
      <c r="AE125" s="924"/>
      <c r="AF125" s="924"/>
      <c r="AG125" s="924"/>
      <c r="AH125" s="924"/>
      <c r="AI125" s="924"/>
      <c r="AJ125" s="924"/>
      <c r="AK125" s="924"/>
      <c r="AL125" s="919"/>
      <c r="AM125" s="919"/>
      <c r="AN125" s="919"/>
      <c r="AO125" s="919"/>
      <c r="AP125" s="919"/>
      <c r="AQ125" s="919"/>
      <c r="AR125" s="919"/>
      <c r="AS125" s="919"/>
      <c r="AT125" s="919"/>
      <c r="AU125" s="919"/>
      <c r="AV125" s="919"/>
      <c r="AW125" s="919"/>
      <c r="AX125" s="919"/>
      <c r="AY125" s="919"/>
      <c r="AZ125" s="919"/>
      <c r="BA125" s="919"/>
      <c r="BB125" s="919"/>
      <c r="BC125" s="919"/>
      <c r="BD125" s="919"/>
      <c r="BE125" s="920"/>
      <c r="BF125" s="920"/>
      <c r="BG125" s="920"/>
      <c r="BH125" s="920"/>
      <c r="BI125" s="920"/>
      <c r="BJ125" s="920"/>
      <c r="BK125" s="920"/>
      <c r="BL125" s="920"/>
    </row>
    <row r="126">
      <c r="A126" s="622"/>
      <c r="B126" s="937" t="s">
        <v>59</v>
      </c>
      <c r="C126" s="938" t="s">
        <v>437</v>
      </c>
      <c r="D126" s="863" t="s">
        <v>70</v>
      </c>
      <c r="E126" s="832" t="s">
        <v>69</v>
      </c>
      <c r="F126" s="832" t="s">
        <v>69</v>
      </c>
      <c r="G126" s="832" t="s">
        <v>69</v>
      </c>
      <c r="H126" s="832" t="s">
        <v>69</v>
      </c>
      <c r="I126" s="810" t="s">
        <v>70</v>
      </c>
      <c r="J126" s="832" t="s">
        <v>69</v>
      </c>
      <c r="K126" s="832" t="s">
        <v>69</v>
      </c>
      <c r="L126" s="878" t="s">
        <v>70</v>
      </c>
      <c r="M126" s="878" t="s">
        <v>70</v>
      </c>
      <c r="N126" s="878" t="s">
        <v>70</v>
      </c>
      <c r="O126" s="878" t="s">
        <v>69</v>
      </c>
      <c r="P126" s="878"/>
      <c r="Q126" s="878" t="s">
        <v>70</v>
      </c>
      <c r="R126" s="878" t="s">
        <v>69</v>
      </c>
      <c r="S126" s="878" t="s">
        <v>69</v>
      </c>
      <c r="T126" s="878" t="s">
        <v>70</v>
      </c>
      <c r="U126" s="878" t="s">
        <v>70</v>
      </c>
      <c r="V126" s="878" t="s">
        <v>70</v>
      </c>
      <c r="W126" s="878" t="s">
        <v>70</v>
      </c>
      <c r="X126" s="878" t="s">
        <v>1193</v>
      </c>
      <c r="Y126" s="878" t="s">
        <v>70</v>
      </c>
      <c r="Z126" s="878" t="s">
        <v>1193</v>
      </c>
      <c r="AA126" s="878" t="s">
        <v>1193</v>
      </c>
      <c r="AB126" s="878" t="s">
        <v>1193</v>
      </c>
      <c r="AC126" s="924"/>
      <c r="AD126" s="924"/>
      <c r="AE126" s="924"/>
      <c r="AF126" s="924"/>
      <c r="AG126" s="924"/>
      <c r="AH126" s="924"/>
      <c r="AI126" s="924"/>
      <c r="AJ126" s="924"/>
      <c r="AK126" s="924"/>
      <c r="AL126" s="919"/>
      <c r="AM126" s="919"/>
      <c r="AN126" s="919"/>
      <c r="AO126" s="919"/>
      <c r="AP126" s="919"/>
      <c r="AQ126" s="919"/>
      <c r="AR126" s="919"/>
      <c r="AS126" s="919"/>
      <c r="AT126" s="919"/>
      <c r="AU126" s="919"/>
      <c r="AV126" s="919"/>
      <c r="AW126" s="919"/>
      <c r="AX126" s="919"/>
      <c r="AY126" s="919"/>
      <c r="AZ126" s="919"/>
      <c r="BA126" s="919"/>
      <c r="BB126" s="919"/>
      <c r="BC126" s="919"/>
      <c r="BD126" s="919"/>
      <c r="BE126" s="920"/>
      <c r="BF126" s="920"/>
      <c r="BG126" s="920"/>
      <c r="BH126" s="920"/>
      <c r="BI126" s="920"/>
      <c r="BJ126" s="920"/>
      <c r="BK126" s="920"/>
      <c r="BL126" s="920"/>
    </row>
    <row r="127">
      <c r="A127" s="622"/>
      <c r="B127" s="938" t="s">
        <v>1195</v>
      </c>
      <c r="C127" s="938" t="s">
        <v>437</v>
      </c>
      <c r="D127" s="878" t="s">
        <v>100</v>
      </c>
      <c r="E127" s="878" t="s">
        <v>100</v>
      </c>
      <c r="F127" s="878" t="s">
        <v>100</v>
      </c>
      <c r="G127" s="878" t="s">
        <v>100</v>
      </c>
      <c r="H127" s="878" t="s">
        <v>100</v>
      </c>
      <c r="I127" s="878" t="s">
        <v>100</v>
      </c>
      <c r="J127" s="878" t="s">
        <v>100</v>
      </c>
      <c r="K127" s="878" t="s">
        <v>100</v>
      </c>
      <c r="L127" s="878" t="s">
        <v>70</v>
      </c>
      <c r="M127" s="878" t="s">
        <v>70</v>
      </c>
      <c r="N127" s="878" t="s">
        <v>70</v>
      </c>
      <c r="O127" s="878" t="s">
        <v>69</v>
      </c>
      <c r="P127" s="878"/>
      <c r="Q127" s="878" t="s">
        <v>70</v>
      </c>
      <c r="R127" s="878" t="s">
        <v>69</v>
      </c>
      <c r="S127" s="878" t="s">
        <v>69</v>
      </c>
      <c r="T127" s="878" t="s">
        <v>100</v>
      </c>
      <c r="U127" s="878" t="s">
        <v>100</v>
      </c>
      <c r="V127" s="878" t="s">
        <v>100</v>
      </c>
      <c r="W127" s="878" t="s">
        <v>100</v>
      </c>
      <c r="X127" s="878" t="s">
        <v>100</v>
      </c>
      <c r="Y127" s="878" t="s">
        <v>100</v>
      </c>
      <c r="Z127" s="878" t="s">
        <v>100</v>
      </c>
      <c r="AA127" s="878" t="s">
        <v>100</v>
      </c>
      <c r="AB127" s="878" t="s">
        <v>100</v>
      </c>
      <c r="AC127" s="924"/>
      <c r="AD127" s="924"/>
      <c r="AE127" s="924"/>
      <c r="AF127" s="924"/>
      <c r="AG127" s="924"/>
      <c r="AH127" s="924"/>
      <c r="AI127" s="924"/>
      <c r="AJ127" s="924"/>
      <c r="AK127" s="924"/>
      <c r="AL127" s="919"/>
      <c r="AM127" s="919"/>
      <c r="AN127" s="919"/>
      <c r="AO127" s="919"/>
      <c r="AP127" s="919"/>
      <c r="AQ127" s="919"/>
      <c r="AR127" s="919"/>
      <c r="AS127" s="919"/>
      <c r="AT127" s="919"/>
      <c r="AU127" s="919"/>
      <c r="AV127" s="919"/>
      <c r="AW127" s="919"/>
      <c r="AX127" s="919"/>
      <c r="AY127" s="919"/>
      <c r="AZ127" s="919"/>
      <c r="BA127" s="919"/>
      <c r="BB127" s="919"/>
      <c r="BC127" s="919"/>
      <c r="BD127" s="919"/>
      <c r="BE127" s="920"/>
      <c r="BF127" s="920"/>
      <c r="BG127" s="920"/>
      <c r="BH127" s="920"/>
      <c r="BI127" s="920"/>
      <c r="BJ127" s="920"/>
      <c r="BK127" s="920"/>
      <c r="BL127" s="920"/>
    </row>
    <row r="128">
      <c r="A128" s="622"/>
      <c r="B128" s="937" t="s">
        <v>1196</v>
      </c>
      <c r="C128" s="939" t="s">
        <v>437</v>
      </c>
      <c r="D128" s="863" t="s">
        <v>70</v>
      </c>
      <c r="E128" s="832" t="s">
        <v>69</v>
      </c>
      <c r="F128" s="832" t="s">
        <v>69</v>
      </c>
      <c r="G128" s="832" t="s">
        <v>69</v>
      </c>
      <c r="H128" s="832" t="s">
        <v>69</v>
      </c>
      <c r="I128" s="810" t="s">
        <v>70</v>
      </c>
      <c r="J128" s="832" t="s">
        <v>69</v>
      </c>
      <c r="K128" s="832" t="s">
        <v>69</v>
      </c>
      <c r="L128" s="878" t="s">
        <v>100</v>
      </c>
      <c r="M128" s="878" t="s">
        <v>100</v>
      </c>
      <c r="N128" s="878" t="s">
        <v>100</v>
      </c>
      <c r="O128" s="878" t="s">
        <v>100</v>
      </c>
      <c r="P128" s="878"/>
      <c r="Q128" s="878" t="s">
        <v>100</v>
      </c>
      <c r="R128" s="878" t="s">
        <v>100</v>
      </c>
      <c r="S128" s="878" t="s">
        <v>100</v>
      </c>
      <c r="T128" s="878" t="s">
        <v>70</v>
      </c>
      <c r="U128" s="878" t="s">
        <v>70</v>
      </c>
      <c r="V128" s="878" t="s">
        <v>70</v>
      </c>
      <c r="W128" s="878" t="s">
        <v>70</v>
      </c>
      <c r="X128" s="878" t="s">
        <v>70</v>
      </c>
      <c r="Y128" s="878" t="s">
        <v>70</v>
      </c>
      <c r="Z128" s="878" t="s">
        <v>1193</v>
      </c>
      <c r="AA128" s="878" t="s">
        <v>1193</v>
      </c>
      <c r="AB128" s="878" t="s">
        <v>1193</v>
      </c>
      <c r="AC128" s="924"/>
      <c r="AD128" s="924"/>
      <c r="AE128" s="924"/>
      <c r="AF128" s="924"/>
      <c r="AG128" s="924"/>
      <c r="AH128" s="924"/>
      <c r="AI128" s="924"/>
      <c r="AJ128" s="924"/>
      <c r="AK128" s="924"/>
      <c r="AL128" s="919"/>
      <c r="AM128" s="919"/>
      <c r="AN128" s="919"/>
      <c r="AO128" s="919"/>
      <c r="AP128" s="919"/>
      <c r="AQ128" s="919"/>
      <c r="AR128" s="919"/>
      <c r="AS128" s="919"/>
      <c r="AT128" s="919"/>
      <c r="AU128" s="919"/>
      <c r="AV128" s="919"/>
      <c r="AW128" s="919"/>
      <c r="AX128" s="919"/>
      <c r="AY128" s="919"/>
      <c r="AZ128" s="919"/>
      <c r="BA128" s="919"/>
      <c r="BB128" s="919"/>
      <c r="BC128" s="919"/>
      <c r="BD128" s="919"/>
      <c r="BE128" s="920"/>
      <c r="BF128" s="920"/>
      <c r="BG128" s="920"/>
      <c r="BH128" s="920"/>
      <c r="BI128" s="920"/>
      <c r="BJ128" s="920"/>
      <c r="BK128" s="920"/>
      <c r="BL128" s="920"/>
    </row>
    <row r="129">
      <c r="A129" s="622"/>
      <c r="B129" s="940" t="s">
        <v>1197</v>
      </c>
      <c r="C129" s="940" t="s">
        <v>437</v>
      </c>
      <c r="D129" s="878" t="s">
        <v>100</v>
      </c>
      <c r="E129" s="878" t="s">
        <v>100</v>
      </c>
      <c r="F129" s="878" t="s">
        <v>100</v>
      </c>
      <c r="G129" s="878" t="s">
        <v>100</v>
      </c>
      <c r="H129" s="878" t="s">
        <v>100</v>
      </c>
      <c r="I129" s="878" t="s">
        <v>100</v>
      </c>
      <c r="J129" s="878" t="s">
        <v>100</v>
      </c>
      <c r="K129" s="878" t="s">
        <v>100</v>
      </c>
      <c r="L129" s="878" t="s">
        <v>70</v>
      </c>
      <c r="M129" s="878" t="s">
        <v>70</v>
      </c>
      <c r="N129" s="878" t="s">
        <v>70</v>
      </c>
      <c r="O129" s="878" t="s">
        <v>69</v>
      </c>
      <c r="P129" s="878"/>
      <c r="Q129" s="878" t="s">
        <v>70</v>
      </c>
      <c r="R129" s="878" t="s">
        <v>69</v>
      </c>
      <c r="S129" s="878" t="s">
        <v>69</v>
      </c>
      <c r="T129" s="941"/>
      <c r="U129" s="108"/>
      <c r="V129" s="108"/>
      <c r="W129" s="108"/>
      <c r="X129" s="108"/>
      <c r="Y129" s="108"/>
      <c r="Z129" s="108"/>
      <c r="AA129" s="108"/>
      <c r="AB129" s="109"/>
      <c r="AC129" s="924"/>
      <c r="AD129" s="924"/>
      <c r="AE129" s="924"/>
      <c r="AF129" s="924"/>
      <c r="AG129" s="924"/>
      <c r="AH129" s="924"/>
      <c r="AI129" s="924"/>
      <c r="AJ129" s="924"/>
      <c r="AK129" s="924"/>
      <c r="AL129" s="919"/>
      <c r="AM129" s="919"/>
      <c r="AN129" s="919"/>
      <c r="AO129" s="919"/>
      <c r="AP129" s="919"/>
      <c r="AQ129" s="919"/>
      <c r="AR129" s="919"/>
      <c r="AS129" s="919"/>
      <c r="AT129" s="919"/>
      <c r="AU129" s="919"/>
      <c r="AV129" s="919"/>
      <c r="AW129" s="919"/>
      <c r="AX129" s="919"/>
      <c r="AY129" s="919"/>
      <c r="AZ129" s="919"/>
      <c r="BA129" s="919"/>
      <c r="BB129" s="919"/>
      <c r="BC129" s="919"/>
      <c r="BD129" s="919"/>
      <c r="BE129" s="920"/>
      <c r="BF129" s="920"/>
      <c r="BG129" s="920"/>
      <c r="BH129" s="920"/>
      <c r="BI129" s="920"/>
      <c r="BJ129" s="920"/>
      <c r="BK129" s="920"/>
      <c r="BL129" s="920"/>
    </row>
    <row r="130">
      <c r="A130" s="622"/>
      <c r="B130" s="938" t="s">
        <v>1198</v>
      </c>
      <c r="C130" s="939" t="s">
        <v>437</v>
      </c>
      <c r="D130" s="878"/>
      <c r="E130" s="878"/>
      <c r="F130" s="878"/>
      <c r="G130" s="878"/>
      <c r="H130" s="878"/>
      <c r="I130" s="878"/>
      <c r="J130" s="878"/>
      <c r="K130" s="878"/>
      <c r="L130" s="942"/>
      <c r="M130" s="108"/>
      <c r="N130" s="108"/>
      <c r="O130" s="108"/>
      <c r="P130" s="108"/>
      <c r="Q130" s="108"/>
      <c r="R130" s="108"/>
      <c r="S130" s="109"/>
      <c r="T130" s="878" t="s">
        <v>70</v>
      </c>
      <c r="U130" s="878" t="s">
        <v>70</v>
      </c>
      <c r="V130" s="878" t="s">
        <v>70</v>
      </c>
      <c r="W130" s="878" t="s">
        <v>70</v>
      </c>
      <c r="X130" s="878" t="s">
        <v>70</v>
      </c>
      <c r="Y130" s="878" t="s">
        <v>70</v>
      </c>
      <c r="Z130" s="878" t="s">
        <v>1193</v>
      </c>
      <c r="AA130" s="878" t="s">
        <v>1193</v>
      </c>
      <c r="AB130" s="878" t="s">
        <v>1193</v>
      </c>
      <c r="AC130" s="924"/>
      <c r="AD130" s="924"/>
      <c r="AE130" s="924"/>
      <c r="AF130" s="924"/>
      <c r="AG130" s="924"/>
      <c r="AH130" s="924"/>
      <c r="AI130" s="924"/>
      <c r="AJ130" s="924"/>
      <c r="AK130" s="924"/>
      <c r="AL130" s="919"/>
      <c r="AM130" s="919"/>
      <c r="AN130" s="919"/>
      <c r="AO130" s="919"/>
      <c r="AP130" s="919"/>
      <c r="AQ130" s="919"/>
      <c r="AR130" s="919"/>
      <c r="AS130" s="919"/>
      <c r="AT130" s="919"/>
      <c r="AU130" s="919"/>
      <c r="AV130" s="919"/>
      <c r="AW130" s="919"/>
      <c r="AX130" s="919"/>
      <c r="AY130" s="919"/>
      <c r="AZ130" s="919"/>
      <c r="BA130" s="919"/>
      <c r="BB130" s="919"/>
      <c r="BC130" s="919"/>
      <c r="BD130" s="919"/>
      <c r="BE130" s="920"/>
      <c r="BF130" s="920"/>
      <c r="BG130" s="920"/>
      <c r="BH130" s="920"/>
      <c r="BI130" s="920"/>
      <c r="BJ130" s="920"/>
      <c r="BK130" s="920"/>
      <c r="BL130" s="920"/>
    </row>
    <row r="131">
      <c r="A131" s="622"/>
      <c r="B131" s="943" t="s">
        <v>1188</v>
      </c>
      <c r="C131" s="892" t="s">
        <v>1189</v>
      </c>
      <c r="D131" s="878" t="s">
        <v>70</v>
      </c>
      <c r="E131" s="878" t="s">
        <v>70</v>
      </c>
      <c r="F131" s="878" t="s">
        <v>70</v>
      </c>
      <c r="G131" s="878" t="s">
        <v>70</v>
      </c>
      <c r="H131" s="878" t="s">
        <v>69</v>
      </c>
      <c r="I131" s="878" t="s">
        <v>69</v>
      </c>
      <c r="J131" s="878" t="s">
        <v>69</v>
      </c>
      <c r="K131" s="878" t="s">
        <v>69</v>
      </c>
      <c r="L131" s="878" t="s">
        <v>70</v>
      </c>
      <c r="M131" s="878" t="s">
        <v>70</v>
      </c>
      <c r="N131" s="878" t="s">
        <v>70</v>
      </c>
      <c r="O131" s="878" t="s">
        <v>70</v>
      </c>
      <c r="P131" s="878"/>
      <c r="Q131" s="878" t="s">
        <v>70</v>
      </c>
      <c r="R131" s="878" t="s">
        <v>70</v>
      </c>
      <c r="S131" s="878" t="s">
        <v>1199</v>
      </c>
      <c r="T131" s="878" t="s">
        <v>70</v>
      </c>
      <c r="U131" s="878" t="s">
        <v>70</v>
      </c>
      <c r="V131" s="878" t="s">
        <v>70</v>
      </c>
      <c r="W131" s="878" t="s">
        <v>70</v>
      </c>
      <c r="X131" s="878" t="s">
        <v>70</v>
      </c>
      <c r="Y131" s="878" t="s">
        <v>70</v>
      </c>
      <c r="Z131" s="878" t="s">
        <v>1193</v>
      </c>
      <c r="AA131" s="878" t="s">
        <v>1193</v>
      </c>
      <c r="AB131" s="878" t="s">
        <v>1193</v>
      </c>
      <c r="AC131" s="924"/>
      <c r="AD131" s="924"/>
      <c r="AE131" s="924"/>
      <c r="AF131" s="924"/>
      <c r="AG131" s="924"/>
      <c r="AH131" s="924"/>
      <c r="AI131" s="924"/>
      <c r="AJ131" s="924"/>
      <c r="AK131" s="924"/>
      <c r="AL131" s="919"/>
      <c r="AM131" s="919"/>
      <c r="AN131" s="919"/>
      <c r="AO131" s="919"/>
      <c r="AP131" s="919"/>
      <c r="AQ131" s="919"/>
      <c r="AR131" s="919"/>
      <c r="AS131" s="919"/>
      <c r="AT131" s="919"/>
      <c r="AU131" s="919"/>
      <c r="AV131" s="919"/>
      <c r="AW131" s="919"/>
      <c r="AX131" s="919"/>
      <c r="AY131" s="919"/>
      <c r="AZ131" s="919"/>
      <c r="BA131" s="919"/>
      <c r="BB131" s="919"/>
      <c r="BC131" s="919"/>
      <c r="BD131" s="919"/>
      <c r="BE131" s="920"/>
      <c r="BF131" s="920"/>
      <c r="BG131" s="920"/>
      <c r="BH131" s="920"/>
      <c r="BI131" s="920"/>
      <c r="BJ131" s="920"/>
      <c r="BK131" s="920"/>
      <c r="BL131" s="920"/>
    </row>
    <row r="132">
      <c r="A132" s="944" t="s">
        <v>1200</v>
      </c>
      <c r="B132" s="945" t="s">
        <v>1190</v>
      </c>
      <c r="C132" s="946" t="s">
        <v>23</v>
      </c>
      <c r="D132" s="811" t="s">
        <v>69</v>
      </c>
      <c r="E132" s="810" t="s">
        <v>70</v>
      </c>
      <c r="F132" s="832" t="s">
        <v>69</v>
      </c>
      <c r="G132" s="810" t="s">
        <v>70</v>
      </c>
      <c r="H132" s="832" t="s">
        <v>69</v>
      </c>
      <c r="I132" s="832" t="s">
        <v>69</v>
      </c>
      <c r="J132" s="810" t="s">
        <v>70</v>
      </c>
      <c r="K132" s="810" t="s">
        <v>70</v>
      </c>
      <c r="L132" s="878" t="s">
        <v>69</v>
      </c>
      <c r="M132" s="878" t="s">
        <v>69</v>
      </c>
      <c r="N132" s="878" t="s">
        <v>69</v>
      </c>
      <c r="O132" s="878" t="s">
        <v>70</v>
      </c>
      <c r="P132" s="878"/>
      <c r="Q132" s="878" t="s">
        <v>69</v>
      </c>
      <c r="R132" s="878" t="s">
        <v>69</v>
      </c>
      <c r="S132" s="878" t="s">
        <v>69</v>
      </c>
      <c r="T132" s="878" t="s">
        <v>1193</v>
      </c>
      <c r="U132" s="878" t="s">
        <v>1193</v>
      </c>
      <c r="V132" s="878" t="s">
        <v>1193</v>
      </c>
      <c r="W132" s="878" t="s">
        <v>1193</v>
      </c>
      <c r="X132" s="878" t="s">
        <v>1193</v>
      </c>
      <c r="Y132" s="878" t="s">
        <v>1193</v>
      </c>
      <c r="Z132" s="878" t="s">
        <v>1193</v>
      </c>
      <c r="AA132" s="878" t="s">
        <v>1193</v>
      </c>
      <c r="AB132" s="878" t="s">
        <v>70</v>
      </c>
      <c r="AC132" s="924"/>
      <c r="AD132" s="924"/>
      <c r="AE132" s="924"/>
      <c r="AF132" s="924"/>
      <c r="AG132" s="924"/>
      <c r="AH132" s="924"/>
      <c r="AI132" s="924"/>
      <c r="AJ132" s="924"/>
      <c r="AK132" s="924"/>
      <c r="AL132" s="919"/>
      <c r="AM132" s="919"/>
      <c r="AN132" s="919"/>
      <c r="AO132" s="919"/>
      <c r="AP132" s="919"/>
      <c r="AQ132" s="919"/>
      <c r="AR132" s="919"/>
      <c r="AS132" s="919"/>
      <c r="AT132" s="919"/>
      <c r="AU132" s="919"/>
      <c r="AV132" s="919"/>
      <c r="AW132" s="919"/>
      <c r="AX132" s="919"/>
      <c r="AY132" s="919"/>
      <c r="AZ132" s="919"/>
      <c r="BA132" s="919"/>
      <c r="BB132" s="919"/>
      <c r="BC132" s="919"/>
      <c r="BD132" s="919"/>
      <c r="BE132" s="920"/>
      <c r="BF132" s="920"/>
      <c r="BG132" s="920"/>
      <c r="BH132" s="920"/>
      <c r="BI132" s="920"/>
      <c r="BJ132" s="920"/>
      <c r="BK132" s="920"/>
      <c r="BL132" s="920"/>
    </row>
    <row r="133">
      <c r="A133" s="622"/>
      <c r="B133" s="947" t="s">
        <v>1201</v>
      </c>
      <c r="C133" s="947" t="s">
        <v>23</v>
      </c>
      <c r="D133" s="811" t="s">
        <v>69</v>
      </c>
      <c r="E133" s="810" t="s">
        <v>70</v>
      </c>
      <c r="F133" s="832" t="s">
        <v>69</v>
      </c>
      <c r="G133" s="832" t="s">
        <v>69</v>
      </c>
      <c r="H133" s="832" t="s">
        <v>69</v>
      </c>
      <c r="I133" s="832" t="s">
        <v>69</v>
      </c>
      <c r="J133" s="810" t="s">
        <v>70</v>
      </c>
      <c r="K133" s="810" t="s">
        <v>70</v>
      </c>
      <c r="L133" s="878" t="s">
        <v>69</v>
      </c>
      <c r="M133" s="878" t="s">
        <v>69</v>
      </c>
      <c r="N133" s="878" t="s">
        <v>69</v>
      </c>
      <c r="O133" s="878" t="s">
        <v>70</v>
      </c>
      <c r="P133" s="878"/>
      <c r="Q133" s="878" t="s">
        <v>69</v>
      </c>
      <c r="R133" s="878" t="s">
        <v>69</v>
      </c>
      <c r="S133" s="878" t="s">
        <v>69</v>
      </c>
      <c r="T133" s="878" t="s">
        <v>1193</v>
      </c>
      <c r="U133" s="878" t="s">
        <v>1193</v>
      </c>
      <c r="V133" s="878" t="s">
        <v>1193</v>
      </c>
      <c r="W133" s="878" t="s">
        <v>1193</v>
      </c>
      <c r="X133" s="878" t="s">
        <v>1193</v>
      </c>
      <c r="Y133" s="878" t="s">
        <v>1193</v>
      </c>
      <c r="Z133" s="878" t="s">
        <v>1193</v>
      </c>
      <c r="AA133" s="878" t="s">
        <v>1193</v>
      </c>
      <c r="AB133" s="878" t="s">
        <v>70</v>
      </c>
      <c r="AC133" s="924"/>
      <c r="AD133" s="924"/>
      <c r="AE133" s="924"/>
      <c r="AF133" s="924"/>
      <c r="AG133" s="924"/>
      <c r="AH133" s="924"/>
      <c r="AI133" s="924"/>
      <c r="AJ133" s="924"/>
      <c r="AK133" s="924"/>
      <c r="AL133" s="919"/>
      <c r="AM133" s="919"/>
      <c r="AN133" s="919"/>
      <c r="AO133" s="919"/>
      <c r="AP133" s="919"/>
      <c r="AQ133" s="919"/>
      <c r="AR133" s="919"/>
      <c r="AS133" s="919"/>
      <c r="AT133" s="919"/>
      <c r="AU133" s="919"/>
      <c r="AV133" s="919"/>
      <c r="AW133" s="919"/>
      <c r="AX133" s="919"/>
      <c r="AY133" s="919"/>
      <c r="AZ133" s="919"/>
      <c r="BA133" s="919"/>
      <c r="BB133" s="919"/>
      <c r="BC133" s="919"/>
      <c r="BD133" s="919"/>
      <c r="BE133" s="920"/>
      <c r="BF133" s="920"/>
      <c r="BG133" s="920"/>
      <c r="BH133" s="920"/>
      <c r="BI133" s="920"/>
      <c r="BJ133" s="920"/>
      <c r="BK133" s="920"/>
      <c r="BL133" s="920"/>
    </row>
    <row r="134">
      <c r="A134" s="622"/>
      <c r="B134" s="948" t="s">
        <v>1202</v>
      </c>
      <c r="C134" s="947" t="s">
        <v>23</v>
      </c>
      <c r="D134" s="811" t="s">
        <v>69</v>
      </c>
      <c r="E134" s="810" t="s">
        <v>70</v>
      </c>
      <c r="F134" s="832" t="s">
        <v>69</v>
      </c>
      <c r="G134" s="810" t="s">
        <v>70</v>
      </c>
      <c r="H134" s="832" t="s">
        <v>69</v>
      </c>
      <c r="I134" s="832" t="s">
        <v>69</v>
      </c>
      <c r="J134" s="810" t="s">
        <v>70</v>
      </c>
      <c r="K134" s="810" t="s">
        <v>70</v>
      </c>
      <c r="L134" s="878" t="s">
        <v>69</v>
      </c>
      <c r="M134" s="878" t="s">
        <v>69</v>
      </c>
      <c r="N134" s="878" t="s">
        <v>70</v>
      </c>
      <c r="O134" s="878" t="s">
        <v>70</v>
      </c>
      <c r="P134" s="878"/>
      <c r="Q134" s="878" t="s">
        <v>99</v>
      </c>
      <c r="R134" s="878" t="s">
        <v>69</v>
      </c>
      <c r="S134" s="878" t="s">
        <v>99</v>
      </c>
      <c r="T134" s="878" t="s">
        <v>1193</v>
      </c>
      <c r="U134" s="878" t="s">
        <v>70</v>
      </c>
      <c r="V134" s="878" t="s">
        <v>1193</v>
      </c>
      <c r="W134" s="878" t="s">
        <v>1193</v>
      </c>
      <c r="X134" s="878" t="s">
        <v>1193</v>
      </c>
      <c r="Y134" s="878" t="s">
        <v>1193</v>
      </c>
      <c r="Z134" s="878" t="s">
        <v>1193</v>
      </c>
      <c r="AA134" s="878" t="s">
        <v>1193</v>
      </c>
      <c r="AB134" s="878" t="s">
        <v>70</v>
      </c>
      <c r="AC134" s="924"/>
      <c r="AD134" s="924"/>
      <c r="AE134" s="924"/>
      <c r="AF134" s="924"/>
      <c r="AG134" s="924"/>
      <c r="AH134" s="924"/>
      <c r="AI134" s="924"/>
      <c r="AJ134" s="924"/>
      <c r="AK134" s="924"/>
      <c r="AL134" s="919"/>
      <c r="AM134" s="919"/>
      <c r="AN134" s="919"/>
      <c r="AO134" s="919"/>
      <c r="AP134" s="919"/>
      <c r="AQ134" s="919"/>
      <c r="AR134" s="919"/>
      <c r="AS134" s="919"/>
      <c r="AT134" s="919"/>
      <c r="AU134" s="919"/>
      <c r="AV134" s="919"/>
      <c r="AW134" s="919"/>
      <c r="AX134" s="919"/>
      <c r="AY134" s="919"/>
      <c r="AZ134" s="919"/>
      <c r="BA134" s="919"/>
      <c r="BB134" s="919"/>
      <c r="BC134" s="919"/>
      <c r="BD134" s="919"/>
      <c r="BE134" s="920"/>
      <c r="BF134" s="920"/>
      <c r="BG134" s="920"/>
      <c r="BH134" s="920"/>
      <c r="BI134" s="920"/>
      <c r="BJ134" s="920"/>
      <c r="BK134" s="920"/>
      <c r="BL134" s="920"/>
    </row>
    <row r="135">
      <c r="A135" s="622"/>
      <c r="B135" s="947" t="s">
        <v>142</v>
      </c>
      <c r="C135" s="947" t="s">
        <v>23</v>
      </c>
      <c r="D135" s="811" t="s">
        <v>69</v>
      </c>
      <c r="E135" s="810" t="s">
        <v>70</v>
      </c>
      <c r="F135" s="832" t="s">
        <v>69</v>
      </c>
      <c r="G135" s="810" t="s">
        <v>70</v>
      </c>
      <c r="H135" s="832" t="s">
        <v>69</v>
      </c>
      <c r="I135" s="832" t="s">
        <v>69</v>
      </c>
      <c r="J135" s="810" t="s">
        <v>70</v>
      </c>
      <c r="K135" s="810" t="s">
        <v>70</v>
      </c>
      <c r="L135" s="878" t="s">
        <v>69</v>
      </c>
      <c r="M135" s="878" t="s">
        <v>69</v>
      </c>
      <c r="N135" s="878" t="s">
        <v>69</v>
      </c>
      <c r="O135" s="878" t="s">
        <v>70</v>
      </c>
      <c r="P135" s="878"/>
      <c r="Q135" s="878" t="s">
        <v>69</v>
      </c>
      <c r="R135" s="878" t="s">
        <v>69</v>
      </c>
      <c r="S135" s="878" t="s">
        <v>69</v>
      </c>
      <c r="T135" s="878" t="s">
        <v>1193</v>
      </c>
      <c r="U135" s="878" t="s">
        <v>1193</v>
      </c>
      <c r="V135" s="878" t="s">
        <v>1193</v>
      </c>
      <c r="W135" s="878" t="s">
        <v>1193</v>
      </c>
      <c r="X135" s="878" t="s">
        <v>1193</v>
      </c>
      <c r="Y135" s="878" t="s">
        <v>1193</v>
      </c>
      <c r="Z135" s="878" t="s">
        <v>1193</v>
      </c>
      <c r="AA135" s="878" t="s">
        <v>1193</v>
      </c>
      <c r="AB135" s="878" t="s">
        <v>70</v>
      </c>
      <c r="AC135" s="924"/>
      <c r="AD135" s="924"/>
      <c r="AE135" s="924"/>
      <c r="AF135" s="924"/>
      <c r="AG135" s="924"/>
      <c r="AH135" s="924"/>
      <c r="AI135" s="924"/>
      <c r="AJ135" s="924"/>
      <c r="AK135" s="924"/>
      <c r="AL135" s="919"/>
      <c r="AM135" s="919"/>
      <c r="AN135" s="919"/>
      <c r="AO135" s="919"/>
      <c r="AP135" s="919"/>
      <c r="AQ135" s="919"/>
      <c r="AR135" s="919"/>
      <c r="AS135" s="919"/>
      <c r="AT135" s="919"/>
      <c r="AU135" s="919"/>
      <c r="AV135" s="919"/>
      <c r="AW135" s="919"/>
      <c r="AX135" s="919"/>
      <c r="AY135" s="919"/>
      <c r="AZ135" s="919"/>
      <c r="BA135" s="919"/>
      <c r="BB135" s="919"/>
      <c r="BC135" s="919"/>
      <c r="BD135" s="919"/>
      <c r="BE135" s="920"/>
      <c r="BF135" s="920"/>
      <c r="BG135" s="920"/>
      <c r="BH135" s="920"/>
      <c r="BI135" s="920"/>
      <c r="BJ135" s="920"/>
      <c r="BK135" s="920"/>
      <c r="BL135" s="920"/>
    </row>
    <row r="136">
      <c r="A136" s="622"/>
      <c r="B136" s="949" t="s">
        <v>1203</v>
      </c>
      <c r="C136" s="950" t="s">
        <v>12</v>
      </c>
      <c r="D136" s="811" t="s">
        <v>69</v>
      </c>
      <c r="E136" s="810" t="s">
        <v>70</v>
      </c>
      <c r="F136" s="810" t="s">
        <v>70</v>
      </c>
      <c r="G136" s="810" t="s">
        <v>70</v>
      </c>
      <c r="H136" s="832" t="s">
        <v>69</v>
      </c>
      <c r="I136" s="832" t="s">
        <v>69</v>
      </c>
      <c r="J136" s="810" t="s">
        <v>70</v>
      </c>
      <c r="K136" s="810" t="s">
        <v>70</v>
      </c>
      <c r="L136" s="878" t="s">
        <v>69</v>
      </c>
      <c r="M136" s="878" t="s">
        <v>69</v>
      </c>
      <c r="N136" s="878" t="s">
        <v>69</v>
      </c>
      <c r="O136" s="878" t="s">
        <v>70</v>
      </c>
      <c r="P136" s="878"/>
      <c r="Q136" s="878" t="s">
        <v>70</v>
      </c>
      <c r="R136" s="878" t="s">
        <v>70</v>
      </c>
      <c r="S136" s="878" t="s">
        <v>69</v>
      </c>
      <c r="T136" s="878" t="s">
        <v>1193</v>
      </c>
      <c r="U136" s="878" t="s">
        <v>70</v>
      </c>
      <c r="V136" s="878" t="s">
        <v>1193</v>
      </c>
      <c r="W136" s="878" t="s">
        <v>1193</v>
      </c>
      <c r="X136" s="878" t="s">
        <v>1193</v>
      </c>
      <c r="Y136" s="878" t="s">
        <v>1193</v>
      </c>
      <c r="Z136" s="878" t="s">
        <v>1193</v>
      </c>
      <c r="AA136" s="878" t="s">
        <v>1193</v>
      </c>
      <c r="AB136" s="878" t="s">
        <v>70</v>
      </c>
      <c r="AC136" s="924"/>
      <c r="AD136" s="924"/>
      <c r="AE136" s="924"/>
      <c r="AF136" s="924"/>
      <c r="AG136" s="924"/>
      <c r="AH136" s="924"/>
      <c r="AI136" s="924"/>
      <c r="AJ136" s="924"/>
      <c r="AK136" s="924"/>
      <c r="AL136" s="919"/>
      <c r="AM136" s="919"/>
      <c r="AN136" s="919"/>
      <c r="AO136" s="919"/>
      <c r="AP136" s="919"/>
      <c r="AQ136" s="919"/>
      <c r="AR136" s="919"/>
      <c r="AS136" s="919"/>
      <c r="AT136" s="919"/>
      <c r="AU136" s="919"/>
      <c r="AV136" s="919"/>
      <c r="AW136" s="919"/>
      <c r="AX136" s="919"/>
      <c r="AY136" s="919"/>
      <c r="AZ136" s="919"/>
      <c r="BA136" s="919"/>
      <c r="BB136" s="919"/>
      <c r="BC136" s="919"/>
      <c r="BD136" s="919"/>
      <c r="BE136" s="920"/>
      <c r="BF136" s="920"/>
      <c r="BG136" s="920"/>
      <c r="BH136" s="920"/>
      <c r="BI136" s="920"/>
      <c r="BJ136" s="920"/>
      <c r="BK136" s="920"/>
      <c r="BL136" s="920"/>
    </row>
    <row r="137">
      <c r="A137" s="622"/>
      <c r="B137" s="951" t="s">
        <v>1182</v>
      </c>
      <c r="C137" s="951" t="s">
        <v>12</v>
      </c>
      <c r="D137" s="811" t="s">
        <v>69</v>
      </c>
      <c r="E137" s="810" t="s">
        <v>70</v>
      </c>
      <c r="F137" s="832" t="s">
        <v>69</v>
      </c>
      <c r="G137" s="810" t="s">
        <v>70</v>
      </c>
      <c r="H137" s="832" t="s">
        <v>69</v>
      </c>
      <c r="I137" s="832" t="s">
        <v>69</v>
      </c>
      <c r="J137" s="810" t="s">
        <v>70</v>
      </c>
      <c r="K137" s="810" t="s">
        <v>70</v>
      </c>
      <c r="L137" s="878" t="s">
        <v>100</v>
      </c>
      <c r="M137" s="878" t="s">
        <v>100</v>
      </c>
      <c r="N137" s="878" t="s">
        <v>100</v>
      </c>
      <c r="O137" s="878" t="s">
        <v>100</v>
      </c>
      <c r="P137" s="878"/>
      <c r="Q137" s="878" t="s">
        <v>100</v>
      </c>
      <c r="R137" s="878" t="s">
        <v>100</v>
      </c>
      <c r="S137" s="878" t="s">
        <v>100</v>
      </c>
      <c r="T137" s="878" t="s">
        <v>1193</v>
      </c>
      <c r="U137" s="878" t="s">
        <v>70</v>
      </c>
      <c r="V137" s="878" t="s">
        <v>1193</v>
      </c>
      <c r="W137" s="878" t="s">
        <v>1193</v>
      </c>
      <c r="X137" s="878" t="s">
        <v>1193</v>
      </c>
      <c r="Y137" s="878" t="s">
        <v>1193</v>
      </c>
      <c r="Z137" s="878" t="s">
        <v>1193</v>
      </c>
      <c r="AA137" s="878" t="s">
        <v>1193</v>
      </c>
      <c r="AB137" s="878" t="s">
        <v>70</v>
      </c>
      <c r="AC137" s="924"/>
      <c r="AD137" s="924"/>
      <c r="AE137" s="924"/>
      <c r="AF137" s="924"/>
      <c r="AG137" s="924"/>
      <c r="AH137" s="924"/>
      <c r="AI137" s="924"/>
      <c r="AJ137" s="924"/>
      <c r="AK137" s="924"/>
      <c r="AL137" s="919"/>
      <c r="AM137" s="919"/>
      <c r="AN137" s="919"/>
      <c r="AO137" s="919"/>
      <c r="AP137" s="919"/>
      <c r="AQ137" s="919"/>
      <c r="AR137" s="919"/>
      <c r="AS137" s="919"/>
      <c r="AT137" s="919"/>
      <c r="AU137" s="919"/>
      <c r="AV137" s="919"/>
      <c r="AW137" s="919"/>
      <c r="AX137" s="919"/>
      <c r="AY137" s="919"/>
      <c r="AZ137" s="919"/>
      <c r="BA137" s="919"/>
      <c r="BB137" s="919"/>
      <c r="BC137" s="919"/>
      <c r="BD137" s="919"/>
      <c r="BE137" s="920"/>
      <c r="BF137" s="920"/>
      <c r="BG137" s="920"/>
      <c r="BH137" s="920"/>
      <c r="BI137" s="920"/>
      <c r="BJ137" s="920"/>
      <c r="BK137" s="920"/>
      <c r="BL137" s="920"/>
    </row>
    <row r="138">
      <c r="A138" s="622"/>
      <c r="B138" s="951" t="s">
        <v>1184</v>
      </c>
      <c r="C138" s="952" t="s">
        <v>12</v>
      </c>
      <c r="D138" s="811" t="s">
        <v>69</v>
      </c>
      <c r="E138" s="810" t="s">
        <v>70</v>
      </c>
      <c r="F138" s="810" t="s">
        <v>70</v>
      </c>
      <c r="G138" s="810" t="s">
        <v>70</v>
      </c>
      <c r="H138" s="832" t="s">
        <v>69</v>
      </c>
      <c r="I138" s="832" t="s">
        <v>69</v>
      </c>
      <c r="J138" s="810" t="s">
        <v>70</v>
      </c>
      <c r="K138" s="810" t="s">
        <v>70</v>
      </c>
      <c r="L138" s="878" t="s">
        <v>69</v>
      </c>
      <c r="M138" s="878" t="s">
        <v>69</v>
      </c>
      <c r="N138" s="878" t="s">
        <v>69</v>
      </c>
      <c r="O138" s="878" t="s">
        <v>70</v>
      </c>
      <c r="P138" s="878"/>
      <c r="Q138" s="878" t="s">
        <v>70</v>
      </c>
      <c r="R138" s="878" t="s">
        <v>70</v>
      </c>
      <c r="S138" s="878" t="s">
        <v>69</v>
      </c>
      <c r="T138" s="878" t="s">
        <v>1193</v>
      </c>
      <c r="U138" s="878" t="s">
        <v>70</v>
      </c>
      <c r="V138" s="878" t="s">
        <v>1193</v>
      </c>
      <c r="W138" s="878" t="s">
        <v>1193</v>
      </c>
      <c r="X138" s="878" t="s">
        <v>1193</v>
      </c>
      <c r="Y138" s="878" t="s">
        <v>1193</v>
      </c>
      <c r="Z138" s="878" t="s">
        <v>1193</v>
      </c>
      <c r="AA138" s="878" t="s">
        <v>1193</v>
      </c>
      <c r="AB138" s="878" t="s">
        <v>70</v>
      </c>
      <c r="AC138" s="924"/>
      <c r="AD138" s="924"/>
      <c r="AE138" s="924"/>
      <c r="AF138" s="924"/>
      <c r="AG138" s="924"/>
      <c r="AH138" s="924"/>
      <c r="AI138" s="924"/>
      <c r="AJ138" s="924"/>
      <c r="AK138" s="924"/>
      <c r="AL138" s="919"/>
      <c r="AM138" s="919"/>
      <c r="AN138" s="919"/>
      <c r="AO138" s="919"/>
      <c r="AP138" s="919"/>
      <c r="AQ138" s="919"/>
      <c r="AR138" s="919"/>
      <c r="AS138" s="919"/>
      <c r="AT138" s="919"/>
      <c r="AU138" s="919"/>
      <c r="AV138" s="919"/>
      <c r="AW138" s="919"/>
      <c r="AX138" s="919"/>
      <c r="AY138" s="919"/>
      <c r="AZ138" s="919"/>
      <c r="BA138" s="919"/>
      <c r="BB138" s="919"/>
      <c r="BC138" s="919"/>
      <c r="BD138" s="919"/>
      <c r="BE138" s="920"/>
      <c r="BF138" s="920"/>
      <c r="BG138" s="920"/>
      <c r="BH138" s="920"/>
      <c r="BI138" s="920"/>
      <c r="BJ138" s="920"/>
      <c r="BK138" s="920"/>
      <c r="BL138" s="920"/>
    </row>
    <row r="139">
      <c r="A139" s="622"/>
      <c r="B139" s="953" t="s">
        <v>53</v>
      </c>
      <c r="C139" s="953" t="s">
        <v>25</v>
      </c>
      <c r="D139" s="811" t="s">
        <v>69</v>
      </c>
      <c r="E139" s="832" t="s">
        <v>69</v>
      </c>
      <c r="F139" s="832" t="s">
        <v>69</v>
      </c>
      <c r="G139" s="832" t="s">
        <v>69</v>
      </c>
      <c r="H139" s="810" t="s">
        <v>70</v>
      </c>
      <c r="I139" s="832" t="s">
        <v>69</v>
      </c>
      <c r="J139" s="810" t="s">
        <v>70</v>
      </c>
      <c r="K139" s="810" t="s">
        <v>70</v>
      </c>
      <c r="L139" s="878" t="s">
        <v>70</v>
      </c>
      <c r="M139" s="878" t="s">
        <v>69</v>
      </c>
      <c r="N139" s="878" t="s">
        <v>69</v>
      </c>
      <c r="O139" s="878" t="s">
        <v>70</v>
      </c>
      <c r="P139" s="878"/>
      <c r="Q139" s="878" t="s">
        <v>69</v>
      </c>
      <c r="R139" s="878" t="s">
        <v>69</v>
      </c>
      <c r="S139" s="878" t="s">
        <v>69</v>
      </c>
      <c r="T139" s="878" t="s">
        <v>1193</v>
      </c>
      <c r="U139" s="878" t="s">
        <v>1193</v>
      </c>
      <c r="V139" s="878" t="s">
        <v>1193</v>
      </c>
      <c r="W139" s="878" t="s">
        <v>70</v>
      </c>
      <c r="X139" s="878" t="s">
        <v>1193</v>
      </c>
      <c r="Y139" s="878" t="s">
        <v>1193</v>
      </c>
      <c r="Z139" s="878" t="s">
        <v>70</v>
      </c>
      <c r="AA139" s="878" t="s">
        <v>1193</v>
      </c>
      <c r="AB139" s="878" t="s">
        <v>70</v>
      </c>
      <c r="AC139" s="924"/>
      <c r="AD139" s="924"/>
      <c r="AE139" s="924"/>
      <c r="AF139" s="924"/>
      <c r="AG139" s="924"/>
      <c r="AH139" s="924"/>
      <c r="AI139" s="924"/>
      <c r="AJ139" s="924"/>
      <c r="AK139" s="924"/>
      <c r="AL139" s="919"/>
      <c r="AM139" s="919"/>
      <c r="AN139" s="919"/>
      <c r="AO139" s="919"/>
      <c r="AP139" s="919"/>
      <c r="AQ139" s="919"/>
      <c r="AR139" s="919"/>
      <c r="AS139" s="919"/>
      <c r="AT139" s="919"/>
      <c r="AU139" s="919"/>
      <c r="AV139" s="919"/>
      <c r="AW139" s="919"/>
      <c r="AX139" s="919"/>
      <c r="AY139" s="919"/>
      <c r="AZ139" s="919"/>
      <c r="BA139" s="919"/>
      <c r="BB139" s="919"/>
      <c r="BC139" s="919"/>
      <c r="BD139" s="919"/>
      <c r="BE139" s="920"/>
      <c r="BF139" s="920"/>
      <c r="BG139" s="920"/>
      <c r="BH139" s="920"/>
      <c r="BI139" s="920"/>
      <c r="BJ139" s="920"/>
      <c r="BK139" s="920"/>
      <c r="BL139" s="920"/>
    </row>
    <row r="140">
      <c r="A140" s="622"/>
      <c r="B140" s="954" t="s">
        <v>1204</v>
      </c>
      <c r="C140" s="954" t="s">
        <v>25</v>
      </c>
      <c r="D140" s="878" t="s">
        <v>69</v>
      </c>
      <c r="E140" s="878" t="s">
        <v>69</v>
      </c>
      <c r="F140" s="878" t="s">
        <v>69</v>
      </c>
      <c r="G140" s="878" t="s">
        <v>69</v>
      </c>
      <c r="H140" s="878" t="s">
        <v>70</v>
      </c>
      <c r="I140" s="878" t="s">
        <v>69</v>
      </c>
      <c r="J140" s="878" t="s">
        <v>70</v>
      </c>
      <c r="K140" s="878" t="s">
        <v>70</v>
      </c>
      <c r="L140" s="878" t="s">
        <v>100</v>
      </c>
      <c r="M140" s="878" t="s">
        <v>100</v>
      </c>
      <c r="N140" s="878" t="s">
        <v>100</v>
      </c>
      <c r="O140" s="878" t="s">
        <v>100</v>
      </c>
      <c r="P140" s="878"/>
      <c r="Q140" s="878" t="s">
        <v>100</v>
      </c>
      <c r="R140" s="878" t="s">
        <v>100</v>
      </c>
      <c r="S140" s="878" t="s">
        <v>100</v>
      </c>
      <c r="T140" s="878" t="s">
        <v>1193</v>
      </c>
      <c r="U140" s="878" t="s">
        <v>1193</v>
      </c>
      <c r="V140" s="878" t="s">
        <v>1193</v>
      </c>
      <c r="W140" s="878" t="s">
        <v>70</v>
      </c>
      <c r="X140" s="878" t="s">
        <v>1193</v>
      </c>
      <c r="Y140" s="878" t="s">
        <v>1193</v>
      </c>
      <c r="Z140" s="878" t="s">
        <v>70</v>
      </c>
      <c r="AA140" s="878" t="s">
        <v>1193</v>
      </c>
      <c r="AB140" s="878" t="s">
        <v>70</v>
      </c>
      <c r="AC140" s="924"/>
      <c r="AD140" s="924"/>
      <c r="AE140" s="924"/>
      <c r="AF140" s="924"/>
      <c r="AG140" s="924"/>
      <c r="AH140" s="924"/>
      <c r="AI140" s="924"/>
      <c r="AJ140" s="924"/>
      <c r="AK140" s="924"/>
      <c r="AL140" s="919"/>
      <c r="AM140" s="919"/>
      <c r="AN140" s="919"/>
      <c r="AO140" s="919"/>
      <c r="AP140" s="919"/>
      <c r="AQ140" s="919"/>
      <c r="AR140" s="919"/>
      <c r="AS140" s="919"/>
      <c r="AT140" s="919"/>
      <c r="AU140" s="919"/>
      <c r="AV140" s="919"/>
      <c r="AW140" s="919"/>
      <c r="AX140" s="919"/>
      <c r="AY140" s="919"/>
      <c r="AZ140" s="919"/>
      <c r="BA140" s="919"/>
      <c r="BB140" s="919"/>
      <c r="BC140" s="919"/>
      <c r="BD140" s="919"/>
      <c r="BE140" s="920"/>
      <c r="BF140" s="920"/>
      <c r="BG140" s="920"/>
      <c r="BH140" s="920"/>
      <c r="BI140" s="920"/>
      <c r="BJ140" s="920"/>
      <c r="BK140" s="920"/>
      <c r="BL140" s="920"/>
    </row>
    <row r="141">
      <c r="A141" s="899" t="s">
        <v>68</v>
      </c>
      <c r="B141" s="900"/>
      <c r="D141" s="918"/>
      <c r="E141" s="671"/>
      <c r="F141" s="671"/>
      <c r="G141" s="671"/>
      <c r="H141" s="671"/>
      <c r="I141" s="671"/>
      <c r="J141" s="671"/>
      <c r="K141" s="671"/>
      <c r="L141" s="671"/>
      <c r="M141" s="671"/>
      <c r="N141" s="671"/>
      <c r="O141" s="671"/>
      <c r="P141" s="671"/>
      <c r="Q141" s="671"/>
      <c r="R141" s="671"/>
      <c r="S141" s="671"/>
      <c r="T141" s="671"/>
      <c r="U141" s="671"/>
      <c r="V141" s="671"/>
      <c r="W141" s="924"/>
      <c r="X141" s="924"/>
      <c r="Y141" s="924"/>
      <c r="Z141" s="924"/>
      <c r="AA141" s="924"/>
      <c r="AB141" s="924"/>
      <c r="AC141" s="924"/>
      <c r="AD141" s="924"/>
      <c r="AE141" s="924"/>
      <c r="AF141" s="924"/>
      <c r="AG141" s="924"/>
      <c r="AH141" s="924"/>
      <c r="AI141" s="924"/>
      <c r="AJ141" s="924"/>
      <c r="AK141" s="924"/>
      <c r="AL141" s="919"/>
      <c r="AM141" s="919"/>
      <c r="AN141" s="919"/>
      <c r="AO141" s="919"/>
      <c r="AP141" s="919"/>
      <c r="AQ141" s="919"/>
      <c r="AR141" s="919"/>
      <c r="AS141" s="919"/>
      <c r="AT141" s="919"/>
      <c r="AU141" s="919"/>
      <c r="AV141" s="919"/>
      <c r="AW141" s="919"/>
      <c r="AX141" s="919"/>
      <c r="AY141" s="919"/>
      <c r="AZ141" s="919"/>
      <c r="BA141" s="919"/>
      <c r="BB141" s="919"/>
      <c r="BC141" s="919"/>
      <c r="BD141" s="919"/>
      <c r="BE141" s="920"/>
      <c r="BF141" s="920"/>
      <c r="BG141" s="920"/>
      <c r="BH141" s="920"/>
      <c r="BI141" s="920"/>
      <c r="BJ141" s="920"/>
      <c r="BK141" s="920"/>
      <c r="BL141" s="920"/>
    </row>
    <row r="142">
      <c r="A142" s="901"/>
      <c r="B142" s="790" t="s">
        <v>69</v>
      </c>
      <c r="D142" s="791">
        <f t="shared" ref="D142:O142" si="29">COUNTIF(D113:D140,"Voor")</f>
        <v>18</v>
      </c>
      <c r="E142" s="902">
        <f t="shared" si="29"/>
        <v>7</v>
      </c>
      <c r="F142" s="902">
        <f t="shared" si="29"/>
        <v>17</v>
      </c>
      <c r="G142" s="902">
        <f t="shared" si="29"/>
        <v>15</v>
      </c>
      <c r="H142" s="902">
        <f t="shared" si="29"/>
        <v>20</v>
      </c>
      <c r="I142" s="902">
        <f t="shared" si="29"/>
        <v>19</v>
      </c>
      <c r="J142" s="902">
        <f t="shared" si="29"/>
        <v>13</v>
      </c>
      <c r="K142" s="902">
        <f t="shared" si="29"/>
        <v>13</v>
      </c>
      <c r="L142" s="902">
        <f t="shared" si="29"/>
        <v>6</v>
      </c>
      <c r="M142" s="902">
        <f t="shared" si="29"/>
        <v>7</v>
      </c>
      <c r="N142" s="902">
        <f t="shared" si="29"/>
        <v>10</v>
      </c>
      <c r="O142" s="902">
        <f t="shared" si="29"/>
        <v>12</v>
      </c>
      <c r="P142" s="902"/>
      <c r="Q142" s="902">
        <f t="shared" ref="Q142:V142" si="30">COUNTIF(Q113:Q140,"Voor")</f>
        <v>7</v>
      </c>
      <c r="R142" s="902">
        <f t="shared" si="30"/>
        <v>17</v>
      </c>
      <c r="S142" s="902">
        <f t="shared" si="30"/>
        <v>18</v>
      </c>
      <c r="T142" s="902">
        <f t="shared" si="30"/>
        <v>13</v>
      </c>
      <c r="U142" s="902">
        <f t="shared" si="30"/>
        <v>8</v>
      </c>
      <c r="V142" s="902">
        <f t="shared" si="30"/>
        <v>13</v>
      </c>
      <c r="W142" s="924"/>
      <c r="X142" s="924"/>
      <c r="Y142" s="924"/>
      <c r="Z142" s="924"/>
      <c r="AA142" s="924"/>
      <c r="AB142" s="924"/>
      <c r="AC142" s="924"/>
      <c r="AD142" s="924"/>
      <c r="AE142" s="924"/>
      <c r="AF142" s="924"/>
      <c r="AG142" s="924"/>
      <c r="AH142" s="924"/>
      <c r="AI142" s="924"/>
      <c r="AJ142" s="924"/>
      <c r="AK142" s="924"/>
      <c r="AL142" s="919"/>
      <c r="AM142" s="919"/>
      <c r="AN142" s="919"/>
      <c r="AO142" s="919"/>
      <c r="AP142" s="919"/>
      <c r="AQ142" s="919"/>
      <c r="AR142" s="919"/>
      <c r="AS142" s="919"/>
      <c r="AT142" s="919"/>
      <c r="AU142" s="919"/>
      <c r="AV142" s="919"/>
      <c r="AW142" s="919"/>
      <c r="AX142" s="919"/>
      <c r="AY142" s="919"/>
      <c r="AZ142" s="919"/>
      <c r="BA142" s="919"/>
      <c r="BB142" s="919"/>
      <c r="BC142" s="919"/>
      <c r="BD142" s="919"/>
      <c r="BE142" s="920"/>
      <c r="BF142" s="920"/>
      <c r="BG142" s="920"/>
      <c r="BH142" s="920"/>
      <c r="BI142" s="920"/>
      <c r="BJ142" s="920"/>
      <c r="BK142" s="920"/>
      <c r="BL142" s="920"/>
    </row>
    <row r="143">
      <c r="A143" s="901"/>
      <c r="B143" s="792" t="s">
        <v>70</v>
      </c>
      <c r="D143" s="793">
        <f t="shared" ref="D143:O143" si="31">COUNTIF(D113:D140,"Tegen")</f>
        <v>4</v>
      </c>
      <c r="E143" s="903">
        <f t="shared" si="31"/>
        <v>15</v>
      </c>
      <c r="F143" s="903">
        <f t="shared" si="31"/>
        <v>5</v>
      </c>
      <c r="G143" s="903">
        <f t="shared" si="31"/>
        <v>7</v>
      </c>
      <c r="H143" s="903">
        <f t="shared" si="31"/>
        <v>2</v>
      </c>
      <c r="I143" s="903">
        <f t="shared" si="31"/>
        <v>3</v>
      </c>
      <c r="J143" s="903">
        <f t="shared" si="31"/>
        <v>9</v>
      </c>
      <c r="K143" s="903">
        <f t="shared" si="31"/>
        <v>9</v>
      </c>
      <c r="L143" s="903">
        <f t="shared" si="31"/>
        <v>14</v>
      </c>
      <c r="M143" s="903">
        <f t="shared" si="31"/>
        <v>13</v>
      </c>
      <c r="N143" s="903">
        <f t="shared" si="31"/>
        <v>8</v>
      </c>
      <c r="O143" s="903">
        <f t="shared" si="31"/>
        <v>8</v>
      </c>
      <c r="P143" s="903"/>
      <c r="Q143" s="903">
        <f t="shared" ref="Q143:V143" si="32">COUNTIF(Q113:Q140,"Tegen")</f>
        <v>12</v>
      </c>
      <c r="R143" s="903">
        <f t="shared" si="32"/>
        <v>3</v>
      </c>
      <c r="S143" s="903">
        <f t="shared" si="32"/>
        <v>0</v>
      </c>
      <c r="T143" s="903">
        <f t="shared" si="32"/>
        <v>9</v>
      </c>
      <c r="U143" s="903">
        <f t="shared" si="32"/>
        <v>14</v>
      </c>
      <c r="V143" s="903">
        <f t="shared" si="32"/>
        <v>9</v>
      </c>
      <c r="W143" s="924"/>
      <c r="X143" s="924"/>
      <c r="Y143" s="924"/>
      <c r="Z143" s="924"/>
      <c r="AA143" s="924"/>
      <c r="AB143" s="924"/>
      <c r="AC143" s="924"/>
      <c r="AD143" s="924"/>
      <c r="AE143" s="924"/>
      <c r="AF143" s="924"/>
      <c r="AG143" s="924"/>
      <c r="AH143" s="924"/>
      <c r="AI143" s="924"/>
      <c r="AJ143" s="924"/>
      <c r="AK143" s="924"/>
      <c r="AL143" s="919"/>
      <c r="AM143" s="919"/>
      <c r="AN143" s="919"/>
      <c r="AO143" s="919"/>
      <c r="AP143" s="919"/>
      <c r="AQ143" s="919"/>
      <c r="AR143" s="919"/>
      <c r="AS143" s="919"/>
      <c r="AT143" s="919"/>
      <c r="AU143" s="919"/>
      <c r="AV143" s="919"/>
      <c r="AW143" s="919"/>
      <c r="AX143" s="919"/>
      <c r="AY143" s="919"/>
      <c r="AZ143" s="919"/>
      <c r="BA143" s="919"/>
      <c r="BB143" s="919"/>
      <c r="BC143" s="919"/>
      <c r="BD143" s="919"/>
      <c r="BE143" s="920"/>
      <c r="BF143" s="920"/>
      <c r="BG143" s="920"/>
      <c r="BH143" s="920"/>
      <c r="BI143" s="920"/>
      <c r="BJ143" s="920"/>
      <c r="BK143" s="920"/>
      <c r="BL143" s="920"/>
    </row>
    <row r="144">
      <c r="A144" s="901"/>
      <c r="B144" s="794" t="s">
        <v>71</v>
      </c>
      <c r="D144" s="795">
        <f t="shared" ref="D144:O144" si="33">COUNTIF(D113:D140,"SO")</f>
        <v>0</v>
      </c>
      <c r="E144" s="904">
        <f t="shared" si="33"/>
        <v>0</v>
      </c>
      <c r="F144" s="904">
        <f t="shared" si="33"/>
        <v>0</v>
      </c>
      <c r="G144" s="904">
        <f t="shared" si="33"/>
        <v>0</v>
      </c>
      <c r="H144" s="904">
        <f t="shared" si="33"/>
        <v>0</v>
      </c>
      <c r="I144" s="904">
        <f t="shared" si="33"/>
        <v>0</v>
      </c>
      <c r="J144" s="904">
        <f t="shared" si="33"/>
        <v>0</v>
      </c>
      <c r="K144" s="904">
        <f t="shared" si="33"/>
        <v>0</v>
      </c>
      <c r="L144" s="904">
        <f t="shared" si="33"/>
        <v>0</v>
      </c>
      <c r="M144" s="904">
        <f t="shared" si="33"/>
        <v>0</v>
      </c>
      <c r="N144" s="904">
        <f t="shared" si="33"/>
        <v>2</v>
      </c>
      <c r="O144" s="904">
        <f t="shared" si="33"/>
        <v>0</v>
      </c>
      <c r="P144" s="904"/>
      <c r="Q144" s="904">
        <f t="shared" ref="Q144:V144" si="34">COUNTIF(Q113:Q140,"SO")</f>
        <v>1</v>
      </c>
      <c r="R144" s="904">
        <f t="shared" si="34"/>
        <v>0</v>
      </c>
      <c r="S144" s="904">
        <f t="shared" si="34"/>
        <v>1</v>
      </c>
      <c r="T144" s="904">
        <f t="shared" si="34"/>
        <v>0</v>
      </c>
      <c r="U144" s="904">
        <f t="shared" si="34"/>
        <v>0</v>
      </c>
      <c r="V144" s="904">
        <f t="shared" si="34"/>
        <v>0</v>
      </c>
      <c r="W144" s="924"/>
      <c r="X144" s="924"/>
      <c r="Y144" s="924"/>
      <c r="Z144" s="924"/>
      <c r="AA144" s="924"/>
      <c r="AB144" s="924"/>
      <c r="AC144" s="924"/>
      <c r="AD144" s="924"/>
      <c r="AE144" s="924"/>
      <c r="AF144" s="924"/>
      <c r="AG144" s="924"/>
      <c r="AH144" s="924"/>
      <c r="AI144" s="924"/>
      <c r="AJ144" s="924"/>
      <c r="AK144" s="924"/>
      <c r="AL144" s="919"/>
      <c r="AM144" s="919"/>
      <c r="AN144" s="919"/>
      <c r="AO144" s="919"/>
      <c r="AP144" s="919"/>
      <c r="AQ144" s="919"/>
      <c r="AR144" s="919"/>
      <c r="AS144" s="919"/>
      <c r="AT144" s="919"/>
      <c r="AU144" s="919"/>
      <c r="AV144" s="919"/>
      <c r="AW144" s="919"/>
      <c r="AX144" s="919"/>
      <c r="AY144" s="919"/>
      <c r="AZ144" s="919"/>
      <c r="BA144" s="919"/>
      <c r="BB144" s="919"/>
      <c r="BC144" s="919"/>
      <c r="BD144" s="919"/>
      <c r="BE144" s="920"/>
      <c r="BF144" s="920"/>
      <c r="BG144" s="920"/>
      <c r="BH144" s="920"/>
      <c r="BI144" s="920"/>
      <c r="BJ144" s="920"/>
      <c r="BK144" s="920"/>
      <c r="BL144" s="920"/>
    </row>
    <row r="145">
      <c r="A145" s="901"/>
      <c r="B145" s="796" t="s">
        <v>72</v>
      </c>
      <c r="D145" s="797">
        <f t="shared" ref="D145:O145" si="35">COUNTIF(D113:D140,"NG")</f>
        <v>3</v>
      </c>
      <c r="E145" s="905">
        <f t="shared" si="35"/>
        <v>3</v>
      </c>
      <c r="F145" s="905">
        <f t="shared" si="35"/>
        <v>3</v>
      </c>
      <c r="G145" s="905">
        <f t="shared" si="35"/>
        <v>3</v>
      </c>
      <c r="H145" s="905">
        <f t="shared" si="35"/>
        <v>3</v>
      </c>
      <c r="I145" s="905">
        <f t="shared" si="35"/>
        <v>3</v>
      </c>
      <c r="J145" s="905">
        <f t="shared" si="35"/>
        <v>3</v>
      </c>
      <c r="K145" s="905">
        <f t="shared" si="35"/>
        <v>3</v>
      </c>
      <c r="L145" s="905">
        <f t="shared" si="35"/>
        <v>5</v>
      </c>
      <c r="M145" s="905">
        <f t="shared" si="35"/>
        <v>5</v>
      </c>
      <c r="N145" s="905">
        <f t="shared" si="35"/>
        <v>5</v>
      </c>
      <c r="O145" s="905">
        <f t="shared" si="35"/>
        <v>5</v>
      </c>
      <c r="P145" s="905"/>
      <c r="Q145" s="905">
        <f t="shared" ref="Q145:V145" si="36">COUNTIF(Q113:Q140,"NG")</f>
        <v>5</v>
      </c>
      <c r="R145" s="905">
        <f t="shared" si="36"/>
        <v>5</v>
      </c>
      <c r="S145" s="905">
        <f t="shared" si="36"/>
        <v>5</v>
      </c>
      <c r="T145" s="905">
        <f t="shared" si="36"/>
        <v>3</v>
      </c>
      <c r="U145" s="905">
        <f t="shared" si="36"/>
        <v>3</v>
      </c>
      <c r="V145" s="905">
        <f t="shared" si="36"/>
        <v>3</v>
      </c>
      <c r="W145" s="924"/>
      <c r="X145" s="924"/>
      <c r="Y145" s="924"/>
      <c r="Z145" s="924"/>
      <c r="AA145" s="924"/>
      <c r="AB145" s="924"/>
      <c r="AC145" s="924"/>
      <c r="AD145" s="924"/>
      <c r="AE145" s="924"/>
      <c r="AF145" s="924"/>
      <c r="AG145" s="924"/>
      <c r="AH145" s="924"/>
      <c r="AI145" s="924"/>
      <c r="AJ145" s="924"/>
      <c r="AK145" s="924"/>
      <c r="AL145" s="919"/>
      <c r="AM145" s="919"/>
      <c r="AN145" s="919"/>
      <c r="AO145" s="919"/>
      <c r="AP145" s="919"/>
      <c r="AQ145" s="919"/>
      <c r="AR145" s="919"/>
      <c r="AS145" s="919"/>
      <c r="AT145" s="919"/>
      <c r="AU145" s="919"/>
      <c r="AV145" s="919"/>
      <c r="AW145" s="919"/>
      <c r="AX145" s="919"/>
      <c r="AY145" s="919"/>
      <c r="AZ145" s="919"/>
      <c r="BA145" s="919"/>
      <c r="BB145" s="919"/>
      <c r="BC145" s="919"/>
      <c r="BD145" s="919"/>
      <c r="BE145" s="920"/>
      <c r="BF145" s="920"/>
      <c r="BG145" s="920"/>
      <c r="BH145" s="920"/>
      <c r="BI145" s="920"/>
      <c r="BJ145" s="920"/>
      <c r="BK145" s="920"/>
      <c r="BL145" s="920"/>
    </row>
    <row r="146">
      <c r="A146" s="901"/>
      <c r="B146" s="798" t="s">
        <v>73</v>
      </c>
      <c r="D146" s="799">
        <f t="shared" ref="D146:O146" si="37">SUM(D142:D145)</f>
        <v>25</v>
      </c>
      <c r="E146" s="906">
        <f t="shared" si="37"/>
        <v>25</v>
      </c>
      <c r="F146" s="906">
        <f t="shared" si="37"/>
        <v>25</v>
      </c>
      <c r="G146" s="906">
        <f t="shared" si="37"/>
        <v>25</v>
      </c>
      <c r="H146" s="906">
        <f t="shared" si="37"/>
        <v>25</v>
      </c>
      <c r="I146" s="906">
        <f t="shared" si="37"/>
        <v>25</v>
      </c>
      <c r="J146" s="906">
        <f t="shared" si="37"/>
        <v>25</v>
      </c>
      <c r="K146" s="906">
        <f t="shared" si="37"/>
        <v>25</v>
      </c>
      <c r="L146" s="906">
        <f t="shared" si="37"/>
        <v>25</v>
      </c>
      <c r="M146" s="906">
        <f t="shared" si="37"/>
        <v>25</v>
      </c>
      <c r="N146" s="906">
        <f t="shared" si="37"/>
        <v>25</v>
      </c>
      <c r="O146" s="906">
        <f t="shared" si="37"/>
        <v>25</v>
      </c>
      <c r="P146" s="906"/>
      <c r="Q146" s="906">
        <f t="shared" ref="Q146:V146" si="38">SUM(Q142:Q145)</f>
        <v>25</v>
      </c>
      <c r="R146" s="906">
        <f t="shared" si="38"/>
        <v>25</v>
      </c>
      <c r="S146" s="906">
        <f t="shared" si="38"/>
        <v>24</v>
      </c>
      <c r="T146" s="906">
        <f t="shared" si="38"/>
        <v>25</v>
      </c>
      <c r="U146" s="906">
        <f t="shared" si="38"/>
        <v>25</v>
      </c>
      <c r="V146" s="906">
        <f t="shared" si="38"/>
        <v>25</v>
      </c>
      <c r="W146" s="924"/>
      <c r="X146" s="924"/>
      <c r="Y146" s="924"/>
      <c r="Z146" s="924"/>
      <c r="AA146" s="924"/>
      <c r="AB146" s="924"/>
      <c r="AC146" s="924"/>
      <c r="AD146" s="924"/>
      <c r="AE146" s="924"/>
      <c r="AF146" s="924"/>
      <c r="AG146" s="924"/>
      <c r="AH146" s="924"/>
      <c r="AI146" s="924"/>
      <c r="AJ146" s="924"/>
      <c r="AK146" s="924"/>
      <c r="AL146" s="919"/>
      <c r="AM146" s="919"/>
      <c r="AN146" s="919"/>
      <c r="AO146" s="919"/>
      <c r="AP146" s="919"/>
      <c r="AQ146" s="919"/>
      <c r="AR146" s="919"/>
      <c r="AS146" s="919"/>
      <c r="AT146" s="919"/>
      <c r="AU146" s="919"/>
      <c r="AV146" s="919"/>
      <c r="AW146" s="919"/>
      <c r="AX146" s="919"/>
      <c r="AY146" s="919"/>
      <c r="AZ146" s="919"/>
      <c r="BA146" s="919"/>
      <c r="BB146" s="919"/>
      <c r="BC146" s="919"/>
      <c r="BD146" s="919"/>
      <c r="BE146" s="920"/>
      <c r="BF146" s="920"/>
      <c r="BG146" s="920"/>
      <c r="BH146" s="920"/>
      <c r="BI146" s="920"/>
      <c r="BJ146" s="920"/>
      <c r="BK146" s="920"/>
      <c r="BL146" s="920"/>
    </row>
    <row r="147">
      <c r="A147" s="901"/>
      <c r="B147" s="800" t="s">
        <v>74</v>
      </c>
      <c r="D147" s="801">
        <f t="shared" ref="D147:O147" si="39">D142+D143+D144</f>
        <v>22</v>
      </c>
      <c r="E147" s="907">
        <f t="shared" si="39"/>
        <v>22</v>
      </c>
      <c r="F147" s="907">
        <f t="shared" si="39"/>
        <v>22</v>
      </c>
      <c r="G147" s="907">
        <f t="shared" si="39"/>
        <v>22</v>
      </c>
      <c r="H147" s="907">
        <f t="shared" si="39"/>
        <v>22</v>
      </c>
      <c r="I147" s="907">
        <f t="shared" si="39"/>
        <v>22</v>
      </c>
      <c r="J147" s="907">
        <f t="shared" si="39"/>
        <v>22</v>
      </c>
      <c r="K147" s="907">
        <f t="shared" si="39"/>
        <v>22</v>
      </c>
      <c r="L147" s="907">
        <f t="shared" si="39"/>
        <v>20</v>
      </c>
      <c r="M147" s="907">
        <f t="shared" si="39"/>
        <v>20</v>
      </c>
      <c r="N147" s="907">
        <f t="shared" si="39"/>
        <v>20</v>
      </c>
      <c r="O147" s="907">
        <f t="shared" si="39"/>
        <v>20</v>
      </c>
      <c r="P147" s="907"/>
      <c r="Q147" s="907">
        <f t="shared" ref="Q147:V147" si="40">Q142+Q143+Q144</f>
        <v>20</v>
      </c>
      <c r="R147" s="907">
        <f t="shared" si="40"/>
        <v>20</v>
      </c>
      <c r="S147" s="907">
        <f t="shared" si="40"/>
        <v>19</v>
      </c>
      <c r="T147" s="907">
        <f t="shared" si="40"/>
        <v>22</v>
      </c>
      <c r="U147" s="907">
        <f t="shared" si="40"/>
        <v>22</v>
      </c>
      <c r="V147" s="907">
        <f t="shared" si="40"/>
        <v>22</v>
      </c>
      <c r="W147" s="924"/>
      <c r="X147" s="924"/>
      <c r="Y147" s="924"/>
      <c r="Z147" s="924"/>
      <c r="AA147" s="924"/>
      <c r="AB147" s="924"/>
      <c r="AC147" s="924"/>
      <c r="AD147" s="924"/>
      <c r="AE147" s="924"/>
      <c r="AF147" s="924"/>
      <c r="AG147" s="924"/>
      <c r="AH147" s="924"/>
      <c r="AI147" s="924"/>
      <c r="AJ147" s="924"/>
      <c r="AK147" s="924"/>
      <c r="AL147" s="919"/>
      <c r="AM147" s="919"/>
      <c r="AN147" s="919"/>
      <c r="AO147" s="919"/>
      <c r="AP147" s="919"/>
      <c r="AQ147" s="919"/>
      <c r="AR147" s="919"/>
      <c r="AS147" s="919"/>
      <c r="AT147" s="919"/>
      <c r="AU147" s="919"/>
      <c r="AV147" s="919"/>
      <c r="AW147" s="919"/>
      <c r="AX147" s="919"/>
      <c r="AY147" s="919"/>
      <c r="AZ147" s="919"/>
      <c r="BA147" s="919"/>
      <c r="BB147" s="919"/>
      <c r="BC147" s="919"/>
      <c r="BD147" s="919"/>
      <c r="BE147" s="920"/>
      <c r="BF147" s="920"/>
      <c r="BG147" s="920"/>
      <c r="BH147" s="920"/>
      <c r="BI147" s="920"/>
      <c r="BJ147" s="920"/>
      <c r="BK147" s="920"/>
      <c r="BL147" s="920"/>
    </row>
    <row r="148">
      <c r="A148" s="901"/>
      <c r="B148" s="854" t="s">
        <v>75</v>
      </c>
      <c r="D148" s="908">
        <f t="shared" ref="D148:O148" si="41">IFERROR(D147/D146,"")</f>
        <v>0.88</v>
      </c>
      <c r="E148" s="910">
        <f t="shared" si="41"/>
        <v>0.88</v>
      </c>
      <c r="F148" s="910">
        <f t="shared" si="41"/>
        <v>0.88</v>
      </c>
      <c r="G148" s="910">
        <f t="shared" si="41"/>
        <v>0.88</v>
      </c>
      <c r="H148" s="910">
        <f t="shared" si="41"/>
        <v>0.88</v>
      </c>
      <c r="I148" s="910">
        <f t="shared" si="41"/>
        <v>0.88</v>
      </c>
      <c r="J148" s="910">
        <f t="shared" si="41"/>
        <v>0.88</v>
      </c>
      <c r="K148" s="910">
        <f t="shared" si="41"/>
        <v>0.88</v>
      </c>
      <c r="L148" s="910">
        <f t="shared" si="41"/>
        <v>0.8</v>
      </c>
      <c r="M148" s="910">
        <f t="shared" si="41"/>
        <v>0.8</v>
      </c>
      <c r="N148" s="910">
        <f t="shared" si="41"/>
        <v>0.8</v>
      </c>
      <c r="O148" s="910">
        <f t="shared" si="41"/>
        <v>0.8</v>
      </c>
      <c r="P148" s="910"/>
      <c r="Q148" s="910">
        <f t="shared" ref="Q148:V148" si="42">IFERROR(Q147/Q146,"")</f>
        <v>0.8</v>
      </c>
      <c r="R148" s="910">
        <f t="shared" si="42"/>
        <v>0.8</v>
      </c>
      <c r="S148" s="910">
        <f t="shared" si="42"/>
        <v>0.7916666667</v>
      </c>
      <c r="T148" s="910">
        <f t="shared" si="42"/>
        <v>0.88</v>
      </c>
      <c r="U148" s="910">
        <f t="shared" si="42"/>
        <v>0.88</v>
      </c>
      <c r="V148" s="910">
        <f t="shared" si="42"/>
        <v>0.88</v>
      </c>
      <c r="W148" s="924"/>
      <c r="X148" s="924"/>
      <c r="Y148" s="924"/>
      <c r="Z148" s="924"/>
      <c r="AA148" s="924"/>
      <c r="AB148" s="924"/>
      <c r="AC148" s="924"/>
      <c r="AD148" s="924"/>
      <c r="AE148" s="924"/>
      <c r="AF148" s="924"/>
      <c r="AG148" s="924"/>
      <c r="AH148" s="924"/>
      <c r="AI148" s="924"/>
      <c r="AJ148" s="924"/>
      <c r="AK148" s="924"/>
      <c r="AL148" s="919"/>
      <c r="AM148" s="919"/>
      <c r="AN148" s="919"/>
      <c r="AO148" s="919"/>
      <c r="AP148" s="919"/>
      <c r="AQ148" s="919"/>
      <c r="AR148" s="919"/>
      <c r="AS148" s="919"/>
      <c r="AT148" s="919"/>
      <c r="AU148" s="919"/>
      <c r="AV148" s="919"/>
      <c r="AW148" s="919"/>
      <c r="AX148" s="919"/>
      <c r="AY148" s="919"/>
      <c r="AZ148" s="919"/>
      <c r="BA148" s="919"/>
      <c r="BB148" s="919"/>
      <c r="BC148" s="919"/>
      <c r="BD148" s="919"/>
      <c r="BE148" s="920"/>
      <c r="BF148" s="920"/>
      <c r="BG148" s="920"/>
      <c r="BH148" s="920"/>
      <c r="BI148" s="920"/>
      <c r="BJ148" s="920"/>
      <c r="BK148" s="920"/>
      <c r="BL148" s="920"/>
    </row>
    <row r="149">
      <c r="A149" s="912"/>
      <c r="D149" s="955"/>
      <c r="U149" s="729"/>
      <c r="V149" s="729"/>
      <c r="W149" s="729"/>
      <c r="X149" s="912"/>
      <c r="AL149" s="919"/>
      <c r="AM149" s="919"/>
      <c r="AN149" s="919"/>
      <c r="AO149" s="919"/>
      <c r="AP149" s="919"/>
      <c r="AQ149" s="919"/>
      <c r="AR149" s="919"/>
      <c r="AS149" s="919"/>
      <c r="AT149" s="919"/>
      <c r="AU149" s="919"/>
      <c r="AV149" s="919"/>
      <c r="AW149" s="919"/>
      <c r="AX149" s="919"/>
      <c r="AY149" s="919"/>
      <c r="AZ149" s="919"/>
      <c r="BA149" s="919"/>
      <c r="BB149" s="919"/>
      <c r="BC149" s="919"/>
      <c r="BD149" s="919"/>
      <c r="BE149" s="920"/>
      <c r="BF149" s="920"/>
      <c r="BG149" s="920"/>
      <c r="BH149" s="920"/>
      <c r="BI149" s="920"/>
      <c r="BJ149" s="920"/>
      <c r="BK149" s="920"/>
      <c r="BL149" s="920"/>
    </row>
    <row r="150">
      <c r="A150" s="731"/>
      <c r="B150" s="732" t="s">
        <v>1170</v>
      </c>
      <c r="C150" s="732" t="s">
        <v>7</v>
      </c>
      <c r="D150" s="918"/>
      <c r="E150" s="671"/>
      <c r="F150" s="671"/>
      <c r="G150" s="731"/>
      <c r="H150" s="731"/>
      <c r="I150" s="731"/>
      <c r="J150" s="731"/>
      <c r="K150" s="731"/>
      <c r="L150" s="731"/>
      <c r="M150" s="731"/>
      <c r="N150" s="731"/>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919"/>
      <c r="AM150" s="919"/>
      <c r="AN150" s="919"/>
      <c r="AO150" s="919"/>
      <c r="AP150" s="919"/>
      <c r="AQ150" s="919"/>
      <c r="AR150" s="919"/>
      <c r="AS150" s="919"/>
      <c r="AT150" s="919"/>
      <c r="AU150" s="919"/>
      <c r="AV150" s="919"/>
      <c r="AW150" s="919"/>
      <c r="AX150" s="919"/>
      <c r="AY150" s="919"/>
      <c r="AZ150" s="919"/>
      <c r="BA150" s="919"/>
      <c r="BB150" s="920"/>
      <c r="BC150" s="920"/>
      <c r="BD150" s="920"/>
      <c r="BE150" s="920"/>
      <c r="BF150" s="920"/>
      <c r="BG150" s="920"/>
      <c r="BH150" s="920"/>
      <c r="BI150" s="920"/>
      <c r="BJ150" s="920"/>
      <c r="BK150" s="920"/>
      <c r="BL150" s="920"/>
    </row>
    <row r="151">
      <c r="A151" s="735" t="s">
        <v>507</v>
      </c>
      <c r="D151" s="956" t="s">
        <v>761</v>
      </c>
      <c r="E151" s="956" t="s">
        <v>501</v>
      </c>
      <c r="F151" s="956" t="s">
        <v>503</v>
      </c>
      <c r="G151" s="956" t="s">
        <v>505</v>
      </c>
      <c r="H151" s="923" t="s">
        <v>508</v>
      </c>
      <c r="I151" s="923" t="s">
        <v>510</v>
      </c>
      <c r="J151" s="923" t="s">
        <v>512</v>
      </c>
      <c r="K151" s="923" t="s">
        <v>514</v>
      </c>
      <c r="L151" s="923" t="s">
        <v>516</v>
      </c>
      <c r="M151" s="923" t="s">
        <v>518</v>
      </c>
      <c r="N151" s="923" t="s">
        <v>521</v>
      </c>
      <c r="O151" s="923" t="s">
        <v>523</v>
      </c>
      <c r="P151" s="923"/>
      <c r="Q151" s="923" t="s">
        <v>763</v>
      </c>
      <c r="R151" s="923" t="s">
        <v>768</v>
      </c>
      <c r="S151" s="923" t="s">
        <v>525</v>
      </c>
      <c r="T151" s="923" t="s">
        <v>526</v>
      </c>
      <c r="U151" s="923" t="s">
        <v>528</v>
      </c>
      <c r="V151" s="923" t="s">
        <v>772</v>
      </c>
      <c r="W151" s="923" t="s">
        <v>531</v>
      </c>
      <c r="X151" s="923" t="s">
        <v>532</v>
      </c>
      <c r="Y151" s="923" t="s">
        <v>774</v>
      </c>
      <c r="Z151" s="923" t="s">
        <v>778</v>
      </c>
      <c r="AA151" s="923" t="s">
        <v>534</v>
      </c>
      <c r="AB151" s="923" t="s">
        <v>784</v>
      </c>
      <c r="AC151" s="923" t="s">
        <v>786</v>
      </c>
      <c r="AD151" s="923" t="s">
        <v>780</v>
      </c>
      <c r="AE151" s="923" t="s">
        <v>782</v>
      </c>
      <c r="AF151" s="923" t="s">
        <v>536</v>
      </c>
      <c r="AG151" s="923"/>
      <c r="AH151" s="923"/>
      <c r="AI151" s="923"/>
      <c r="AJ151" s="919"/>
      <c r="AK151" s="919"/>
      <c r="AL151" s="919"/>
      <c r="AM151" s="919"/>
      <c r="AN151" s="919"/>
      <c r="AO151" s="919"/>
      <c r="AP151" s="919"/>
      <c r="AQ151" s="919"/>
      <c r="AR151" s="919"/>
      <c r="AS151" s="919"/>
      <c r="AT151" s="919"/>
      <c r="AU151" s="919"/>
      <c r="AV151" s="919"/>
      <c r="AW151" s="919"/>
      <c r="AX151" s="919"/>
      <c r="AY151" s="919"/>
      <c r="AZ151" s="919"/>
      <c r="BA151" s="919"/>
      <c r="BB151" s="920"/>
      <c r="BC151" s="920"/>
      <c r="BD151" s="920"/>
      <c r="BE151" s="920"/>
      <c r="BF151" s="920"/>
      <c r="BG151" s="920"/>
      <c r="BH151" s="920"/>
      <c r="BI151" s="920"/>
      <c r="BJ151" s="920"/>
      <c r="BK151" s="920"/>
      <c r="BL151" s="920"/>
    </row>
    <row r="152">
      <c r="A152" s="925" t="s">
        <v>1205</v>
      </c>
      <c r="B152" s="926" t="s">
        <v>132</v>
      </c>
      <c r="C152" s="927" t="s">
        <v>21</v>
      </c>
      <c r="D152" s="957" t="s">
        <v>70</v>
      </c>
      <c r="E152" s="957" t="s">
        <v>70</v>
      </c>
      <c r="F152" s="957" t="s">
        <v>70</v>
      </c>
      <c r="G152" s="957" t="s">
        <v>70</v>
      </c>
      <c r="H152" s="957" t="s">
        <v>70</v>
      </c>
      <c r="I152" s="957" t="s">
        <v>99</v>
      </c>
      <c r="J152" s="957" t="s">
        <v>69</v>
      </c>
      <c r="K152" s="957" t="s">
        <v>70</v>
      </c>
      <c r="L152" s="957" t="s">
        <v>69</v>
      </c>
      <c r="M152" s="957" t="s">
        <v>69</v>
      </c>
      <c r="N152" s="957" t="s">
        <v>69</v>
      </c>
      <c r="O152" s="957" t="s">
        <v>70</v>
      </c>
      <c r="P152" s="957"/>
      <c r="Q152" s="957" t="s">
        <v>70</v>
      </c>
      <c r="R152" s="958" t="s">
        <v>69</v>
      </c>
      <c r="S152" s="959" t="s">
        <v>70</v>
      </c>
      <c r="T152" s="959" t="s">
        <v>69</v>
      </c>
      <c r="U152" s="959" t="s">
        <v>1206</v>
      </c>
      <c r="V152" s="959" t="s">
        <v>69</v>
      </c>
      <c r="W152" s="960" t="s">
        <v>70</v>
      </c>
      <c r="X152" s="960" t="s">
        <v>70</v>
      </c>
      <c r="Y152" s="961" t="s">
        <v>69</v>
      </c>
      <c r="Z152" s="961" t="s">
        <v>69</v>
      </c>
      <c r="AA152" s="960" t="s">
        <v>70</v>
      </c>
      <c r="AB152" s="961" t="s">
        <v>69</v>
      </c>
      <c r="AC152" s="961" t="s">
        <v>69</v>
      </c>
      <c r="AD152" s="923" t="s">
        <v>69</v>
      </c>
      <c r="AE152" s="923" t="s">
        <v>69</v>
      </c>
      <c r="AF152" s="923" t="s">
        <v>69</v>
      </c>
      <c r="AG152" s="924"/>
      <c r="AH152" s="924"/>
      <c r="AI152" s="924"/>
      <c r="AJ152" s="919"/>
      <c r="AK152" s="919"/>
      <c r="AL152" s="919"/>
      <c r="AM152" s="919"/>
      <c r="AN152" s="919"/>
      <c r="AO152" s="919"/>
      <c r="AP152" s="919"/>
      <c r="AQ152" s="919"/>
      <c r="AR152" s="919"/>
      <c r="AS152" s="919"/>
      <c r="AT152" s="919"/>
      <c r="AU152" s="919"/>
      <c r="AV152" s="919"/>
      <c r="AW152" s="919"/>
      <c r="AX152" s="919"/>
      <c r="AY152" s="919"/>
      <c r="AZ152" s="919"/>
      <c r="BA152" s="919"/>
      <c r="BB152" s="920"/>
      <c r="BC152" s="920"/>
      <c r="BD152" s="920"/>
      <c r="BE152" s="920"/>
      <c r="BF152" s="920"/>
      <c r="BG152" s="920"/>
      <c r="BH152" s="920"/>
      <c r="BI152" s="920"/>
      <c r="BJ152" s="920"/>
      <c r="BK152" s="920"/>
      <c r="BL152" s="920"/>
    </row>
    <row r="153">
      <c r="A153" s="622"/>
      <c r="B153" s="928" t="s">
        <v>1175</v>
      </c>
      <c r="C153" s="929" t="s">
        <v>21</v>
      </c>
      <c r="D153" s="957" t="s">
        <v>70</v>
      </c>
      <c r="E153" s="957" t="s">
        <v>69</v>
      </c>
      <c r="F153" s="957" t="s">
        <v>70</v>
      </c>
      <c r="G153" s="957" t="s">
        <v>69</v>
      </c>
      <c r="H153" s="957" t="s">
        <v>70</v>
      </c>
      <c r="I153" s="957" t="s">
        <v>69</v>
      </c>
      <c r="J153" s="957" t="s">
        <v>69</v>
      </c>
      <c r="K153" s="957" t="s">
        <v>70</v>
      </c>
      <c r="L153" s="957" t="s">
        <v>69</v>
      </c>
      <c r="M153" s="957" t="s">
        <v>69</v>
      </c>
      <c r="N153" s="957" t="s">
        <v>69</v>
      </c>
      <c r="O153" s="957" t="s">
        <v>70</v>
      </c>
      <c r="P153" s="957"/>
      <c r="Q153" s="957" t="s">
        <v>70</v>
      </c>
      <c r="R153" s="958" t="s">
        <v>69</v>
      </c>
      <c r="S153" s="959" t="s">
        <v>70</v>
      </c>
      <c r="T153" s="959" t="s">
        <v>69</v>
      </c>
      <c r="U153" s="959" t="s">
        <v>70</v>
      </c>
      <c r="V153" s="959" t="s">
        <v>69</v>
      </c>
      <c r="W153" s="960" t="s">
        <v>70</v>
      </c>
      <c r="X153" s="960" t="s">
        <v>70</v>
      </c>
      <c r="Y153" s="961" t="s">
        <v>69</v>
      </c>
      <c r="Z153" s="961" t="s">
        <v>69</v>
      </c>
      <c r="AA153" s="960" t="s">
        <v>70</v>
      </c>
      <c r="AB153" s="961" t="s">
        <v>69</v>
      </c>
      <c r="AC153" s="961" t="s">
        <v>69</v>
      </c>
      <c r="AD153" s="923" t="s">
        <v>69</v>
      </c>
      <c r="AE153" s="923" t="s">
        <v>69</v>
      </c>
      <c r="AF153" s="923" t="s">
        <v>69</v>
      </c>
      <c r="AG153" s="924"/>
      <c r="AH153" s="924"/>
      <c r="AI153" s="924"/>
      <c r="AJ153" s="919"/>
      <c r="AK153" s="919"/>
      <c r="AL153" s="919"/>
      <c r="AM153" s="919"/>
      <c r="AN153" s="919"/>
      <c r="AO153" s="919"/>
      <c r="AP153" s="919"/>
      <c r="AQ153" s="919"/>
      <c r="AR153" s="919"/>
      <c r="AS153" s="919"/>
      <c r="AT153" s="919"/>
      <c r="AU153" s="919"/>
      <c r="AV153" s="919"/>
      <c r="AW153" s="919"/>
      <c r="AX153" s="919"/>
      <c r="AY153" s="919"/>
      <c r="AZ153" s="919"/>
      <c r="BA153" s="919"/>
      <c r="BB153" s="920"/>
      <c r="BC153" s="920"/>
      <c r="BD153" s="920"/>
      <c r="BE153" s="920"/>
      <c r="BF153" s="920"/>
      <c r="BG153" s="920"/>
      <c r="BH153" s="920"/>
      <c r="BI153" s="920"/>
      <c r="BJ153" s="920"/>
      <c r="BK153" s="920"/>
      <c r="BL153" s="920"/>
    </row>
    <row r="154">
      <c r="A154" s="622"/>
      <c r="B154" s="928" t="s">
        <v>1176</v>
      </c>
      <c r="C154" s="929" t="s">
        <v>21</v>
      </c>
      <c r="D154" s="957" t="s">
        <v>70</v>
      </c>
      <c r="E154" s="957" t="s">
        <v>69</v>
      </c>
      <c r="F154" s="957" t="s">
        <v>70</v>
      </c>
      <c r="G154" s="957" t="s">
        <v>69</v>
      </c>
      <c r="H154" s="957" t="s">
        <v>70</v>
      </c>
      <c r="I154" s="957" t="s">
        <v>70</v>
      </c>
      <c r="J154" s="957" t="s">
        <v>69</v>
      </c>
      <c r="K154" s="957" t="s">
        <v>70</v>
      </c>
      <c r="L154" s="957" t="s">
        <v>100</v>
      </c>
      <c r="M154" s="957" t="s">
        <v>100</v>
      </c>
      <c r="N154" s="957" t="s">
        <v>100</v>
      </c>
      <c r="O154" s="957" t="s">
        <v>100</v>
      </c>
      <c r="P154" s="957"/>
      <c r="Q154" s="957" t="s">
        <v>100</v>
      </c>
      <c r="R154" s="958" t="s">
        <v>100</v>
      </c>
      <c r="S154" s="959" t="s">
        <v>69</v>
      </c>
      <c r="T154" s="959" t="s">
        <v>69</v>
      </c>
      <c r="U154" s="959" t="s">
        <v>70</v>
      </c>
      <c r="V154" s="959" t="s">
        <v>69</v>
      </c>
      <c r="W154" s="960" t="s">
        <v>70</v>
      </c>
      <c r="X154" s="960" t="s">
        <v>70</v>
      </c>
      <c r="Y154" s="960" t="s">
        <v>70</v>
      </c>
      <c r="Z154" s="961" t="s">
        <v>69</v>
      </c>
      <c r="AA154" s="960" t="s">
        <v>70</v>
      </c>
      <c r="AB154" s="961" t="s">
        <v>69</v>
      </c>
      <c r="AC154" s="961" t="s">
        <v>69</v>
      </c>
      <c r="AD154" s="958" t="s">
        <v>100</v>
      </c>
      <c r="AE154" s="958" t="s">
        <v>100</v>
      </c>
      <c r="AF154" s="958" t="s">
        <v>100</v>
      </c>
      <c r="AG154" s="924"/>
      <c r="AH154" s="924"/>
      <c r="AI154" s="924"/>
      <c r="AJ154" s="919"/>
      <c r="AK154" s="919"/>
      <c r="AL154" s="919"/>
      <c r="AM154" s="919"/>
      <c r="AN154" s="919"/>
      <c r="AO154" s="919"/>
      <c r="AP154" s="919"/>
      <c r="AQ154" s="919"/>
      <c r="AR154" s="919"/>
      <c r="AS154" s="919"/>
      <c r="AT154" s="919"/>
      <c r="AU154" s="919"/>
      <c r="AV154" s="919"/>
      <c r="AW154" s="919"/>
      <c r="AX154" s="919"/>
      <c r="AY154" s="919"/>
      <c r="AZ154" s="919"/>
      <c r="BA154" s="919"/>
      <c r="BB154" s="920"/>
      <c r="BC154" s="920"/>
      <c r="BD154" s="920"/>
      <c r="BE154" s="920"/>
      <c r="BF154" s="920"/>
      <c r="BG154" s="920"/>
      <c r="BH154" s="920"/>
      <c r="BI154" s="920"/>
      <c r="BJ154" s="920"/>
      <c r="BK154" s="920"/>
      <c r="BL154" s="920"/>
    </row>
    <row r="155">
      <c r="A155" s="622"/>
      <c r="B155" s="928" t="s">
        <v>1177</v>
      </c>
      <c r="C155" s="928" t="s">
        <v>21</v>
      </c>
      <c r="D155" s="957" t="s">
        <v>70</v>
      </c>
      <c r="E155" s="957" t="s">
        <v>69</v>
      </c>
      <c r="F155" s="957" t="s">
        <v>70</v>
      </c>
      <c r="G155" s="957" t="s">
        <v>69</v>
      </c>
      <c r="H155" s="957" t="s">
        <v>70</v>
      </c>
      <c r="I155" s="957" t="s">
        <v>69</v>
      </c>
      <c r="J155" s="957" t="s">
        <v>69</v>
      </c>
      <c r="K155" s="957" t="s">
        <v>70</v>
      </c>
      <c r="L155" s="957" t="s">
        <v>69</v>
      </c>
      <c r="M155" s="957" t="s">
        <v>69</v>
      </c>
      <c r="N155" s="957" t="s">
        <v>69</v>
      </c>
      <c r="O155" s="957" t="s">
        <v>70</v>
      </c>
      <c r="P155" s="957"/>
      <c r="Q155" s="957" t="s">
        <v>70</v>
      </c>
      <c r="R155" s="958" t="s">
        <v>69</v>
      </c>
      <c r="S155" s="959" t="s">
        <v>70</v>
      </c>
      <c r="T155" s="959" t="s">
        <v>69</v>
      </c>
      <c r="U155" s="959" t="s">
        <v>70</v>
      </c>
      <c r="V155" s="959" t="s">
        <v>69</v>
      </c>
      <c r="W155" s="960" t="s">
        <v>70</v>
      </c>
      <c r="X155" s="960" t="s">
        <v>70</v>
      </c>
      <c r="Y155" s="960" t="s">
        <v>70</v>
      </c>
      <c r="Z155" s="961" t="s">
        <v>69</v>
      </c>
      <c r="AA155" s="960" t="s">
        <v>70</v>
      </c>
      <c r="AB155" s="961" t="s">
        <v>69</v>
      </c>
      <c r="AC155" s="960" t="s">
        <v>70</v>
      </c>
      <c r="AD155" s="923" t="s">
        <v>69</v>
      </c>
      <c r="AE155" s="923" t="s">
        <v>69</v>
      </c>
      <c r="AF155" s="923" t="s">
        <v>69</v>
      </c>
      <c r="AG155" s="924"/>
      <c r="AH155" s="924"/>
      <c r="AI155" s="924"/>
      <c r="AJ155" s="919"/>
      <c r="AK155" s="919"/>
      <c r="AL155" s="919"/>
      <c r="AM155" s="919"/>
      <c r="AN155" s="919"/>
      <c r="AO155" s="919"/>
      <c r="AP155" s="919"/>
      <c r="AQ155" s="919"/>
      <c r="AR155" s="919"/>
      <c r="AS155" s="919"/>
      <c r="AT155" s="919"/>
      <c r="AU155" s="919"/>
      <c r="AV155" s="919"/>
      <c r="AW155" s="919"/>
      <c r="AX155" s="919"/>
      <c r="AY155" s="919"/>
      <c r="AZ155" s="919"/>
      <c r="BA155" s="919"/>
      <c r="BB155" s="920"/>
      <c r="BC155" s="920"/>
      <c r="BD155" s="920"/>
      <c r="BE155" s="920"/>
      <c r="BF155" s="920"/>
      <c r="BG155" s="920"/>
      <c r="BH155" s="920"/>
      <c r="BI155" s="920"/>
      <c r="BJ155" s="920"/>
      <c r="BK155" s="920"/>
      <c r="BL155" s="920"/>
    </row>
    <row r="156">
      <c r="A156" s="622"/>
      <c r="B156" s="962" t="s">
        <v>1207</v>
      </c>
      <c r="C156" s="962" t="s">
        <v>21</v>
      </c>
      <c r="D156" s="957" t="s">
        <v>70</v>
      </c>
      <c r="E156" s="957" t="s">
        <v>69</v>
      </c>
      <c r="F156" s="957" t="s">
        <v>70</v>
      </c>
      <c r="G156" s="957" t="s">
        <v>69</v>
      </c>
      <c r="H156" s="963"/>
      <c r="I156" s="964"/>
      <c r="J156" s="964"/>
      <c r="K156" s="964"/>
      <c r="L156" s="919"/>
      <c r="M156" s="919"/>
      <c r="N156" s="919"/>
      <c r="O156" s="919"/>
      <c r="P156" s="919"/>
      <c r="Q156" s="919"/>
      <c r="R156" s="965"/>
      <c r="S156" s="920"/>
      <c r="T156" s="920"/>
      <c r="U156" s="920"/>
      <c r="V156" s="920"/>
      <c r="W156" s="966"/>
      <c r="X156" s="919"/>
      <c r="Y156" s="919"/>
      <c r="Z156" s="919"/>
      <c r="AA156" s="919"/>
      <c r="AB156" s="919"/>
      <c r="AC156" s="967"/>
      <c r="AD156" s="919"/>
      <c r="AE156" s="919"/>
      <c r="AF156" s="919"/>
      <c r="AG156" s="919"/>
      <c r="AH156" s="919"/>
      <c r="AI156" s="919"/>
      <c r="AJ156" s="919"/>
      <c r="AK156" s="919"/>
      <c r="AL156" s="919"/>
      <c r="AM156" s="919"/>
      <c r="AN156" s="919"/>
      <c r="AO156" s="919"/>
      <c r="AP156" s="919"/>
      <c r="AQ156" s="919"/>
      <c r="AR156" s="919"/>
      <c r="AS156" s="919"/>
      <c r="AT156" s="919"/>
      <c r="AU156" s="919"/>
      <c r="AV156" s="919"/>
      <c r="AW156" s="919"/>
      <c r="AX156" s="919"/>
      <c r="AY156" s="919"/>
      <c r="AZ156" s="919"/>
      <c r="BA156" s="919"/>
      <c r="BB156" s="920"/>
      <c r="BC156" s="920"/>
      <c r="BD156" s="920"/>
      <c r="BE156" s="920"/>
      <c r="BF156" s="920"/>
      <c r="BG156" s="920"/>
      <c r="BH156" s="920"/>
      <c r="BI156" s="920"/>
      <c r="BJ156" s="920"/>
      <c r="BK156" s="920"/>
      <c r="BL156" s="920"/>
    </row>
    <row r="157">
      <c r="A157" s="622"/>
      <c r="B157" s="928" t="s">
        <v>1194</v>
      </c>
      <c r="C157" s="928" t="s">
        <v>21</v>
      </c>
      <c r="D157" s="968"/>
      <c r="E157" s="964"/>
      <c r="F157" s="964"/>
      <c r="G157" s="969"/>
      <c r="H157" s="957" t="s">
        <v>70</v>
      </c>
      <c r="I157" s="957" t="s">
        <v>69</v>
      </c>
      <c r="J157" s="957" t="s">
        <v>69</v>
      </c>
      <c r="K157" s="957" t="s">
        <v>70</v>
      </c>
      <c r="L157" s="957" t="s">
        <v>69</v>
      </c>
      <c r="M157" s="957" t="s">
        <v>69</v>
      </c>
      <c r="N157" s="957" t="s">
        <v>69</v>
      </c>
      <c r="O157" s="957" t="s">
        <v>70</v>
      </c>
      <c r="P157" s="957"/>
      <c r="Q157" s="957" t="s">
        <v>70</v>
      </c>
      <c r="R157" s="970" t="s">
        <v>69</v>
      </c>
      <c r="S157" s="959" t="s">
        <v>70</v>
      </c>
      <c r="T157" s="959" t="s">
        <v>69</v>
      </c>
      <c r="U157" s="959" t="s">
        <v>70</v>
      </c>
      <c r="V157" s="959" t="s">
        <v>69</v>
      </c>
      <c r="W157" s="957" t="s">
        <v>100</v>
      </c>
      <c r="X157" s="957" t="s">
        <v>100</v>
      </c>
      <c r="Y157" s="957" t="s">
        <v>100</v>
      </c>
      <c r="Z157" s="958" t="s">
        <v>100</v>
      </c>
      <c r="AA157" s="957" t="s">
        <v>100</v>
      </c>
      <c r="AB157" s="958" t="s">
        <v>100</v>
      </c>
      <c r="AC157" s="957" t="s">
        <v>100</v>
      </c>
      <c r="AD157" s="923" t="s">
        <v>100</v>
      </c>
      <c r="AE157" s="923" t="s">
        <v>100</v>
      </c>
      <c r="AF157" s="923" t="s">
        <v>100</v>
      </c>
      <c r="AG157" s="924"/>
      <c r="AH157" s="924"/>
      <c r="AI157" s="924"/>
      <c r="AJ157" s="919"/>
      <c r="AK157" s="919"/>
      <c r="AL157" s="919"/>
      <c r="AM157" s="919"/>
      <c r="AN157" s="919"/>
      <c r="AO157" s="919"/>
      <c r="AP157" s="919"/>
      <c r="AQ157" s="919"/>
      <c r="AR157" s="919"/>
      <c r="AS157" s="919"/>
      <c r="AT157" s="919"/>
      <c r="AU157" s="919"/>
      <c r="AV157" s="919"/>
      <c r="AW157" s="919"/>
      <c r="AX157" s="919"/>
      <c r="AY157" s="919"/>
      <c r="AZ157" s="919"/>
      <c r="BA157" s="919"/>
      <c r="BB157" s="920"/>
      <c r="BC157" s="920"/>
      <c r="BD157" s="920"/>
      <c r="BE157" s="920"/>
      <c r="BF157" s="920"/>
      <c r="BG157" s="920"/>
      <c r="BH157" s="920"/>
      <c r="BI157" s="920"/>
      <c r="BJ157" s="920"/>
      <c r="BK157" s="920"/>
      <c r="BL157" s="920"/>
    </row>
    <row r="158">
      <c r="A158" s="622"/>
      <c r="B158" s="945" t="s">
        <v>1208</v>
      </c>
      <c r="C158" s="946" t="s">
        <v>23</v>
      </c>
      <c r="D158" s="957" t="s">
        <v>69</v>
      </c>
      <c r="E158" s="971" t="s">
        <v>69</v>
      </c>
      <c r="F158" s="957" t="s">
        <v>70</v>
      </c>
      <c r="G158" s="957" t="s">
        <v>70</v>
      </c>
      <c r="H158" s="957" t="s">
        <v>69</v>
      </c>
      <c r="I158" s="957" t="s">
        <v>69</v>
      </c>
      <c r="J158" s="957" t="s">
        <v>70</v>
      </c>
      <c r="K158" s="957" t="s">
        <v>69</v>
      </c>
      <c r="L158" s="957" t="s">
        <v>69</v>
      </c>
      <c r="M158" s="957" t="s">
        <v>70</v>
      </c>
      <c r="N158" s="957" t="s">
        <v>70</v>
      </c>
      <c r="O158" s="957" t="s">
        <v>69</v>
      </c>
      <c r="P158" s="957"/>
      <c r="Q158" s="957" t="s">
        <v>70</v>
      </c>
      <c r="R158" s="958" t="s">
        <v>69</v>
      </c>
      <c r="S158" s="959" t="s">
        <v>70</v>
      </c>
      <c r="T158" s="959" t="s">
        <v>70</v>
      </c>
      <c r="U158" s="959" t="s">
        <v>70</v>
      </c>
      <c r="V158" s="959" t="s">
        <v>69</v>
      </c>
      <c r="W158" s="960" t="s">
        <v>70</v>
      </c>
      <c r="X158" s="961" t="s">
        <v>69</v>
      </c>
      <c r="Y158" s="960" t="s">
        <v>70</v>
      </c>
      <c r="Z158" s="960" t="s">
        <v>70</v>
      </c>
      <c r="AA158" s="961" t="s">
        <v>69</v>
      </c>
      <c r="AB158" s="960" t="s">
        <v>70</v>
      </c>
      <c r="AC158" s="972" t="s">
        <v>70</v>
      </c>
      <c r="AD158" s="958" t="s">
        <v>69</v>
      </c>
      <c r="AE158" s="958" t="s">
        <v>70</v>
      </c>
      <c r="AF158" s="958" t="s">
        <v>70</v>
      </c>
      <c r="AG158" s="924"/>
      <c r="AH158" s="924"/>
      <c r="AI158" s="924"/>
      <c r="AJ158" s="919"/>
      <c r="AK158" s="919"/>
      <c r="AL158" s="919"/>
      <c r="AM158" s="919"/>
      <c r="AN158" s="919"/>
      <c r="AO158" s="919"/>
      <c r="AP158" s="919"/>
      <c r="AQ158" s="919"/>
      <c r="AR158" s="919"/>
      <c r="AS158" s="919"/>
      <c r="AT158" s="919"/>
      <c r="AU158" s="919"/>
      <c r="AV158" s="919"/>
      <c r="AW158" s="919"/>
      <c r="AX158" s="919"/>
      <c r="AY158" s="919"/>
      <c r="AZ158" s="919"/>
      <c r="BA158" s="919"/>
      <c r="BB158" s="920"/>
      <c r="BC158" s="920"/>
      <c r="BD158" s="920"/>
      <c r="BE158" s="920"/>
      <c r="BF158" s="920"/>
      <c r="BG158" s="920"/>
      <c r="BH158" s="920"/>
      <c r="BI158" s="920"/>
      <c r="BJ158" s="920"/>
      <c r="BK158" s="920"/>
      <c r="BL158" s="920"/>
    </row>
    <row r="159">
      <c r="A159" s="622"/>
      <c r="B159" s="947" t="s">
        <v>1201</v>
      </c>
      <c r="C159" s="947" t="s">
        <v>23</v>
      </c>
      <c r="D159" s="957" t="s">
        <v>69</v>
      </c>
      <c r="E159" s="971" t="s">
        <v>69</v>
      </c>
      <c r="F159" s="957" t="s">
        <v>70</v>
      </c>
      <c r="G159" s="971" t="s">
        <v>69</v>
      </c>
      <c r="H159" s="957" t="s">
        <v>69</v>
      </c>
      <c r="I159" s="957" t="s">
        <v>69</v>
      </c>
      <c r="J159" s="957" t="s">
        <v>70</v>
      </c>
      <c r="K159" s="957" t="s">
        <v>69</v>
      </c>
      <c r="L159" s="957" t="s">
        <v>69</v>
      </c>
      <c r="M159" s="957" t="s">
        <v>70</v>
      </c>
      <c r="N159" s="957" t="s">
        <v>70</v>
      </c>
      <c r="O159" s="957" t="s">
        <v>70</v>
      </c>
      <c r="P159" s="957"/>
      <c r="Q159" s="957" t="s">
        <v>70</v>
      </c>
      <c r="R159" s="958" t="s">
        <v>69</v>
      </c>
      <c r="S159" s="959" t="s">
        <v>70</v>
      </c>
      <c r="T159" s="959" t="s">
        <v>70</v>
      </c>
      <c r="U159" s="959" t="s">
        <v>70</v>
      </c>
      <c r="V159" s="959" t="s">
        <v>69</v>
      </c>
      <c r="W159" s="960" t="s">
        <v>70</v>
      </c>
      <c r="X159" s="961" t="s">
        <v>69</v>
      </c>
      <c r="Y159" s="960" t="s">
        <v>70</v>
      </c>
      <c r="Z159" s="961" t="s">
        <v>69</v>
      </c>
      <c r="AA159" s="961" t="s">
        <v>69</v>
      </c>
      <c r="AB159" s="961" t="s">
        <v>69</v>
      </c>
      <c r="AC159" s="960" t="s">
        <v>70</v>
      </c>
      <c r="AD159" s="923" t="s">
        <v>69</v>
      </c>
      <c r="AE159" s="923" t="s">
        <v>70</v>
      </c>
      <c r="AF159" s="923" t="s">
        <v>70</v>
      </c>
      <c r="AG159" s="924"/>
      <c r="AH159" s="924"/>
      <c r="AI159" s="924"/>
      <c r="AJ159" s="919"/>
      <c r="AK159" s="919"/>
      <c r="AL159" s="919"/>
      <c r="AM159" s="919"/>
      <c r="AN159" s="919"/>
      <c r="AO159" s="919"/>
      <c r="AP159" s="919"/>
      <c r="AQ159" s="919"/>
      <c r="AR159" s="919"/>
      <c r="AS159" s="919"/>
      <c r="AT159" s="919"/>
      <c r="AU159" s="919"/>
      <c r="AV159" s="919"/>
      <c r="AW159" s="919"/>
      <c r="AX159" s="919"/>
      <c r="AY159" s="919"/>
      <c r="AZ159" s="919"/>
      <c r="BA159" s="919"/>
      <c r="BB159" s="920"/>
      <c r="BC159" s="920"/>
      <c r="BD159" s="920"/>
      <c r="BE159" s="920"/>
      <c r="BF159" s="920"/>
      <c r="BG159" s="920"/>
      <c r="BH159" s="920"/>
      <c r="BI159" s="920"/>
      <c r="BJ159" s="920"/>
      <c r="BK159" s="920"/>
      <c r="BL159" s="920"/>
    </row>
    <row r="160">
      <c r="A160" s="622"/>
      <c r="B160" s="948" t="s">
        <v>1202</v>
      </c>
      <c r="C160" s="947" t="s">
        <v>23</v>
      </c>
      <c r="D160" s="957" t="s">
        <v>69</v>
      </c>
      <c r="E160" s="971" t="s">
        <v>69</v>
      </c>
      <c r="F160" s="957" t="s">
        <v>70</v>
      </c>
      <c r="G160" s="971" t="s">
        <v>69</v>
      </c>
      <c r="H160" s="957" t="s">
        <v>69</v>
      </c>
      <c r="I160" s="957" t="s">
        <v>69</v>
      </c>
      <c r="J160" s="957" t="s">
        <v>70</v>
      </c>
      <c r="K160" s="957" t="s">
        <v>69</v>
      </c>
      <c r="L160" s="957" t="s">
        <v>69</v>
      </c>
      <c r="M160" s="957" t="s">
        <v>70</v>
      </c>
      <c r="N160" s="957" t="s">
        <v>70</v>
      </c>
      <c r="O160" s="957" t="s">
        <v>70</v>
      </c>
      <c r="P160" s="957"/>
      <c r="Q160" s="957" t="s">
        <v>70</v>
      </c>
      <c r="R160" s="958" t="s">
        <v>69</v>
      </c>
      <c r="S160" s="959" t="s">
        <v>70</v>
      </c>
      <c r="T160" s="959" t="s">
        <v>70</v>
      </c>
      <c r="U160" s="959" t="s">
        <v>70</v>
      </c>
      <c r="V160" s="959" t="s">
        <v>69</v>
      </c>
      <c r="W160" s="960" t="s">
        <v>70</v>
      </c>
      <c r="X160" s="961" t="s">
        <v>69</v>
      </c>
      <c r="Y160" s="960" t="s">
        <v>70</v>
      </c>
      <c r="Z160" s="961" t="s">
        <v>69</v>
      </c>
      <c r="AA160" s="961" t="s">
        <v>69</v>
      </c>
      <c r="AB160" s="961" t="s">
        <v>69</v>
      </c>
      <c r="AC160" s="960" t="s">
        <v>70</v>
      </c>
      <c r="AD160" s="923" t="s">
        <v>69</v>
      </c>
      <c r="AE160" s="923" t="s">
        <v>70</v>
      </c>
      <c r="AF160" s="923" t="s">
        <v>70</v>
      </c>
      <c r="AG160" s="924"/>
      <c r="AH160" s="924"/>
      <c r="AI160" s="924"/>
      <c r="AJ160" s="919"/>
      <c r="AK160" s="919"/>
      <c r="AL160" s="919"/>
      <c r="AM160" s="919"/>
      <c r="AN160" s="919"/>
      <c r="AO160" s="919"/>
      <c r="AP160" s="919"/>
      <c r="AQ160" s="919"/>
      <c r="AR160" s="919"/>
      <c r="AS160" s="919"/>
      <c r="AT160" s="919"/>
      <c r="AU160" s="919"/>
      <c r="AV160" s="919"/>
      <c r="AW160" s="919"/>
      <c r="AX160" s="919"/>
      <c r="AY160" s="919"/>
      <c r="AZ160" s="919"/>
      <c r="BA160" s="919"/>
      <c r="BB160" s="920"/>
      <c r="BC160" s="920"/>
      <c r="BD160" s="920"/>
      <c r="BE160" s="920"/>
      <c r="BF160" s="920"/>
      <c r="BG160" s="920"/>
      <c r="BH160" s="920"/>
      <c r="BI160" s="920"/>
      <c r="BJ160" s="920"/>
      <c r="BK160" s="920"/>
      <c r="BL160" s="920"/>
    </row>
    <row r="161">
      <c r="A161" s="622"/>
      <c r="B161" s="947" t="s">
        <v>142</v>
      </c>
      <c r="C161" s="947" t="s">
        <v>23</v>
      </c>
      <c r="D161" s="957" t="s">
        <v>100</v>
      </c>
      <c r="E161" s="957" t="s">
        <v>100</v>
      </c>
      <c r="F161" s="957" t="s">
        <v>100</v>
      </c>
      <c r="G161" s="957" t="s">
        <v>100</v>
      </c>
      <c r="H161" s="957" t="s">
        <v>69</v>
      </c>
      <c r="I161" s="957" t="s">
        <v>70</v>
      </c>
      <c r="J161" s="957" t="s">
        <v>69</v>
      </c>
      <c r="K161" s="957" t="s">
        <v>69</v>
      </c>
      <c r="L161" s="957" t="s">
        <v>69</v>
      </c>
      <c r="M161" s="957" t="s">
        <v>70</v>
      </c>
      <c r="N161" s="957" t="s">
        <v>70</v>
      </c>
      <c r="O161" s="957" t="s">
        <v>69</v>
      </c>
      <c r="P161" s="957"/>
      <c r="Q161" s="957" t="s">
        <v>70</v>
      </c>
      <c r="R161" s="958" t="s">
        <v>69</v>
      </c>
      <c r="S161" s="959" t="s">
        <v>70</v>
      </c>
      <c r="T161" s="959" t="s">
        <v>70</v>
      </c>
      <c r="U161" s="959" t="s">
        <v>70</v>
      </c>
      <c r="V161" s="959" t="s">
        <v>69</v>
      </c>
      <c r="W161" s="957" t="s">
        <v>100</v>
      </c>
      <c r="X161" s="957" t="s">
        <v>100</v>
      </c>
      <c r="Y161" s="957" t="s">
        <v>100</v>
      </c>
      <c r="Z161" s="958" t="s">
        <v>100</v>
      </c>
      <c r="AA161" s="961" t="s">
        <v>69</v>
      </c>
      <c r="AB161" s="961" t="s">
        <v>69</v>
      </c>
      <c r="AC161" s="960" t="s">
        <v>70</v>
      </c>
      <c r="AD161" s="923" t="s">
        <v>69</v>
      </c>
      <c r="AE161" s="923" t="s">
        <v>70</v>
      </c>
      <c r="AF161" s="923" t="s">
        <v>70</v>
      </c>
      <c r="AG161" s="924"/>
      <c r="AH161" s="924"/>
      <c r="AI161" s="924"/>
      <c r="AJ161" s="919"/>
      <c r="AK161" s="919"/>
      <c r="AL161" s="919"/>
      <c r="AM161" s="919"/>
      <c r="AN161" s="919"/>
      <c r="AO161" s="919"/>
      <c r="AP161" s="919"/>
      <c r="AQ161" s="919"/>
      <c r="AR161" s="919"/>
      <c r="AS161" s="919"/>
      <c r="AT161" s="919"/>
      <c r="AU161" s="919"/>
      <c r="AV161" s="919"/>
      <c r="AW161" s="919"/>
      <c r="AX161" s="919"/>
      <c r="AY161" s="919"/>
      <c r="AZ161" s="919"/>
      <c r="BA161" s="919"/>
      <c r="BB161" s="920"/>
      <c r="BC161" s="920"/>
      <c r="BD161" s="920"/>
      <c r="BE161" s="920"/>
      <c r="BF161" s="920"/>
      <c r="BG161" s="920"/>
      <c r="BH161" s="920"/>
      <c r="BI161" s="920"/>
      <c r="BJ161" s="920"/>
      <c r="BK161" s="920"/>
      <c r="BL161" s="920"/>
    </row>
    <row r="162">
      <c r="A162" s="622"/>
      <c r="B162" s="949" t="s">
        <v>1182</v>
      </c>
      <c r="C162" s="950" t="s">
        <v>12</v>
      </c>
      <c r="D162" s="957" t="s">
        <v>69</v>
      </c>
      <c r="E162" s="957" t="s">
        <v>69</v>
      </c>
      <c r="F162" s="957" t="s">
        <v>70</v>
      </c>
      <c r="G162" s="957" t="s">
        <v>69</v>
      </c>
      <c r="H162" s="957" t="s">
        <v>70</v>
      </c>
      <c r="I162" s="957" t="s">
        <v>70</v>
      </c>
      <c r="J162" s="957" t="s">
        <v>69</v>
      </c>
      <c r="K162" s="957" t="s">
        <v>70</v>
      </c>
      <c r="L162" s="957" t="s">
        <v>69</v>
      </c>
      <c r="M162" s="957" t="s">
        <v>70</v>
      </c>
      <c r="N162" s="957" t="s">
        <v>70</v>
      </c>
      <c r="O162" s="957" t="s">
        <v>70</v>
      </c>
      <c r="P162" s="957"/>
      <c r="Q162" s="957" t="s">
        <v>70</v>
      </c>
      <c r="R162" s="958" t="s">
        <v>69</v>
      </c>
      <c r="S162" s="959" t="s">
        <v>70</v>
      </c>
      <c r="T162" s="959" t="s">
        <v>70</v>
      </c>
      <c r="U162" s="959" t="s">
        <v>70</v>
      </c>
      <c r="V162" s="959" t="s">
        <v>69</v>
      </c>
      <c r="W162" s="960" t="s">
        <v>70</v>
      </c>
      <c r="X162" s="961" t="s">
        <v>69</v>
      </c>
      <c r="Y162" s="961" t="s">
        <v>69</v>
      </c>
      <c r="Z162" s="961" t="s">
        <v>69</v>
      </c>
      <c r="AA162" s="961" t="s">
        <v>69</v>
      </c>
      <c r="AB162" s="961" t="s">
        <v>69</v>
      </c>
      <c r="AC162" s="960" t="s">
        <v>70</v>
      </c>
      <c r="AD162" s="923" t="s">
        <v>69</v>
      </c>
      <c r="AE162" s="923" t="s">
        <v>70</v>
      </c>
      <c r="AF162" s="923" t="s">
        <v>69</v>
      </c>
      <c r="AG162" s="924"/>
      <c r="AH162" s="924"/>
      <c r="AI162" s="924"/>
      <c r="AJ162" s="919"/>
      <c r="AK162" s="919"/>
      <c r="AL162" s="919"/>
      <c r="AM162" s="919"/>
      <c r="AN162" s="919"/>
      <c r="AO162" s="919"/>
      <c r="AP162" s="919"/>
      <c r="AQ162" s="919"/>
      <c r="AR162" s="919"/>
      <c r="AS162" s="919"/>
      <c r="AT162" s="919"/>
      <c r="AU162" s="919"/>
      <c r="AV162" s="919"/>
      <c r="AW162" s="919"/>
      <c r="AX162" s="919"/>
      <c r="AY162" s="919"/>
      <c r="AZ162" s="919"/>
      <c r="BA162" s="919"/>
      <c r="BB162" s="920"/>
      <c r="BC162" s="920"/>
      <c r="BD162" s="920"/>
      <c r="BE162" s="920"/>
      <c r="BF162" s="920"/>
      <c r="BG162" s="920"/>
      <c r="BH162" s="920"/>
      <c r="BI162" s="920"/>
      <c r="BJ162" s="920"/>
      <c r="BK162" s="920"/>
      <c r="BL162" s="920"/>
    </row>
    <row r="163">
      <c r="A163" s="622"/>
      <c r="B163" s="951" t="s">
        <v>1209</v>
      </c>
      <c r="C163" s="951" t="s">
        <v>12</v>
      </c>
      <c r="D163" s="957" t="s">
        <v>69</v>
      </c>
      <c r="E163" s="973" t="s">
        <v>69</v>
      </c>
      <c r="F163" s="957" t="s">
        <v>70</v>
      </c>
      <c r="G163" s="957" t="s">
        <v>69</v>
      </c>
      <c r="H163" s="957" t="s">
        <v>70</v>
      </c>
      <c r="I163" s="957" t="s">
        <v>70</v>
      </c>
      <c r="J163" s="957" t="s">
        <v>70</v>
      </c>
      <c r="K163" s="957" t="s">
        <v>70</v>
      </c>
      <c r="L163" s="957" t="s">
        <v>69</v>
      </c>
      <c r="M163" s="957" t="s">
        <v>70</v>
      </c>
      <c r="N163" s="957" t="s">
        <v>70</v>
      </c>
      <c r="O163" s="957" t="s">
        <v>70</v>
      </c>
      <c r="P163" s="957"/>
      <c r="Q163" s="957" t="s">
        <v>70</v>
      </c>
      <c r="R163" s="958" t="s">
        <v>69</v>
      </c>
      <c r="S163" s="959" t="s">
        <v>70</v>
      </c>
      <c r="T163" s="959" t="s">
        <v>70</v>
      </c>
      <c r="U163" s="959" t="s">
        <v>70</v>
      </c>
      <c r="V163" s="959" t="s">
        <v>69</v>
      </c>
      <c r="W163" s="960" t="s">
        <v>70</v>
      </c>
      <c r="X163" s="961" t="s">
        <v>69</v>
      </c>
      <c r="Y163" s="961" t="s">
        <v>69</v>
      </c>
      <c r="Z163" s="960" t="s">
        <v>70</v>
      </c>
      <c r="AA163" s="961" t="s">
        <v>69</v>
      </c>
      <c r="AB163" s="961" t="s">
        <v>69</v>
      </c>
      <c r="AC163" s="961" t="s">
        <v>69</v>
      </c>
      <c r="AD163" s="923" t="s">
        <v>69</v>
      </c>
      <c r="AE163" s="923" t="s">
        <v>70</v>
      </c>
      <c r="AF163" s="923" t="s">
        <v>70</v>
      </c>
      <c r="AG163" s="924"/>
      <c r="AH163" s="924"/>
      <c r="AI163" s="924"/>
      <c r="AJ163" s="919"/>
      <c r="AK163" s="919"/>
      <c r="AL163" s="919"/>
      <c r="AM163" s="919"/>
      <c r="AN163" s="919"/>
      <c r="AO163" s="919"/>
      <c r="AP163" s="919"/>
      <c r="AQ163" s="919"/>
      <c r="AR163" s="919"/>
      <c r="AS163" s="919"/>
      <c r="AT163" s="919"/>
      <c r="AU163" s="919"/>
      <c r="AV163" s="919"/>
      <c r="AW163" s="919"/>
      <c r="AX163" s="919"/>
      <c r="AY163" s="919"/>
      <c r="AZ163" s="919"/>
      <c r="BA163" s="919"/>
      <c r="BB163" s="920"/>
      <c r="BC163" s="920"/>
      <c r="BD163" s="920"/>
      <c r="BE163" s="920"/>
      <c r="BF163" s="920"/>
      <c r="BG163" s="920"/>
      <c r="BH163" s="920"/>
      <c r="BI163" s="920"/>
      <c r="BJ163" s="920"/>
      <c r="BK163" s="920"/>
      <c r="BL163" s="920"/>
    </row>
    <row r="164">
      <c r="A164" s="622"/>
      <c r="B164" s="952" t="s">
        <v>1183</v>
      </c>
      <c r="C164" s="952" t="s">
        <v>12</v>
      </c>
      <c r="D164" s="957" t="s">
        <v>69</v>
      </c>
      <c r="E164" s="957" t="s">
        <v>69</v>
      </c>
      <c r="F164" s="957" t="s">
        <v>70</v>
      </c>
      <c r="G164" s="957" t="s">
        <v>69</v>
      </c>
      <c r="H164" s="957" t="s">
        <v>99</v>
      </c>
      <c r="I164" s="957" t="s">
        <v>70</v>
      </c>
      <c r="J164" s="957" t="s">
        <v>70</v>
      </c>
      <c r="K164" s="957" t="s">
        <v>70</v>
      </c>
      <c r="L164" s="957" t="s">
        <v>69</v>
      </c>
      <c r="M164" s="957" t="s">
        <v>70</v>
      </c>
      <c r="N164" s="957" t="s">
        <v>70</v>
      </c>
      <c r="O164" s="957" t="s">
        <v>70</v>
      </c>
      <c r="P164" s="957"/>
      <c r="Q164" s="957" t="s">
        <v>70</v>
      </c>
      <c r="R164" s="958" t="s">
        <v>69</v>
      </c>
      <c r="S164" s="959" t="s">
        <v>70</v>
      </c>
      <c r="T164" s="959" t="s">
        <v>70</v>
      </c>
      <c r="U164" s="959" t="s">
        <v>70</v>
      </c>
      <c r="V164" s="959" t="s">
        <v>69</v>
      </c>
      <c r="W164" s="960" t="s">
        <v>70</v>
      </c>
      <c r="X164" s="961" t="s">
        <v>69</v>
      </c>
      <c r="Y164" s="960" t="s">
        <v>70</v>
      </c>
      <c r="Z164" s="961" t="s">
        <v>69</v>
      </c>
      <c r="AA164" s="961" t="s">
        <v>69</v>
      </c>
      <c r="AB164" s="961" t="s">
        <v>69</v>
      </c>
      <c r="AC164" s="960" t="s">
        <v>70</v>
      </c>
      <c r="AD164" s="923" t="s">
        <v>69</v>
      </c>
      <c r="AE164" s="923" t="s">
        <v>70</v>
      </c>
      <c r="AF164" s="923" t="s">
        <v>70</v>
      </c>
      <c r="AG164" s="924"/>
      <c r="AH164" s="924"/>
      <c r="AI164" s="924"/>
      <c r="AJ164" s="919"/>
      <c r="AK164" s="919"/>
      <c r="AL164" s="919"/>
      <c r="AM164" s="919"/>
      <c r="AN164" s="919"/>
      <c r="AO164" s="919"/>
      <c r="AP164" s="919"/>
      <c r="AQ164" s="919"/>
      <c r="AR164" s="919"/>
      <c r="AS164" s="919"/>
      <c r="AT164" s="919"/>
      <c r="AU164" s="919"/>
      <c r="AV164" s="919"/>
      <c r="AW164" s="919"/>
      <c r="AX164" s="919"/>
      <c r="AY164" s="919"/>
      <c r="AZ164" s="919"/>
      <c r="BA164" s="919"/>
      <c r="BB164" s="920"/>
      <c r="BC164" s="920"/>
      <c r="BD164" s="920"/>
      <c r="BE164" s="920"/>
      <c r="BF164" s="920"/>
      <c r="BG164" s="920"/>
      <c r="BH164" s="920"/>
      <c r="BI164" s="920"/>
      <c r="BJ164" s="920"/>
      <c r="BK164" s="920"/>
      <c r="BL164" s="920"/>
    </row>
    <row r="165">
      <c r="A165" s="622"/>
      <c r="B165" s="943" t="s">
        <v>1188</v>
      </c>
      <c r="C165" s="892" t="s">
        <v>1189</v>
      </c>
      <c r="D165" s="957" t="s">
        <v>70</v>
      </c>
      <c r="E165" s="957" t="s">
        <v>70</v>
      </c>
      <c r="F165" s="957" t="s">
        <v>70</v>
      </c>
      <c r="G165" s="957" t="s">
        <v>70</v>
      </c>
      <c r="H165" s="957" t="s">
        <v>70</v>
      </c>
      <c r="I165" s="957" t="s">
        <v>70</v>
      </c>
      <c r="J165" s="957" t="s">
        <v>69</v>
      </c>
      <c r="K165" s="957" t="s">
        <v>70</v>
      </c>
      <c r="L165" s="957" t="s">
        <v>69</v>
      </c>
      <c r="M165" s="957" t="s">
        <v>70</v>
      </c>
      <c r="N165" s="957" t="s">
        <v>70</v>
      </c>
      <c r="O165" s="957" t="s">
        <v>70</v>
      </c>
      <c r="P165" s="957"/>
      <c r="Q165" s="957" t="s">
        <v>70</v>
      </c>
      <c r="R165" s="958" t="s">
        <v>69</v>
      </c>
      <c r="S165" s="959" t="s">
        <v>70</v>
      </c>
      <c r="T165" s="959" t="s">
        <v>69</v>
      </c>
      <c r="U165" s="959" t="s">
        <v>70</v>
      </c>
      <c r="V165" s="959" t="s">
        <v>69</v>
      </c>
      <c r="W165" s="961" t="s">
        <v>69</v>
      </c>
      <c r="X165" s="960" t="s">
        <v>70</v>
      </c>
      <c r="Y165" s="960" t="s">
        <v>70</v>
      </c>
      <c r="Z165" s="961" t="s">
        <v>69</v>
      </c>
      <c r="AA165" s="960" t="s">
        <v>70</v>
      </c>
      <c r="AB165" s="961" t="s">
        <v>69</v>
      </c>
      <c r="AC165" s="960" t="s">
        <v>70</v>
      </c>
      <c r="AD165" s="923" t="s">
        <v>69</v>
      </c>
      <c r="AE165" s="923" t="s">
        <v>69</v>
      </c>
      <c r="AF165" s="923" t="s">
        <v>69</v>
      </c>
      <c r="AG165" s="924"/>
      <c r="AH165" s="924"/>
      <c r="AI165" s="924"/>
      <c r="AJ165" s="919"/>
      <c r="AK165" s="919"/>
      <c r="AL165" s="919"/>
      <c r="AM165" s="919"/>
      <c r="AN165" s="919"/>
      <c r="AO165" s="919"/>
      <c r="AP165" s="919"/>
      <c r="AQ165" s="919"/>
      <c r="AR165" s="919"/>
      <c r="AS165" s="919"/>
      <c r="AT165" s="919"/>
      <c r="AU165" s="919"/>
      <c r="AV165" s="919"/>
      <c r="AW165" s="919"/>
      <c r="AX165" s="919"/>
      <c r="AY165" s="919"/>
      <c r="AZ165" s="919"/>
      <c r="BA165" s="919"/>
      <c r="BB165" s="920"/>
      <c r="BC165" s="920"/>
      <c r="BD165" s="920"/>
      <c r="BE165" s="920"/>
      <c r="BF165" s="920"/>
      <c r="BG165" s="920"/>
      <c r="BH165" s="920"/>
      <c r="BI165" s="920"/>
      <c r="BJ165" s="920"/>
      <c r="BK165" s="920"/>
      <c r="BL165" s="920"/>
    </row>
    <row r="166">
      <c r="A166" s="944" t="s">
        <v>1210</v>
      </c>
      <c r="B166" s="931" t="s">
        <v>1211</v>
      </c>
      <c r="C166" s="931" t="s">
        <v>107</v>
      </c>
      <c r="D166" s="957" t="s">
        <v>70</v>
      </c>
      <c r="E166" s="957" t="s">
        <v>69</v>
      </c>
      <c r="F166" s="957" t="s">
        <v>70</v>
      </c>
      <c r="G166" s="957" t="s">
        <v>70</v>
      </c>
      <c r="H166" s="957" t="s">
        <v>70</v>
      </c>
      <c r="I166" s="957" t="s">
        <v>69</v>
      </c>
      <c r="J166" s="957" t="s">
        <v>69</v>
      </c>
      <c r="K166" s="957" t="s">
        <v>70</v>
      </c>
      <c r="L166" s="957" t="s">
        <v>69</v>
      </c>
      <c r="M166" s="957" t="s">
        <v>69</v>
      </c>
      <c r="N166" s="957" t="s">
        <v>70</v>
      </c>
      <c r="O166" s="957" t="s">
        <v>70</v>
      </c>
      <c r="P166" s="957"/>
      <c r="Q166" s="957" t="s">
        <v>69</v>
      </c>
      <c r="R166" s="958" t="s">
        <v>69</v>
      </c>
      <c r="S166" s="961" t="s">
        <v>69</v>
      </c>
      <c r="T166" s="960" t="s">
        <v>70</v>
      </c>
      <c r="U166" s="960" t="s">
        <v>70</v>
      </c>
      <c r="V166" s="974" t="s">
        <v>70</v>
      </c>
      <c r="W166" s="960" t="s">
        <v>70</v>
      </c>
      <c r="X166" s="960" t="s">
        <v>70</v>
      </c>
      <c r="Y166" s="961" t="s">
        <v>69</v>
      </c>
      <c r="Z166" s="960" t="s">
        <v>70</v>
      </c>
      <c r="AA166" s="960" t="s">
        <v>70</v>
      </c>
      <c r="AB166" s="961" t="s">
        <v>69</v>
      </c>
      <c r="AC166" s="960" t="s">
        <v>70</v>
      </c>
      <c r="AD166" s="923" t="s">
        <v>69</v>
      </c>
      <c r="AE166" s="923" t="s">
        <v>70</v>
      </c>
      <c r="AF166" s="923" t="s">
        <v>70</v>
      </c>
      <c r="AG166" s="924"/>
      <c r="AH166" s="924"/>
      <c r="AI166" s="924"/>
      <c r="AJ166" s="919"/>
      <c r="AK166" s="919"/>
      <c r="AL166" s="919"/>
      <c r="AM166" s="919"/>
      <c r="AN166" s="919"/>
      <c r="AO166" s="919"/>
      <c r="AP166" s="919"/>
      <c r="AQ166" s="919"/>
      <c r="AR166" s="919"/>
      <c r="AS166" s="919"/>
      <c r="AT166" s="919"/>
      <c r="AU166" s="919"/>
      <c r="AV166" s="919"/>
      <c r="AW166" s="919"/>
      <c r="AX166" s="919"/>
      <c r="AY166" s="919"/>
      <c r="AZ166" s="919"/>
      <c r="BA166" s="919"/>
      <c r="BB166" s="920"/>
      <c r="BC166" s="920"/>
      <c r="BD166" s="920"/>
      <c r="BE166" s="920"/>
      <c r="BF166" s="920"/>
      <c r="BG166" s="920"/>
      <c r="BH166" s="920"/>
      <c r="BI166" s="920"/>
      <c r="BJ166" s="920"/>
      <c r="BK166" s="920"/>
      <c r="BL166" s="920"/>
    </row>
    <row r="167">
      <c r="A167" s="622"/>
      <c r="B167" s="932" t="s">
        <v>135</v>
      </c>
      <c r="C167" s="932" t="s">
        <v>107</v>
      </c>
      <c r="D167" s="957" t="s">
        <v>69</v>
      </c>
      <c r="E167" s="957" t="s">
        <v>69</v>
      </c>
      <c r="F167" s="957" t="s">
        <v>70</v>
      </c>
      <c r="G167" s="957" t="s">
        <v>69</v>
      </c>
      <c r="H167" s="957" t="s">
        <v>70</v>
      </c>
      <c r="I167" s="957" t="s">
        <v>69</v>
      </c>
      <c r="J167" s="957" t="s">
        <v>69</v>
      </c>
      <c r="K167" s="957" t="s">
        <v>70</v>
      </c>
      <c r="L167" s="957" t="s">
        <v>69</v>
      </c>
      <c r="M167" s="957" t="s">
        <v>69</v>
      </c>
      <c r="N167" s="957" t="s">
        <v>70</v>
      </c>
      <c r="O167" s="957" t="s">
        <v>70</v>
      </c>
      <c r="P167" s="957"/>
      <c r="Q167" s="957" t="s">
        <v>69</v>
      </c>
      <c r="R167" s="958" t="s">
        <v>69</v>
      </c>
      <c r="S167" s="960" t="s">
        <v>70</v>
      </c>
      <c r="T167" s="960" t="s">
        <v>70</v>
      </c>
      <c r="U167" s="960" t="s">
        <v>70</v>
      </c>
      <c r="V167" s="974" t="s">
        <v>70</v>
      </c>
      <c r="W167" s="961" t="s">
        <v>69</v>
      </c>
      <c r="X167" s="961" t="s">
        <v>69</v>
      </c>
      <c r="Y167" s="961" t="s">
        <v>69</v>
      </c>
      <c r="Z167" s="961" t="s">
        <v>69</v>
      </c>
      <c r="AA167" s="961" t="s">
        <v>69</v>
      </c>
      <c r="AB167" s="961" t="s">
        <v>69</v>
      </c>
      <c r="AC167" s="975" t="s">
        <v>69</v>
      </c>
      <c r="AD167" s="923" t="s">
        <v>69</v>
      </c>
      <c r="AE167" s="923" t="s">
        <v>69</v>
      </c>
      <c r="AF167" s="923" t="s">
        <v>69</v>
      </c>
      <c r="AG167" s="924"/>
      <c r="AH167" s="924"/>
      <c r="AI167" s="924"/>
      <c r="AJ167" s="919"/>
      <c r="AK167" s="919"/>
      <c r="AL167" s="919"/>
      <c r="AM167" s="919"/>
      <c r="AN167" s="919"/>
      <c r="AO167" s="919"/>
      <c r="AP167" s="919"/>
      <c r="AQ167" s="919"/>
      <c r="AR167" s="919"/>
      <c r="AS167" s="919"/>
      <c r="AT167" s="919"/>
      <c r="AU167" s="919"/>
      <c r="AV167" s="919"/>
      <c r="AW167" s="919"/>
      <c r="AX167" s="919"/>
      <c r="AY167" s="919"/>
      <c r="AZ167" s="919"/>
      <c r="BA167" s="919"/>
      <c r="BB167" s="920"/>
      <c r="BC167" s="920"/>
      <c r="BD167" s="920"/>
      <c r="BE167" s="920"/>
      <c r="BF167" s="920"/>
      <c r="BG167" s="920"/>
      <c r="BH167" s="920"/>
      <c r="BI167" s="920"/>
      <c r="BJ167" s="920"/>
      <c r="BK167" s="920"/>
      <c r="BL167" s="920"/>
    </row>
    <row r="168">
      <c r="A168" s="622"/>
      <c r="B168" s="933" t="s">
        <v>1179</v>
      </c>
      <c r="C168" s="932" t="s">
        <v>107</v>
      </c>
      <c r="D168" s="957" t="s">
        <v>70</v>
      </c>
      <c r="E168" s="957" t="s">
        <v>99</v>
      </c>
      <c r="F168" s="957" t="s">
        <v>70</v>
      </c>
      <c r="G168" s="957" t="s">
        <v>70</v>
      </c>
      <c r="H168" s="957" t="s">
        <v>70</v>
      </c>
      <c r="I168" s="957" t="s">
        <v>69</v>
      </c>
      <c r="J168" s="957" t="s">
        <v>69</v>
      </c>
      <c r="K168" s="957" t="s">
        <v>70</v>
      </c>
      <c r="L168" s="957" t="s">
        <v>69</v>
      </c>
      <c r="M168" s="957" t="s">
        <v>69</v>
      </c>
      <c r="N168" s="957" t="s">
        <v>69</v>
      </c>
      <c r="O168" s="957" t="s">
        <v>69</v>
      </c>
      <c r="P168" s="957"/>
      <c r="Q168" s="957" t="s">
        <v>69</v>
      </c>
      <c r="R168" s="958" t="s">
        <v>69</v>
      </c>
      <c r="S168" s="976" t="s">
        <v>69</v>
      </c>
      <c r="T168" s="976" t="s">
        <v>69</v>
      </c>
      <c r="U168" s="976" t="s">
        <v>69</v>
      </c>
      <c r="V168" s="974" t="s">
        <v>70</v>
      </c>
      <c r="W168" s="961" t="s">
        <v>69</v>
      </c>
      <c r="X168" s="960" t="s">
        <v>70</v>
      </c>
      <c r="Y168" s="961" t="s">
        <v>69</v>
      </c>
      <c r="Z168" s="961" t="s">
        <v>69</v>
      </c>
      <c r="AA168" s="958" t="s">
        <v>100</v>
      </c>
      <c r="AB168" s="958" t="s">
        <v>100</v>
      </c>
      <c r="AC168" s="957" t="s">
        <v>100</v>
      </c>
      <c r="AD168" s="958" t="s">
        <v>100</v>
      </c>
      <c r="AE168" s="958" t="s">
        <v>100</v>
      </c>
      <c r="AF168" s="958" t="s">
        <v>100</v>
      </c>
      <c r="AG168" s="924"/>
      <c r="AH168" s="924"/>
      <c r="AI168" s="924"/>
      <c r="AJ168" s="919"/>
      <c r="AK168" s="919"/>
      <c r="AL168" s="919"/>
      <c r="AM168" s="919"/>
      <c r="AN168" s="919"/>
      <c r="AO168" s="919"/>
      <c r="AP168" s="919"/>
      <c r="AQ168" s="919"/>
      <c r="AR168" s="919"/>
      <c r="AS168" s="919"/>
      <c r="AT168" s="919"/>
      <c r="AU168" s="919"/>
      <c r="AV168" s="919"/>
      <c r="AW168" s="919"/>
      <c r="AX168" s="919"/>
      <c r="AY168" s="919"/>
      <c r="AZ168" s="919"/>
      <c r="BA168" s="919"/>
      <c r="BB168" s="920"/>
      <c r="BC168" s="920"/>
      <c r="BD168" s="920"/>
      <c r="BE168" s="920"/>
      <c r="BF168" s="920"/>
      <c r="BG168" s="920"/>
      <c r="BH168" s="920"/>
      <c r="BI168" s="920"/>
      <c r="BJ168" s="920"/>
      <c r="BK168" s="920"/>
      <c r="BL168" s="920"/>
    </row>
    <row r="169">
      <c r="A169" s="622"/>
      <c r="B169" s="934" t="s">
        <v>1180</v>
      </c>
      <c r="C169" s="932" t="s">
        <v>107</v>
      </c>
      <c r="D169" s="957" t="s">
        <v>69</v>
      </c>
      <c r="E169" s="957" t="s">
        <v>69</v>
      </c>
      <c r="F169" s="957" t="s">
        <v>70</v>
      </c>
      <c r="G169" s="957" t="s">
        <v>69</v>
      </c>
      <c r="H169" s="957" t="s">
        <v>70</v>
      </c>
      <c r="I169" s="957" t="s">
        <v>69</v>
      </c>
      <c r="J169" s="957" t="s">
        <v>69</v>
      </c>
      <c r="K169" s="957" t="s">
        <v>70</v>
      </c>
      <c r="L169" s="957" t="s">
        <v>69</v>
      </c>
      <c r="M169" s="957" t="s">
        <v>69</v>
      </c>
      <c r="N169" s="957" t="s">
        <v>69</v>
      </c>
      <c r="O169" s="957" t="s">
        <v>70</v>
      </c>
      <c r="P169" s="957"/>
      <c r="Q169" s="957" t="s">
        <v>69</v>
      </c>
      <c r="R169" s="958" t="s">
        <v>69</v>
      </c>
      <c r="S169" s="961" t="s">
        <v>69</v>
      </c>
      <c r="T169" s="960" t="s">
        <v>70</v>
      </c>
      <c r="U169" s="960" t="s">
        <v>70</v>
      </c>
      <c r="V169" s="974" t="s">
        <v>70</v>
      </c>
      <c r="W169" s="960" t="s">
        <v>70</v>
      </c>
      <c r="X169" s="960" t="s">
        <v>70</v>
      </c>
      <c r="Y169" s="961" t="s">
        <v>69</v>
      </c>
      <c r="Z169" s="961" t="s">
        <v>69</v>
      </c>
      <c r="AA169" s="960" t="s">
        <v>70</v>
      </c>
      <c r="AB169" s="961" t="s">
        <v>69</v>
      </c>
      <c r="AC169" s="972" t="s">
        <v>70</v>
      </c>
      <c r="AD169" s="923" t="s">
        <v>69</v>
      </c>
      <c r="AE169" s="923" t="s">
        <v>69</v>
      </c>
      <c r="AF169" s="923" t="s">
        <v>69</v>
      </c>
      <c r="AG169" s="924"/>
      <c r="AH169" s="924"/>
      <c r="AI169" s="924"/>
      <c r="AJ169" s="919"/>
      <c r="AK169" s="919"/>
      <c r="AL169" s="919"/>
      <c r="AM169" s="919"/>
      <c r="AN169" s="919"/>
      <c r="AO169" s="919"/>
      <c r="AP169" s="919"/>
      <c r="AQ169" s="919"/>
      <c r="AR169" s="919"/>
      <c r="AS169" s="919"/>
      <c r="AT169" s="919"/>
      <c r="AU169" s="919"/>
      <c r="AV169" s="919"/>
      <c r="AW169" s="919"/>
      <c r="AX169" s="919"/>
      <c r="AY169" s="919"/>
      <c r="AZ169" s="919"/>
      <c r="BA169" s="919"/>
      <c r="BB169" s="920"/>
      <c r="BC169" s="920"/>
      <c r="BD169" s="920"/>
      <c r="BE169" s="920"/>
      <c r="BF169" s="920"/>
      <c r="BG169" s="920"/>
      <c r="BH169" s="920"/>
      <c r="BI169" s="920"/>
      <c r="BJ169" s="920"/>
      <c r="BK169" s="920"/>
      <c r="BL169" s="920"/>
    </row>
    <row r="170">
      <c r="A170" s="622"/>
      <c r="B170" s="932" t="s">
        <v>1181</v>
      </c>
      <c r="C170" s="932" t="s">
        <v>107</v>
      </c>
      <c r="D170" s="957" t="s">
        <v>70</v>
      </c>
      <c r="E170" s="957" t="s">
        <v>69</v>
      </c>
      <c r="F170" s="957" t="s">
        <v>70</v>
      </c>
      <c r="G170" s="957" t="s">
        <v>69</v>
      </c>
      <c r="H170" s="957" t="s">
        <v>70</v>
      </c>
      <c r="I170" s="957" t="s">
        <v>69</v>
      </c>
      <c r="J170" s="957" t="s">
        <v>69</v>
      </c>
      <c r="K170" s="957" t="s">
        <v>99</v>
      </c>
      <c r="L170" s="957" t="s">
        <v>69</v>
      </c>
      <c r="M170" s="957" t="s">
        <v>69</v>
      </c>
      <c r="N170" s="957" t="s">
        <v>69</v>
      </c>
      <c r="O170" s="957" t="s">
        <v>70</v>
      </c>
      <c r="P170" s="957"/>
      <c r="Q170" s="957" t="s">
        <v>69</v>
      </c>
      <c r="R170" s="958" t="s">
        <v>69</v>
      </c>
      <c r="S170" s="959" t="s">
        <v>69</v>
      </c>
      <c r="T170" s="959" t="s">
        <v>69</v>
      </c>
      <c r="U170" s="959" t="s">
        <v>69</v>
      </c>
      <c r="V170" s="959" t="s">
        <v>70</v>
      </c>
      <c r="W170" s="960" t="s">
        <v>70</v>
      </c>
      <c r="X170" s="960" t="s">
        <v>70</v>
      </c>
      <c r="Y170" s="961" t="s">
        <v>69</v>
      </c>
      <c r="Z170" s="960" t="s">
        <v>70</v>
      </c>
      <c r="AA170" s="960" t="s">
        <v>70</v>
      </c>
      <c r="AB170" s="961" t="s">
        <v>69</v>
      </c>
      <c r="AC170" s="960" t="s">
        <v>70</v>
      </c>
      <c r="AD170" s="958" t="s">
        <v>100</v>
      </c>
      <c r="AE170" s="958" t="s">
        <v>100</v>
      </c>
      <c r="AF170" s="958" t="s">
        <v>100</v>
      </c>
      <c r="AG170" s="924"/>
      <c r="AH170" s="924"/>
      <c r="AI170" s="924"/>
      <c r="AJ170" s="919"/>
      <c r="AK170" s="919"/>
      <c r="AL170" s="919"/>
      <c r="AM170" s="919"/>
      <c r="AN170" s="919"/>
      <c r="AO170" s="919"/>
      <c r="AP170" s="919"/>
      <c r="AQ170" s="919"/>
      <c r="AR170" s="919"/>
      <c r="AS170" s="919"/>
      <c r="AT170" s="919"/>
      <c r="AU170" s="919"/>
      <c r="AV170" s="919"/>
      <c r="AW170" s="919"/>
      <c r="AX170" s="919"/>
      <c r="AY170" s="919"/>
      <c r="AZ170" s="919"/>
      <c r="BA170" s="919"/>
      <c r="BB170" s="920"/>
      <c r="BC170" s="920"/>
      <c r="BD170" s="920"/>
      <c r="BE170" s="920"/>
      <c r="BF170" s="920"/>
      <c r="BG170" s="920"/>
      <c r="BH170" s="920"/>
      <c r="BI170" s="920"/>
      <c r="BJ170" s="920"/>
      <c r="BK170" s="920"/>
      <c r="BL170" s="920"/>
    </row>
    <row r="171">
      <c r="A171" s="622"/>
      <c r="B171" s="977" t="s">
        <v>1212</v>
      </c>
      <c r="C171" s="936" t="s">
        <v>437</v>
      </c>
      <c r="D171" s="957" t="s">
        <v>70</v>
      </c>
      <c r="E171" s="957" t="s">
        <v>70</v>
      </c>
      <c r="F171" s="957" t="s">
        <v>69</v>
      </c>
      <c r="G171" s="957" t="s">
        <v>70</v>
      </c>
      <c r="H171" s="957" t="s">
        <v>70</v>
      </c>
      <c r="I171" s="957" t="s">
        <v>69</v>
      </c>
      <c r="J171" s="957" t="s">
        <v>69</v>
      </c>
      <c r="K171" s="957" t="s">
        <v>70</v>
      </c>
      <c r="L171" s="957" t="s">
        <v>70</v>
      </c>
      <c r="M171" s="957" t="s">
        <v>69</v>
      </c>
      <c r="N171" s="957" t="s">
        <v>69</v>
      </c>
      <c r="O171" s="957" t="s">
        <v>69</v>
      </c>
      <c r="P171" s="957"/>
      <c r="Q171" s="957" t="s">
        <v>69</v>
      </c>
      <c r="R171" s="958" t="s">
        <v>69</v>
      </c>
      <c r="S171" s="959" t="s">
        <v>69</v>
      </c>
      <c r="T171" s="959" t="s">
        <v>69</v>
      </c>
      <c r="U171" s="959" t="s">
        <v>69</v>
      </c>
      <c r="V171" s="959" t="s">
        <v>69</v>
      </c>
      <c r="W171" s="961" t="s">
        <v>69</v>
      </c>
      <c r="X171" s="960" t="s">
        <v>70</v>
      </c>
      <c r="Y171" s="961" t="s">
        <v>69</v>
      </c>
      <c r="Z171" s="961" t="s">
        <v>69</v>
      </c>
      <c r="AA171" s="960" t="s">
        <v>70</v>
      </c>
      <c r="AB171" s="961" t="s">
        <v>69</v>
      </c>
      <c r="AC171" s="960" t="s">
        <v>70</v>
      </c>
      <c r="AD171" s="923" t="s">
        <v>70</v>
      </c>
      <c r="AE171" s="923" t="s">
        <v>69</v>
      </c>
      <c r="AF171" s="923" t="s">
        <v>69</v>
      </c>
      <c r="AG171" s="924"/>
      <c r="AH171" s="924"/>
      <c r="AI171" s="924"/>
      <c r="AJ171" s="919"/>
      <c r="AK171" s="919"/>
      <c r="AL171" s="919"/>
      <c r="AM171" s="919"/>
      <c r="AN171" s="919"/>
      <c r="AO171" s="919"/>
      <c r="AP171" s="919"/>
      <c r="AQ171" s="919"/>
      <c r="AR171" s="919"/>
      <c r="AS171" s="919"/>
      <c r="AT171" s="919"/>
      <c r="AU171" s="919"/>
      <c r="AV171" s="919"/>
      <c r="AW171" s="919"/>
      <c r="AX171" s="919"/>
      <c r="AY171" s="919"/>
      <c r="AZ171" s="919"/>
      <c r="BA171" s="919"/>
      <c r="BB171" s="920"/>
      <c r="BC171" s="920"/>
      <c r="BD171" s="920"/>
      <c r="BE171" s="920"/>
      <c r="BF171" s="920"/>
      <c r="BG171" s="920"/>
      <c r="BH171" s="920"/>
      <c r="BI171" s="920"/>
      <c r="BJ171" s="920"/>
      <c r="BK171" s="920"/>
      <c r="BL171" s="920"/>
    </row>
    <row r="172">
      <c r="A172" s="622"/>
      <c r="B172" s="937" t="s">
        <v>106</v>
      </c>
      <c r="C172" s="938" t="s">
        <v>437</v>
      </c>
      <c r="D172" s="957" t="s">
        <v>70</v>
      </c>
      <c r="E172" s="957" t="s">
        <v>70</v>
      </c>
      <c r="F172" s="957" t="s">
        <v>69</v>
      </c>
      <c r="G172" s="957" t="s">
        <v>70</v>
      </c>
      <c r="H172" s="957" t="s">
        <v>70</v>
      </c>
      <c r="I172" s="957" t="s">
        <v>69</v>
      </c>
      <c r="J172" s="957" t="s">
        <v>69</v>
      </c>
      <c r="K172" s="957" t="s">
        <v>70</v>
      </c>
      <c r="L172" s="957" t="s">
        <v>70</v>
      </c>
      <c r="M172" s="957" t="s">
        <v>69</v>
      </c>
      <c r="N172" s="957" t="s">
        <v>69</v>
      </c>
      <c r="O172" s="957" t="s">
        <v>70</v>
      </c>
      <c r="P172" s="957"/>
      <c r="Q172" s="957" t="s">
        <v>69</v>
      </c>
      <c r="R172" s="958" t="s">
        <v>69</v>
      </c>
      <c r="S172" s="959" t="s">
        <v>69</v>
      </c>
      <c r="T172" s="959" t="s">
        <v>69</v>
      </c>
      <c r="U172" s="959" t="s">
        <v>69</v>
      </c>
      <c r="V172" s="959" t="s">
        <v>69</v>
      </c>
      <c r="W172" s="811" t="s">
        <v>69</v>
      </c>
      <c r="X172" s="833" t="s">
        <v>70</v>
      </c>
      <c r="Y172" s="832" t="s">
        <v>69</v>
      </c>
      <c r="Z172" s="832" t="s">
        <v>69</v>
      </c>
      <c r="AA172" s="960" t="s">
        <v>70</v>
      </c>
      <c r="AB172" s="961" t="s">
        <v>69</v>
      </c>
      <c r="AC172" s="960" t="s">
        <v>70</v>
      </c>
      <c r="AD172" s="923" t="s">
        <v>70</v>
      </c>
      <c r="AE172" s="923" t="s">
        <v>69</v>
      </c>
      <c r="AF172" s="923" t="s">
        <v>69</v>
      </c>
      <c r="AG172" s="924"/>
      <c r="AH172" s="924"/>
      <c r="AI172" s="924"/>
      <c r="AJ172" s="919"/>
      <c r="AK172" s="919"/>
      <c r="AL172" s="919"/>
      <c r="AM172" s="919"/>
      <c r="AN172" s="919"/>
      <c r="AO172" s="919"/>
      <c r="AP172" s="919"/>
      <c r="AQ172" s="919"/>
      <c r="AR172" s="919"/>
      <c r="AS172" s="919"/>
      <c r="AT172" s="919"/>
      <c r="AU172" s="919"/>
      <c r="AV172" s="919"/>
      <c r="AW172" s="919"/>
      <c r="AX172" s="919"/>
      <c r="AY172" s="919"/>
      <c r="AZ172" s="919"/>
      <c r="BA172" s="919"/>
      <c r="BB172" s="920"/>
      <c r="BC172" s="920"/>
      <c r="BD172" s="920"/>
      <c r="BE172" s="920"/>
      <c r="BF172" s="920"/>
      <c r="BG172" s="920"/>
      <c r="BH172" s="920"/>
      <c r="BI172" s="920"/>
      <c r="BJ172" s="920"/>
      <c r="BK172" s="920"/>
      <c r="BL172" s="920"/>
    </row>
    <row r="173">
      <c r="A173" s="622"/>
      <c r="B173" s="940" t="s">
        <v>1213</v>
      </c>
      <c r="C173" s="978" t="s">
        <v>437</v>
      </c>
      <c r="D173" s="979" t="s">
        <v>70</v>
      </c>
      <c r="E173" s="979" t="s">
        <v>70</v>
      </c>
      <c r="F173" s="979" t="s">
        <v>69</v>
      </c>
      <c r="G173" s="979" t="s">
        <v>70</v>
      </c>
      <c r="H173" s="979" t="s">
        <v>70</v>
      </c>
      <c r="I173" s="979" t="s">
        <v>69</v>
      </c>
      <c r="J173" s="979" t="s">
        <v>69</v>
      </c>
      <c r="K173" s="979" t="s">
        <v>70</v>
      </c>
      <c r="L173" s="979" t="s">
        <v>70</v>
      </c>
      <c r="M173" s="979" t="s">
        <v>69</v>
      </c>
      <c r="N173" s="979" t="s">
        <v>69</v>
      </c>
      <c r="O173" s="979" t="s">
        <v>70</v>
      </c>
      <c r="P173" s="979"/>
      <c r="Q173" s="979" t="s">
        <v>69</v>
      </c>
      <c r="R173" s="980" t="s">
        <v>69</v>
      </c>
      <c r="S173" s="981" t="s">
        <v>69</v>
      </c>
      <c r="T173" s="981" t="s">
        <v>1214</v>
      </c>
      <c r="U173" s="981" t="s">
        <v>69</v>
      </c>
      <c r="V173" s="981" t="s">
        <v>99</v>
      </c>
      <c r="W173" s="982"/>
      <c r="X173" s="919"/>
      <c r="Y173" s="919"/>
      <c r="Z173" s="919"/>
      <c r="AA173" s="919"/>
      <c r="AB173" s="919"/>
      <c r="AC173" s="919"/>
      <c r="AD173" s="919"/>
      <c r="AE173" s="919"/>
      <c r="AF173" s="919"/>
      <c r="AG173" s="919"/>
      <c r="AH173" s="919"/>
      <c r="AI173" s="919"/>
      <c r="AJ173" s="919"/>
      <c r="AK173" s="919"/>
      <c r="AL173" s="919"/>
      <c r="AM173" s="919"/>
      <c r="AN173" s="919"/>
      <c r="AO173" s="919"/>
      <c r="AP173" s="919"/>
      <c r="AQ173" s="919"/>
      <c r="AR173" s="919"/>
      <c r="AS173" s="919"/>
      <c r="AT173" s="919"/>
      <c r="AU173" s="919"/>
      <c r="AV173" s="919"/>
      <c r="AW173" s="919"/>
      <c r="AX173" s="919"/>
      <c r="AY173" s="919"/>
      <c r="AZ173" s="919"/>
      <c r="BA173" s="919"/>
      <c r="BB173" s="920"/>
      <c r="BC173" s="920"/>
      <c r="BD173" s="920"/>
      <c r="BE173" s="920"/>
      <c r="BF173" s="920"/>
      <c r="BG173" s="920"/>
      <c r="BH173" s="920"/>
      <c r="BI173" s="920"/>
      <c r="BJ173" s="920"/>
      <c r="BK173" s="920"/>
      <c r="BL173" s="920"/>
    </row>
    <row r="174">
      <c r="A174" s="622"/>
      <c r="B174" s="937" t="s">
        <v>61</v>
      </c>
      <c r="C174" s="939" t="s">
        <v>437</v>
      </c>
      <c r="D174" s="983"/>
      <c r="E174" s="108"/>
      <c r="F174" s="108"/>
      <c r="G174" s="108"/>
      <c r="H174" s="108"/>
      <c r="I174" s="108"/>
      <c r="J174" s="108"/>
      <c r="K174" s="108"/>
      <c r="L174" s="108"/>
      <c r="M174" s="108"/>
      <c r="N174" s="108"/>
      <c r="O174" s="108"/>
      <c r="P174" s="108"/>
      <c r="Q174" s="108"/>
      <c r="R174" s="108"/>
      <c r="S174" s="108"/>
      <c r="T174" s="108"/>
      <c r="U174" s="108"/>
      <c r="V174" s="108"/>
      <c r="W174" s="984" t="s">
        <v>69</v>
      </c>
      <c r="X174" s="985" t="s">
        <v>70</v>
      </c>
      <c r="Y174" s="961" t="s">
        <v>69</v>
      </c>
      <c r="Z174" s="960" t="s">
        <v>70</v>
      </c>
      <c r="AA174" s="960" t="s">
        <v>70</v>
      </c>
      <c r="AB174" s="961" t="s">
        <v>69</v>
      </c>
      <c r="AC174" s="960" t="s">
        <v>70</v>
      </c>
      <c r="AD174" s="986" t="s">
        <v>70</v>
      </c>
      <c r="AE174" s="987" t="s">
        <v>70</v>
      </c>
      <c r="AF174" s="988" t="s">
        <v>69</v>
      </c>
      <c r="AG174" s="924"/>
      <c r="AH174" s="924"/>
      <c r="AI174" s="924"/>
      <c r="AJ174" s="919"/>
      <c r="AK174" s="919"/>
      <c r="AL174" s="919"/>
      <c r="AM174" s="919"/>
      <c r="AN174" s="919"/>
      <c r="AO174" s="919"/>
      <c r="AP174" s="919"/>
      <c r="AQ174" s="919"/>
      <c r="AR174" s="919"/>
      <c r="AS174" s="919"/>
      <c r="AT174" s="919"/>
      <c r="AU174" s="919"/>
      <c r="AV174" s="919"/>
      <c r="AW174" s="919"/>
      <c r="AX174" s="919"/>
      <c r="AY174" s="919"/>
      <c r="AZ174" s="919"/>
      <c r="BA174" s="919"/>
      <c r="BB174" s="920"/>
      <c r="BC174" s="920"/>
      <c r="BD174" s="920"/>
      <c r="BE174" s="920"/>
      <c r="BF174" s="920"/>
      <c r="BG174" s="920"/>
      <c r="BH174" s="920"/>
      <c r="BI174" s="920"/>
      <c r="BJ174" s="920"/>
      <c r="BK174" s="920"/>
      <c r="BL174" s="920"/>
    </row>
    <row r="175">
      <c r="A175" s="622"/>
      <c r="B175" s="938" t="s">
        <v>1195</v>
      </c>
      <c r="C175" s="938" t="s">
        <v>437</v>
      </c>
      <c r="D175" s="989" t="s">
        <v>70</v>
      </c>
      <c r="E175" s="989" t="s">
        <v>70</v>
      </c>
      <c r="F175" s="989" t="s">
        <v>69</v>
      </c>
      <c r="G175" s="989" t="s">
        <v>70</v>
      </c>
      <c r="H175" s="989" t="s">
        <v>70</v>
      </c>
      <c r="I175" s="989" t="s">
        <v>69</v>
      </c>
      <c r="J175" s="989" t="s">
        <v>69</v>
      </c>
      <c r="K175" s="989" t="s">
        <v>70</v>
      </c>
      <c r="L175" s="989" t="s">
        <v>70</v>
      </c>
      <c r="M175" s="989" t="s">
        <v>69</v>
      </c>
      <c r="N175" s="989" t="s">
        <v>69</v>
      </c>
      <c r="O175" s="989" t="s">
        <v>70</v>
      </c>
      <c r="P175" s="989"/>
      <c r="Q175" s="989" t="s">
        <v>69</v>
      </c>
      <c r="R175" s="990" t="s">
        <v>69</v>
      </c>
      <c r="S175" s="991" t="s">
        <v>69</v>
      </c>
      <c r="T175" s="991" t="s">
        <v>69</v>
      </c>
      <c r="U175" s="991" t="s">
        <v>69</v>
      </c>
      <c r="V175" s="991" t="s">
        <v>69</v>
      </c>
      <c r="W175" s="811" t="s">
        <v>69</v>
      </c>
      <c r="X175" s="833" t="s">
        <v>70</v>
      </c>
      <c r="Y175" s="832" t="s">
        <v>69</v>
      </c>
      <c r="Z175" s="961" t="s">
        <v>69</v>
      </c>
      <c r="AA175" s="960" t="s">
        <v>70</v>
      </c>
      <c r="AB175" s="961" t="s">
        <v>69</v>
      </c>
      <c r="AC175" s="960" t="s">
        <v>70</v>
      </c>
      <c r="AD175" s="958" t="s">
        <v>100</v>
      </c>
      <c r="AE175" s="958" t="s">
        <v>100</v>
      </c>
      <c r="AF175" s="958" t="s">
        <v>100</v>
      </c>
      <c r="AG175" s="924"/>
      <c r="AH175" s="924"/>
      <c r="AI175" s="924"/>
      <c r="AJ175" s="919"/>
      <c r="AK175" s="919"/>
      <c r="AL175" s="919"/>
      <c r="AM175" s="919"/>
      <c r="AN175" s="919"/>
      <c r="AO175" s="919"/>
      <c r="AP175" s="919"/>
      <c r="AQ175" s="919"/>
      <c r="AR175" s="919"/>
      <c r="AS175" s="919"/>
      <c r="AT175" s="919"/>
      <c r="AU175" s="919"/>
      <c r="AV175" s="919"/>
      <c r="AW175" s="919"/>
      <c r="AX175" s="919"/>
      <c r="AY175" s="919"/>
      <c r="AZ175" s="919"/>
      <c r="BA175" s="919"/>
      <c r="BB175" s="920"/>
      <c r="BC175" s="920"/>
      <c r="BD175" s="920"/>
      <c r="BE175" s="920"/>
      <c r="BF175" s="920"/>
      <c r="BG175" s="920"/>
      <c r="BH175" s="920"/>
      <c r="BI175" s="920"/>
      <c r="BJ175" s="920"/>
      <c r="BK175" s="920"/>
      <c r="BL175" s="920"/>
    </row>
    <row r="176">
      <c r="A176" s="622"/>
      <c r="B176" s="937" t="s">
        <v>1187</v>
      </c>
      <c r="C176" s="938" t="s">
        <v>437</v>
      </c>
      <c r="D176" s="957" t="s">
        <v>70</v>
      </c>
      <c r="E176" s="957" t="s">
        <v>70</v>
      </c>
      <c r="F176" s="957" t="s">
        <v>69</v>
      </c>
      <c r="G176" s="957" t="s">
        <v>70</v>
      </c>
      <c r="H176" s="957" t="s">
        <v>70</v>
      </c>
      <c r="I176" s="957" t="s">
        <v>69</v>
      </c>
      <c r="J176" s="957" t="s">
        <v>69</v>
      </c>
      <c r="K176" s="957" t="s">
        <v>70</v>
      </c>
      <c r="L176" s="957" t="s">
        <v>100</v>
      </c>
      <c r="M176" s="957" t="s">
        <v>100</v>
      </c>
      <c r="N176" s="957" t="s">
        <v>100</v>
      </c>
      <c r="O176" s="957" t="s">
        <v>100</v>
      </c>
      <c r="P176" s="957"/>
      <c r="Q176" s="957" t="s">
        <v>100</v>
      </c>
      <c r="R176" s="958" t="s">
        <v>100</v>
      </c>
      <c r="S176" s="976" t="s">
        <v>69</v>
      </c>
      <c r="T176" s="976" t="s">
        <v>69</v>
      </c>
      <c r="U176" s="976" t="s">
        <v>69</v>
      </c>
      <c r="V176" s="976" t="s">
        <v>69</v>
      </c>
      <c r="W176" s="811" t="s">
        <v>69</v>
      </c>
      <c r="X176" s="833" t="s">
        <v>70</v>
      </c>
      <c r="Y176" s="832" t="s">
        <v>69</v>
      </c>
      <c r="Z176" s="832" t="s">
        <v>69</v>
      </c>
      <c r="AA176" s="960" t="s">
        <v>70</v>
      </c>
      <c r="AB176" s="961" t="s">
        <v>69</v>
      </c>
      <c r="AC176" s="960" t="s">
        <v>70</v>
      </c>
      <c r="AD176" s="986" t="s">
        <v>70</v>
      </c>
      <c r="AE176" s="988" t="s">
        <v>69</v>
      </c>
      <c r="AF176" s="988" t="s">
        <v>69</v>
      </c>
      <c r="AG176" s="924"/>
      <c r="AH176" s="924"/>
      <c r="AI176" s="924"/>
      <c r="AJ176" s="919"/>
      <c r="AK176" s="919"/>
      <c r="AL176" s="919"/>
      <c r="AM176" s="919"/>
      <c r="AN176" s="919"/>
      <c r="AO176" s="919"/>
      <c r="AP176" s="919"/>
      <c r="AQ176" s="919"/>
      <c r="AR176" s="919"/>
      <c r="AS176" s="919"/>
      <c r="AT176" s="919"/>
      <c r="AU176" s="919"/>
      <c r="AV176" s="919"/>
      <c r="AW176" s="919"/>
      <c r="AX176" s="919"/>
      <c r="AY176" s="919"/>
      <c r="AZ176" s="919"/>
      <c r="BA176" s="919"/>
      <c r="BB176" s="920"/>
      <c r="BC176" s="920"/>
      <c r="BD176" s="920"/>
      <c r="BE176" s="920"/>
      <c r="BF176" s="920"/>
      <c r="BG176" s="920"/>
      <c r="BH176" s="920"/>
      <c r="BI176" s="920"/>
      <c r="BJ176" s="920"/>
      <c r="BK176" s="920"/>
      <c r="BL176" s="920"/>
    </row>
    <row r="177">
      <c r="A177" s="622"/>
      <c r="B177" s="953" t="s">
        <v>53</v>
      </c>
      <c r="C177" s="953" t="s">
        <v>25</v>
      </c>
      <c r="D177" s="957" t="s">
        <v>70</v>
      </c>
      <c r="E177" s="971" t="s">
        <v>69</v>
      </c>
      <c r="F177" s="957" t="s">
        <v>70</v>
      </c>
      <c r="G177" s="957" t="s">
        <v>70</v>
      </c>
      <c r="H177" s="957" t="s">
        <v>70</v>
      </c>
      <c r="I177" s="957" t="s">
        <v>70</v>
      </c>
      <c r="J177" s="957" t="s">
        <v>70</v>
      </c>
      <c r="K177" s="957" t="s">
        <v>69</v>
      </c>
      <c r="L177" s="957" t="s">
        <v>69</v>
      </c>
      <c r="M177" s="957" t="s">
        <v>69</v>
      </c>
      <c r="N177" s="957" t="s">
        <v>70</v>
      </c>
      <c r="O177" s="957" t="s">
        <v>69</v>
      </c>
      <c r="P177" s="957"/>
      <c r="Q177" s="957" t="s">
        <v>70</v>
      </c>
      <c r="R177" s="958" t="s">
        <v>69</v>
      </c>
      <c r="S177" s="959" t="s">
        <v>69</v>
      </c>
      <c r="T177" s="959" t="s">
        <v>69</v>
      </c>
      <c r="U177" s="959" t="s">
        <v>1215</v>
      </c>
      <c r="V177" s="959" t="s">
        <v>1215</v>
      </c>
      <c r="W177" s="960" t="s">
        <v>70</v>
      </c>
      <c r="X177" s="960" t="s">
        <v>70</v>
      </c>
      <c r="Y177" s="960" t="s">
        <v>70</v>
      </c>
      <c r="Z177" s="960" t="s">
        <v>70</v>
      </c>
      <c r="AA177" s="961" t="s">
        <v>69</v>
      </c>
      <c r="AB177" s="960" t="s">
        <v>70</v>
      </c>
      <c r="AC177" s="960" t="s">
        <v>70</v>
      </c>
      <c r="AD177" s="958" t="s">
        <v>100</v>
      </c>
      <c r="AE177" s="958" t="s">
        <v>100</v>
      </c>
      <c r="AF177" s="958" t="s">
        <v>100</v>
      </c>
      <c r="AG177" s="924"/>
      <c r="AH177" s="924"/>
      <c r="AI177" s="924"/>
      <c r="AJ177" s="919"/>
      <c r="AK177" s="919"/>
      <c r="AL177" s="919"/>
      <c r="AM177" s="919"/>
      <c r="AN177" s="919"/>
      <c r="AO177" s="919"/>
      <c r="AP177" s="919"/>
      <c r="AQ177" s="919"/>
      <c r="AR177" s="919"/>
      <c r="AS177" s="919"/>
      <c r="AT177" s="919"/>
      <c r="AU177" s="919"/>
      <c r="AV177" s="919"/>
      <c r="AW177" s="919"/>
      <c r="AX177" s="919"/>
      <c r="AY177" s="919"/>
      <c r="AZ177" s="919"/>
      <c r="BA177" s="919"/>
      <c r="BB177" s="920"/>
      <c r="BC177" s="920"/>
      <c r="BD177" s="920"/>
      <c r="BE177" s="920"/>
      <c r="BF177" s="920"/>
      <c r="BG177" s="920"/>
      <c r="BH177" s="920"/>
      <c r="BI177" s="920"/>
      <c r="BJ177" s="920"/>
      <c r="BK177" s="920"/>
      <c r="BL177" s="920"/>
    </row>
    <row r="178">
      <c r="A178" s="622"/>
      <c r="B178" s="954" t="s">
        <v>1204</v>
      </c>
      <c r="C178" s="954" t="s">
        <v>25</v>
      </c>
      <c r="D178" s="957" t="s">
        <v>70</v>
      </c>
      <c r="E178" s="971" t="s">
        <v>69</v>
      </c>
      <c r="F178" s="957" t="s">
        <v>70</v>
      </c>
      <c r="G178" s="957" t="s">
        <v>70</v>
      </c>
      <c r="H178" s="957" t="s">
        <v>70</v>
      </c>
      <c r="I178" s="957" t="s">
        <v>70</v>
      </c>
      <c r="J178" s="957" t="s">
        <v>70</v>
      </c>
      <c r="K178" s="957" t="s">
        <v>69</v>
      </c>
      <c r="L178" s="957" t="s">
        <v>69</v>
      </c>
      <c r="M178" s="957" t="s">
        <v>69</v>
      </c>
      <c r="N178" s="957" t="s">
        <v>70</v>
      </c>
      <c r="O178" s="957" t="s">
        <v>69</v>
      </c>
      <c r="P178" s="957"/>
      <c r="Q178" s="957" t="s">
        <v>70</v>
      </c>
      <c r="R178" s="958" t="s">
        <v>69</v>
      </c>
      <c r="S178" s="959" t="s">
        <v>69</v>
      </c>
      <c r="T178" s="959" t="s">
        <v>69</v>
      </c>
      <c r="U178" s="959" t="s">
        <v>70</v>
      </c>
      <c r="V178" s="959" t="s">
        <v>70</v>
      </c>
      <c r="W178" s="960" t="s">
        <v>70</v>
      </c>
      <c r="X178" s="960" t="s">
        <v>70</v>
      </c>
      <c r="Y178" s="961" t="s">
        <v>69</v>
      </c>
      <c r="Z178" s="960" t="s">
        <v>70</v>
      </c>
      <c r="AA178" s="961" t="s">
        <v>69</v>
      </c>
      <c r="AB178" s="960" t="s">
        <v>70</v>
      </c>
      <c r="AC178" s="960" t="s">
        <v>70</v>
      </c>
      <c r="AD178" s="986" t="s">
        <v>70</v>
      </c>
      <c r="AE178" s="988" t="s">
        <v>69</v>
      </c>
      <c r="AF178" s="988" t="s">
        <v>69</v>
      </c>
      <c r="AG178" s="924"/>
      <c r="AH178" s="924"/>
      <c r="AI178" s="924"/>
      <c r="AJ178" s="919"/>
      <c r="AK178" s="919"/>
      <c r="AL178" s="919"/>
      <c r="AM178" s="919"/>
      <c r="AN178" s="919"/>
      <c r="AO178" s="919"/>
      <c r="AP178" s="919"/>
      <c r="AQ178" s="919"/>
      <c r="AR178" s="919"/>
      <c r="AS178" s="919"/>
      <c r="AT178" s="919"/>
      <c r="AU178" s="919"/>
      <c r="AV178" s="919"/>
      <c r="AW178" s="919"/>
      <c r="AX178" s="919"/>
      <c r="AY178" s="919"/>
      <c r="AZ178" s="919"/>
      <c r="BA178" s="919"/>
      <c r="BB178" s="920"/>
      <c r="BC178" s="920"/>
      <c r="BD178" s="920"/>
      <c r="BE178" s="920"/>
      <c r="BF178" s="920"/>
      <c r="BG178" s="920"/>
      <c r="BH178" s="920"/>
      <c r="BI178" s="920"/>
      <c r="BJ178" s="920"/>
      <c r="BK178" s="920"/>
      <c r="BL178" s="920"/>
    </row>
    <row r="179">
      <c r="A179" s="899" t="s">
        <v>68</v>
      </c>
      <c r="B179" s="900"/>
      <c r="D179" s="918"/>
      <c r="U179" s="671"/>
      <c r="AI179" s="919"/>
      <c r="AJ179" s="919"/>
      <c r="AK179" s="919"/>
      <c r="AL179" s="919"/>
      <c r="AM179" s="919"/>
      <c r="AN179" s="919"/>
      <c r="AO179" s="919"/>
      <c r="AP179" s="919"/>
      <c r="AQ179" s="919"/>
      <c r="AR179" s="919"/>
      <c r="AS179" s="919"/>
      <c r="AT179" s="919"/>
      <c r="AU179" s="919"/>
      <c r="AV179" s="919"/>
      <c r="AW179" s="919"/>
      <c r="AX179" s="919"/>
      <c r="AY179" s="919"/>
      <c r="AZ179" s="919"/>
      <c r="BA179" s="919"/>
      <c r="BB179" s="920"/>
      <c r="BC179" s="920"/>
      <c r="BD179" s="920"/>
      <c r="BE179" s="920"/>
      <c r="BF179" s="920"/>
      <c r="BG179" s="920"/>
      <c r="BH179" s="920"/>
      <c r="BI179" s="920"/>
      <c r="BJ179" s="920"/>
      <c r="BK179" s="920"/>
      <c r="BL179" s="920"/>
    </row>
    <row r="180">
      <c r="A180" s="901"/>
      <c r="B180" s="790" t="s">
        <v>69</v>
      </c>
      <c r="D180" s="791">
        <f t="shared" ref="D180:O180" si="43">COUNTIF(D152:D178,"Voor")</f>
        <v>8</v>
      </c>
      <c r="E180" s="902">
        <f t="shared" si="43"/>
        <v>16</v>
      </c>
      <c r="F180" s="902">
        <f t="shared" si="43"/>
        <v>5</v>
      </c>
      <c r="G180" s="902">
        <f t="shared" si="43"/>
        <v>12</v>
      </c>
      <c r="H180" s="902">
        <f t="shared" si="43"/>
        <v>4</v>
      </c>
      <c r="I180" s="902">
        <f t="shared" si="43"/>
        <v>16</v>
      </c>
      <c r="J180" s="902">
        <f t="shared" si="43"/>
        <v>18</v>
      </c>
      <c r="K180" s="902">
        <f t="shared" si="43"/>
        <v>6</v>
      </c>
      <c r="L180" s="902">
        <f t="shared" si="43"/>
        <v>19</v>
      </c>
      <c r="M180" s="902">
        <f t="shared" si="43"/>
        <v>15</v>
      </c>
      <c r="N180" s="902">
        <f t="shared" si="43"/>
        <v>11</v>
      </c>
      <c r="O180" s="902">
        <f t="shared" si="43"/>
        <v>6</v>
      </c>
      <c r="P180" s="902"/>
      <c r="Q180" s="902">
        <f t="shared" ref="Q180:AF180" si="44">COUNTIF(Q152:Q178,"Voor")</f>
        <v>9</v>
      </c>
      <c r="R180" s="902">
        <f t="shared" si="44"/>
        <v>23</v>
      </c>
      <c r="S180" s="902">
        <f t="shared" si="44"/>
        <v>12</v>
      </c>
      <c r="T180" s="902">
        <f t="shared" si="44"/>
        <v>14</v>
      </c>
      <c r="U180" s="902">
        <f t="shared" si="44"/>
        <v>7</v>
      </c>
      <c r="V180" s="902">
        <f t="shared" si="44"/>
        <v>17</v>
      </c>
      <c r="W180" s="902">
        <f t="shared" si="44"/>
        <v>8</v>
      </c>
      <c r="X180" s="902">
        <f t="shared" si="44"/>
        <v>7</v>
      </c>
      <c r="Y180" s="902">
        <f t="shared" si="44"/>
        <v>15</v>
      </c>
      <c r="Z180" s="902">
        <f t="shared" si="44"/>
        <v>16</v>
      </c>
      <c r="AA180" s="902">
        <f t="shared" si="44"/>
        <v>10</v>
      </c>
      <c r="AB180" s="902">
        <f t="shared" si="44"/>
        <v>20</v>
      </c>
      <c r="AC180" s="902">
        <f t="shared" si="44"/>
        <v>5</v>
      </c>
      <c r="AD180" s="902">
        <f t="shared" si="44"/>
        <v>14</v>
      </c>
      <c r="AE180" s="902">
        <f t="shared" si="44"/>
        <v>10</v>
      </c>
      <c r="AF180" s="902">
        <f t="shared" si="44"/>
        <v>12</v>
      </c>
      <c r="AG180" s="919"/>
      <c r="AH180" s="919"/>
      <c r="AI180" s="919"/>
      <c r="AJ180" s="919"/>
      <c r="AK180" s="919"/>
      <c r="AL180" s="919"/>
      <c r="AM180" s="919"/>
      <c r="AN180" s="919"/>
      <c r="AO180" s="919"/>
      <c r="AP180" s="919"/>
      <c r="AQ180" s="919"/>
      <c r="AR180" s="919"/>
      <c r="AS180" s="919"/>
      <c r="AT180" s="919"/>
      <c r="AU180" s="919"/>
      <c r="AV180" s="919"/>
      <c r="AW180" s="919"/>
      <c r="AX180" s="919"/>
      <c r="AY180" s="919"/>
      <c r="AZ180" s="919"/>
      <c r="BA180" s="919"/>
      <c r="BB180" s="920"/>
      <c r="BC180" s="920"/>
      <c r="BD180" s="920"/>
      <c r="BE180" s="920"/>
      <c r="BF180" s="920"/>
      <c r="BG180" s="920"/>
      <c r="BH180" s="920"/>
      <c r="BI180" s="920"/>
      <c r="BJ180" s="920"/>
      <c r="BK180" s="920"/>
      <c r="BL180" s="920"/>
    </row>
    <row r="181">
      <c r="A181" s="901"/>
      <c r="B181" s="792" t="s">
        <v>70</v>
      </c>
      <c r="D181" s="793">
        <f t="shared" ref="D181:O181" si="45">COUNTIF(D152:D178,"Tegen")</f>
        <v>16</v>
      </c>
      <c r="E181" s="903">
        <f t="shared" si="45"/>
        <v>7</v>
      </c>
      <c r="F181" s="903">
        <f t="shared" si="45"/>
        <v>19</v>
      </c>
      <c r="G181" s="903">
        <f t="shared" si="45"/>
        <v>12</v>
      </c>
      <c r="H181" s="903">
        <f t="shared" si="45"/>
        <v>20</v>
      </c>
      <c r="I181" s="903">
        <f t="shared" si="45"/>
        <v>8</v>
      </c>
      <c r="J181" s="903">
        <f t="shared" si="45"/>
        <v>7</v>
      </c>
      <c r="K181" s="903">
        <f t="shared" si="45"/>
        <v>18</v>
      </c>
      <c r="L181" s="903">
        <f t="shared" si="45"/>
        <v>4</v>
      </c>
      <c r="M181" s="903">
        <f t="shared" si="45"/>
        <v>8</v>
      </c>
      <c r="N181" s="903">
        <f t="shared" si="45"/>
        <v>12</v>
      </c>
      <c r="O181" s="903">
        <f t="shared" si="45"/>
        <v>17</v>
      </c>
      <c r="P181" s="903"/>
      <c r="Q181" s="903">
        <f t="shared" ref="Q181:AF181" si="46">COUNTIF(Q152:Q178,"Tegen")</f>
        <v>14</v>
      </c>
      <c r="R181" s="903">
        <f t="shared" si="46"/>
        <v>0</v>
      </c>
      <c r="S181" s="903">
        <f t="shared" si="46"/>
        <v>13</v>
      </c>
      <c r="T181" s="903">
        <f t="shared" si="46"/>
        <v>10</v>
      </c>
      <c r="U181" s="903">
        <f t="shared" si="46"/>
        <v>17</v>
      </c>
      <c r="V181" s="903">
        <f t="shared" si="46"/>
        <v>7</v>
      </c>
      <c r="W181" s="903">
        <f t="shared" si="46"/>
        <v>15</v>
      </c>
      <c r="X181" s="903">
        <f t="shared" si="46"/>
        <v>16</v>
      </c>
      <c r="Y181" s="903">
        <f t="shared" si="46"/>
        <v>8</v>
      </c>
      <c r="Z181" s="903">
        <f t="shared" si="46"/>
        <v>7</v>
      </c>
      <c r="AA181" s="903">
        <f t="shared" si="46"/>
        <v>13</v>
      </c>
      <c r="AB181" s="903">
        <f t="shared" si="46"/>
        <v>3</v>
      </c>
      <c r="AC181" s="903">
        <f t="shared" si="46"/>
        <v>18</v>
      </c>
      <c r="AD181" s="903">
        <f t="shared" si="46"/>
        <v>5</v>
      </c>
      <c r="AE181" s="903">
        <f t="shared" si="46"/>
        <v>9</v>
      </c>
      <c r="AF181" s="903">
        <f t="shared" si="46"/>
        <v>7</v>
      </c>
      <c r="AG181" s="919"/>
      <c r="AH181" s="919"/>
      <c r="AI181" s="919"/>
      <c r="AJ181" s="919"/>
      <c r="AK181" s="919"/>
      <c r="AL181" s="919"/>
      <c r="AM181" s="919"/>
      <c r="AN181" s="919"/>
      <c r="AO181" s="919"/>
      <c r="AP181" s="919"/>
      <c r="AQ181" s="919"/>
      <c r="AR181" s="919"/>
      <c r="AS181" s="919"/>
      <c r="AT181" s="919"/>
      <c r="AU181" s="919"/>
      <c r="AV181" s="919"/>
      <c r="AW181" s="919"/>
      <c r="AX181" s="919"/>
      <c r="AY181" s="919"/>
      <c r="AZ181" s="919"/>
      <c r="BA181" s="919"/>
      <c r="BB181" s="920"/>
      <c r="BC181" s="920"/>
      <c r="BD181" s="920"/>
      <c r="BE181" s="920"/>
      <c r="BF181" s="920"/>
      <c r="BG181" s="920"/>
      <c r="BH181" s="920"/>
      <c r="BI181" s="920"/>
      <c r="BJ181" s="920"/>
      <c r="BK181" s="920"/>
      <c r="BL181" s="920"/>
    </row>
    <row r="182">
      <c r="A182" s="901"/>
      <c r="B182" s="794" t="s">
        <v>71</v>
      </c>
      <c r="D182" s="795">
        <f t="shared" ref="D182:O182" si="47">COUNTIF(D152:D178,"SO")</f>
        <v>0</v>
      </c>
      <c r="E182" s="904">
        <f t="shared" si="47"/>
        <v>1</v>
      </c>
      <c r="F182" s="904">
        <f t="shared" si="47"/>
        <v>0</v>
      </c>
      <c r="G182" s="904">
        <f t="shared" si="47"/>
        <v>0</v>
      </c>
      <c r="H182" s="904">
        <f t="shared" si="47"/>
        <v>1</v>
      </c>
      <c r="I182" s="904">
        <f t="shared" si="47"/>
        <v>1</v>
      </c>
      <c r="J182" s="904">
        <f t="shared" si="47"/>
        <v>0</v>
      </c>
      <c r="K182" s="904">
        <f t="shared" si="47"/>
        <v>1</v>
      </c>
      <c r="L182" s="904">
        <f t="shared" si="47"/>
        <v>0</v>
      </c>
      <c r="M182" s="904">
        <f t="shared" si="47"/>
        <v>0</v>
      </c>
      <c r="N182" s="904">
        <f t="shared" si="47"/>
        <v>0</v>
      </c>
      <c r="O182" s="904">
        <f t="shared" si="47"/>
        <v>0</v>
      </c>
      <c r="P182" s="904"/>
      <c r="Q182" s="904">
        <f t="shared" ref="Q182:AF182" si="48">COUNTIF(Q152:Q178,"SO")</f>
        <v>0</v>
      </c>
      <c r="R182" s="904">
        <f t="shared" si="48"/>
        <v>0</v>
      </c>
      <c r="S182" s="904">
        <f t="shared" si="48"/>
        <v>0</v>
      </c>
      <c r="T182" s="904">
        <f t="shared" si="48"/>
        <v>0</v>
      </c>
      <c r="U182" s="904">
        <f t="shared" si="48"/>
        <v>0</v>
      </c>
      <c r="V182" s="904">
        <f t="shared" si="48"/>
        <v>1</v>
      </c>
      <c r="W182" s="904">
        <f t="shared" si="48"/>
        <v>0</v>
      </c>
      <c r="X182" s="904">
        <f t="shared" si="48"/>
        <v>0</v>
      </c>
      <c r="Y182" s="904">
        <f t="shared" si="48"/>
        <v>0</v>
      </c>
      <c r="Z182" s="904">
        <f t="shared" si="48"/>
        <v>0</v>
      </c>
      <c r="AA182" s="904">
        <f t="shared" si="48"/>
        <v>0</v>
      </c>
      <c r="AB182" s="904">
        <f t="shared" si="48"/>
        <v>0</v>
      </c>
      <c r="AC182" s="904">
        <f t="shared" si="48"/>
        <v>0</v>
      </c>
      <c r="AD182" s="904">
        <f t="shared" si="48"/>
        <v>0</v>
      </c>
      <c r="AE182" s="904">
        <f t="shared" si="48"/>
        <v>0</v>
      </c>
      <c r="AF182" s="904">
        <f t="shared" si="48"/>
        <v>0</v>
      </c>
      <c r="AG182" s="919"/>
      <c r="AH182" s="919"/>
      <c r="AI182" s="919"/>
      <c r="AJ182" s="919"/>
      <c r="AK182" s="919"/>
      <c r="AL182" s="919"/>
      <c r="AM182" s="919"/>
      <c r="AN182" s="919"/>
      <c r="AO182" s="919"/>
      <c r="AP182" s="919"/>
      <c r="AQ182" s="919"/>
      <c r="AR182" s="919"/>
      <c r="AS182" s="919"/>
      <c r="AT182" s="919"/>
      <c r="AU182" s="919"/>
      <c r="AV182" s="919"/>
      <c r="AW182" s="919"/>
      <c r="AX182" s="919"/>
      <c r="AY182" s="919"/>
      <c r="AZ182" s="919"/>
      <c r="BA182" s="919"/>
      <c r="BB182" s="920"/>
      <c r="BC182" s="920"/>
      <c r="BD182" s="920"/>
      <c r="BE182" s="920"/>
      <c r="BF182" s="920"/>
      <c r="BG182" s="920"/>
      <c r="BH182" s="920"/>
      <c r="BI182" s="920"/>
      <c r="BJ182" s="920"/>
      <c r="BK182" s="920"/>
      <c r="BL182" s="920"/>
    </row>
    <row r="183">
      <c r="A183" s="901"/>
      <c r="B183" s="796" t="s">
        <v>72</v>
      </c>
      <c r="D183" s="797">
        <f t="shared" ref="D183:O183" si="49">COUNTIF(D152:D178,"NG")</f>
        <v>1</v>
      </c>
      <c r="E183" s="905">
        <f t="shared" si="49"/>
        <v>1</v>
      </c>
      <c r="F183" s="905">
        <f t="shared" si="49"/>
        <v>1</v>
      </c>
      <c r="G183" s="905">
        <f t="shared" si="49"/>
        <v>1</v>
      </c>
      <c r="H183" s="905">
        <f t="shared" si="49"/>
        <v>0</v>
      </c>
      <c r="I183" s="905">
        <f t="shared" si="49"/>
        <v>0</v>
      </c>
      <c r="J183" s="905">
        <f t="shared" si="49"/>
        <v>0</v>
      </c>
      <c r="K183" s="905">
        <f t="shared" si="49"/>
        <v>0</v>
      </c>
      <c r="L183" s="905">
        <f t="shared" si="49"/>
        <v>2</v>
      </c>
      <c r="M183" s="905">
        <f t="shared" si="49"/>
        <v>2</v>
      </c>
      <c r="N183" s="905">
        <f t="shared" si="49"/>
        <v>2</v>
      </c>
      <c r="O183" s="905">
        <f t="shared" si="49"/>
        <v>2</v>
      </c>
      <c r="P183" s="905"/>
      <c r="Q183" s="905">
        <f t="shared" ref="Q183:AF183" si="50">COUNTIF(Q152:Q178,"NG")</f>
        <v>2</v>
      </c>
      <c r="R183" s="905">
        <f t="shared" si="50"/>
        <v>2</v>
      </c>
      <c r="S183" s="905">
        <f t="shared" si="50"/>
        <v>0</v>
      </c>
      <c r="T183" s="905">
        <f t="shared" si="50"/>
        <v>0</v>
      </c>
      <c r="U183" s="905">
        <f t="shared" si="50"/>
        <v>0</v>
      </c>
      <c r="V183" s="905">
        <f t="shared" si="50"/>
        <v>0</v>
      </c>
      <c r="W183" s="905">
        <f t="shared" si="50"/>
        <v>2</v>
      </c>
      <c r="X183" s="905">
        <f t="shared" si="50"/>
        <v>2</v>
      </c>
      <c r="Y183" s="905">
        <f t="shared" si="50"/>
        <v>2</v>
      </c>
      <c r="Z183" s="905">
        <f t="shared" si="50"/>
        <v>2</v>
      </c>
      <c r="AA183" s="905">
        <f t="shared" si="50"/>
        <v>2</v>
      </c>
      <c r="AB183" s="905">
        <f t="shared" si="50"/>
        <v>2</v>
      </c>
      <c r="AC183" s="905">
        <f t="shared" si="50"/>
        <v>2</v>
      </c>
      <c r="AD183" s="905">
        <f t="shared" si="50"/>
        <v>6</v>
      </c>
      <c r="AE183" s="905">
        <f t="shared" si="50"/>
        <v>6</v>
      </c>
      <c r="AF183" s="905">
        <f t="shared" si="50"/>
        <v>6</v>
      </c>
      <c r="AG183" s="919"/>
      <c r="AH183" s="919"/>
      <c r="AI183" s="919"/>
      <c r="AJ183" s="919"/>
      <c r="AK183" s="919"/>
      <c r="AL183" s="919"/>
      <c r="AM183" s="919"/>
      <c r="AN183" s="919"/>
      <c r="AO183" s="919"/>
      <c r="AP183" s="919"/>
      <c r="AQ183" s="919"/>
      <c r="AR183" s="919"/>
      <c r="AS183" s="919"/>
      <c r="AT183" s="919"/>
      <c r="AU183" s="919"/>
      <c r="AV183" s="919"/>
      <c r="AW183" s="919"/>
      <c r="AX183" s="919"/>
      <c r="AY183" s="919"/>
      <c r="AZ183" s="919"/>
      <c r="BA183" s="919"/>
      <c r="BB183" s="920"/>
      <c r="BC183" s="920"/>
      <c r="BD183" s="920"/>
      <c r="BE183" s="920"/>
      <c r="BF183" s="920"/>
      <c r="BG183" s="920"/>
      <c r="BH183" s="920"/>
      <c r="BI183" s="920"/>
      <c r="BJ183" s="920"/>
      <c r="BK183" s="920"/>
      <c r="BL183" s="920"/>
    </row>
    <row r="184">
      <c r="A184" s="901"/>
      <c r="B184" s="798" t="s">
        <v>73</v>
      </c>
      <c r="D184" s="799">
        <f t="shared" ref="D184:O184" si="51">SUM(D180:D183)</f>
        <v>25</v>
      </c>
      <c r="E184" s="906">
        <f t="shared" si="51"/>
        <v>25</v>
      </c>
      <c r="F184" s="906">
        <f t="shared" si="51"/>
        <v>25</v>
      </c>
      <c r="G184" s="906">
        <f t="shared" si="51"/>
        <v>25</v>
      </c>
      <c r="H184" s="906">
        <f t="shared" si="51"/>
        <v>25</v>
      </c>
      <c r="I184" s="906">
        <f t="shared" si="51"/>
        <v>25</v>
      </c>
      <c r="J184" s="906">
        <f t="shared" si="51"/>
        <v>25</v>
      </c>
      <c r="K184" s="906">
        <f t="shared" si="51"/>
        <v>25</v>
      </c>
      <c r="L184" s="906">
        <f t="shared" si="51"/>
        <v>25</v>
      </c>
      <c r="M184" s="906">
        <f t="shared" si="51"/>
        <v>25</v>
      </c>
      <c r="N184" s="906">
        <f t="shared" si="51"/>
        <v>25</v>
      </c>
      <c r="O184" s="906">
        <f t="shared" si="51"/>
        <v>25</v>
      </c>
      <c r="P184" s="906"/>
      <c r="Q184" s="906">
        <f t="shared" ref="Q184:AF184" si="52">SUM(Q180:Q183)</f>
        <v>25</v>
      </c>
      <c r="R184" s="906">
        <f t="shared" si="52"/>
        <v>25</v>
      </c>
      <c r="S184" s="906">
        <f t="shared" si="52"/>
        <v>25</v>
      </c>
      <c r="T184" s="906">
        <f t="shared" si="52"/>
        <v>24</v>
      </c>
      <c r="U184" s="906">
        <f t="shared" si="52"/>
        <v>24</v>
      </c>
      <c r="V184" s="906">
        <f t="shared" si="52"/>
        <v>25</v>
      </c>
      <c r="W184" s="906">
        <f t="shared" si="52"/>
        <v>25</v>
      </c>
      <c r="X184" s="906">
        <f t="shared" si="52"/>
        <v>25</v>
      </c>
      <c r="Y184" s="906">
        <f t="shared" si="52"/>
        <v>25</v>
      </c>
      <c r="Z184" s="906">
        <f t="shared" si="52"/>
        <v>25</v>
      </c>
      <c r="AA184" s="906">
        <f t="shared" si="52"/>
        <v>25</v>
      </c>
      <c r="AB184" s="906">
        <f t="shared" si="52"/>
        <v>25</v>
      </c>
      <c r="AC184" s="906">
        <f t="shared" si="52"/>
        <v>25</v>
      </c>
      <c r="AD184" s="906">
        <f t="shared" si="52"/>
        <v>25</v>
      </c>
      <c r="AE184" s="906">
        <f t="shared" si="52"/>
        <v>25</v>
      </c>
      <c r="AF184" s="906">
        <f t="shared" si="52"/>
        <v>25</v>
      </c>
      <c r="AG184" s="919"/>
      <c r="AH184" s="919"/>
      <c r="AI184" s="919"/>
      <c r="AJ184" s="919"/>
      <c r="AK184" s="919"/>
      <c r="AL184" s="919"/>
      <c r="AM184" s="919"/>
      <c r="AN184" s="919"/>
      <c r="AO184" s="919"/>
      <c r="AP184" s="919"/>
      <c r="AQ184" s="919"/>
      <c r="AR184" s="919"/>
      <c r="AS184" s="919"/>
      <c r="AT184" s="919"/>
      <c r="AU184" s="919"/>
      <c r="AV184" s="919"/>
      <c r="AW184" s="919"/>
      <c r="AX184" s="919"/>
      <c r="AY184" s="919"/>
      <c r="AZ184" s="919"/>
      <c r="BA184" s="919"/>
      <c r="BB184" s="920"/>
      <c r="BC184" s="920"/>
      <c r="BD184" s="920"/>
      <c r="BE184" s="920"/>
      <c r="BF184" s="920"/>
      <c r="BG184" s="920"/>
      <c r="BH184" s="920"/>
      <c r="BI184" s="920"/>
      <c r="BJ184" s="920"/>
      <c r="BK184" s="920"/>
      <c r="BL184" s="920"/>
    </row>
    <row r="185">
      <c r="A185" s="901"/>
      <c r="B185" s="800" t="s">
        <v>74</v>
      </c>
      <c r="D185" s="801">
        <f t="shared" ref="D185:O185" si="53">D180+D181+D182</f>
        <v>24</v>
      </c>
      <c r="E185" s="907">
        <f t="shared" si="53"/>
        <v>24</v>
      </c>
      <c r="F185" s="907">
        <f t="shared" si="53"/>
        <v>24</v>
      </c>
      <c r="G185" s="907">
        <f t="shared" si="53"/>
        <v>24</v>
      </c>
      <c r="H185" s="907">
        <f t="shared" si="53"/>
        <v>25</v>
      </c>
      <c r="I185" s="907">
        <f t="shared" si="53"/>
        <v>25</v>
      </c>
      <c r="J185" s="907">
        <f t="shared" si="53"/>
        <v>25</v>
      </c>
      <c r="K185" s="907">
        <f t="shared" si="53"/>
        <v>25</v>
      </c>
      <c r="L185" s="907">
        <f t="shared" si="53"/>
        <v>23</v>
      </c>
      <c r="M185" s="907">
        <f t="shared" si="53"/>
        <v>23</v>
      </c>
      <c r="N185" s="907">
        <f t="shared" si="53"/>
        <v>23</v>
      </c>
      <c r="O185" s="907">
        <f t="shared" si="53"/>
        <v>23</v>
      </c>
      <c r="P185" s="907"/>
      <c r="Q185" s="907">
        <f t="shared" ref="Q185:AF185" si="54">Q180+Q181+Q182</f>
        <v>23</v>
      </c>
      <c r="R185" s="907">
        <f t="shared" si="54"/>
        <v>23</v>
      </c>
      <c r="S185" s="907">
        <f t="shared" si="54"/>
        <v>25</v>
      </c>
      <c r="T185" s="907">
        <f t="shared" si="54"/>
        <v>24</v>
      </c>
      <c r="U185" s="907">
        <f t="shared" si="54"/>
        <v>24</v>
      </c>
      <c r="V185" s="907">
        <f t="shared" si="54"/>
        <v>25</v>
      </c>
      <c r="W185" s="907">
        <f t="shared" si="54"/>
        <v>23</v>
      </c>
      <c r="X185" s="907">
        <f t="shared" si="54"/>
        <v>23</v>
      </c>
      <c r="Y185" s="907">
        <f t="shared" si="54"/>
        <v>23</v>
      </c>
      <c r="Z185" s="907">
        <f t="shared" si="54"/>
        <v>23</v>
      </c>
      <c r="AA185" s="907">
        <f t="shared" si="54"/>
        <v>23</v>
      </c>
      <c r="AB185" s="907">
        <f t="shared" si="54"/>
        <v>23</v>
      </c>
      <c r="AC185" s="907">
        <f t="shared" si="54"/>
        <v>23</v>
      </c>
      <c r="AD185" s="907">
        <f t="shared" si="54"/>
        <v>19</v>
      </c>
      <c r="AE185" s="907">
        <f t="shared" si="54"/>
        <v>19</v>
      </c>
      <c r="AF185" s="907">
        <f t="shared" si="54"/>
        <v>19</v>
      </c>
      <c r="AG185" s="919"/>
      <c r="AH185" s="919"/>
      <c r="AI185" s="919"/>
      <c r="AJ185" s="919"/>
      <c r="AK185" s="919"/>
      <c r="AL185" s="919"/>
      <c r="AM185" s="919"/>
      <c r="AN185" s="919"/>
      <c r="AO185" s="919"/>
      <c r="AP185" s="919"/>
      <c r="AQ185" s="919"/>
      <c r="AR185" s="919"/>
      <c r="AS185" s="919"/>
      <c r="AT185" s="919"/>
      <c r="AU185" s="919"/>
      <c r="AV185" s="919"/>
      <c r="AW185" s="919"/>
      <c r="AX185" s="919"/>
      <c r="AY185" s="919"/>
      <c r="AZ185" s="919"/>
      <c r="BA185" s="919"/>
      <c r="BB185" s="920"/>
      <c r="BC185" s="920"/>
      <c r="BD185" s="920"/>
      <c r="BE185" s="920"/>
      <c r="BF185" s="920"/>
      <c r="BG185" s="920"/>
      <c r="BH185" s="920"/>
      <c r="BI185" s="920"/>
      <c r="BJ185" s="920"/>
      <c r="BK185" s="920"/>
      <c r="BL185" s="920"/>
    </row>
    <row r="186">
      <c r="A186" s="901"/>
      <c r="B186" s="854" t="s">
        <v>75</v>
      </c>
      <c r="D186" s="908">
        <f t="shared" ref="D186:O186" si="55">IFERROR(D185/D184,"")</f>
        <v>0.96</v>
      </c>
      <c r="E186" s="910">
        <f t="shared" si="55"/>
        <v>0.96</v>
      </c>
      <c r="F186" s="910">
        <f t="shared" si="55"/>
        <v>0.96</v>
      </c>
      <c r="G186" s="910">
        <f t="shared" si="55"/>
        <v>0.96</v>
      </c>
      <c r="H186" s="910">
        <f t="shared" si="55"/>
        <v>1</v>
      </c>
      <c r="I186" s="910">
        <f t="shared" si="55"/>
        <v>1</v>
      </c>
      <c r="J186" s="910">
        <f t="shared" si="55"/>
        <v>1</v>
      </c>
      <c r="K186" s="910">
        <f t="shared" si="55"/>
        <v>1</v>
      </c>
      <c r="L186" s="910">
        <f t="shared" si="55"/>
        <v>0.92</v>
      </c>
      <c r="M186" s="910">
        <f t="shared" si="55"/>
        <v>0.92</v>
      </c>
      <c r="N186" s="910">
        <f t="shared" si="55"/>
        <v>0.92</v>
      </c>
      <c r="O186" s="910">
        <f t="shared" si="55"/>
        <v>0.92</v>
      </c>
      <c r="P186" s="910"/>
      <c r="Q186" s="910">
        <f t="shared" ref="Q186:AF186" si="56">IFERROR(Q185/Q184,"")</f>
        <v>0.92</v>
      </c>
      <c r="R186" s="910">
        <f t="shared" si="56"/>
        <v>0.92</v>
      </c>
      <c r="S186" s="910">
        <f t="shared" si="56"/>
        <v>1</v>
      </c>
      <c r="T186" s="910">
        <f t="shared" si="56"/>
        <v>1</v>
      </c>
      <c r="U186" s="910">
        <f t="shared" si="56"/>
        <v>1</v>
      </c>
      <c r="V186" s="910">
        <f t="shared" si="56"/>
        <v>1</v>
      </c>
      <c r="W186" s="910">
        <f t="shared" si="56"/>
        <v>0.92</v>
      </c>
      <c r="X186" s="910">
        <f t="shared" si="56"/>
        <v>0.92</v>
      </c>
      <c r="Y186" s="910">
        <f t="shared" si="56"/>
        <v>0.92</v>
      </c>
      <c r="Z186" s="910">
        <f t="shared" si="56"/>
        <v>0.92</v>
      </c>
      <c r="AA186" s="910">
        <f t="shared" si="56"/>
        <v>0.92</v>
      </c>
      <c r="AB186" s="910">
        <f t="shared" si="56"/>
        <v>0.92</v>
      </c>
      <c r="AC186" s="910">
        <f t="shared" si="56"/>
        <v>0.92</v>
      </c>
      <c r="AD186" s="910">
        <f t="shared" si="56"/>
        <v>0.76</v>
      </c>
      <c r="AE186" s="910">
        <f t="shared" si="56"/>
        <v>0.76</v>
      </c>
      <c r="AF186" s="910">
        <f t="shared" si="56"/>
        <v>0.76</v>
      </c>
      <c r="AG186" s="919"/>
      <c r="AH186" s="919"/>
      <c r="AI186" s="919"/>
      <c r="AJ186" s="919"/>
      <c r="AK186" s="919"/>
      <c r="AL186" s="919"/>
      <c r="AM186" s="919"/>
      <c r="AN186" s="919"/>
      <c r="AO186" s="919"/>
      <c r="AP186" s="919"/>
      <c r="AQ186" s="919"/>
      <c r="AR186" s="919"/>
      <c r="AS186" s="919"/>
      <c r="AT186" s="919"/>
      <c r="AU186" s="919"/>
      <c r="AV186" s="919"/>
      <c r="AW186" s="919"/>
      <c r="AX186" s="919"/>
      <c r="AY186" s="919"/>
      <c r="AZ186" s="919"/>
      <c r="BA186" s="919"/>
      <c r="BB186" s="920"/>
      <c r="BC186" s="920"/>
      <c r="BD186" s="920"/>
      <c r="BE186" s="920"/>
      <c r="BF186" s="920"/>
      <c r="BG186" s="920"/>
      <c r="BH186" s="920"/>
      <c r="BI186" s="920"/>
      <c r="BJ186" s="920"/>
      <c r="BK186" s="920"/>
      <c r="BL186" s="920"/>
    </row>
    <row r="187">
      <c r="A187" s="912"/>
      <c r="D187" s="913"/>
      <c r="E187" s="914"/>
      <c r="F187" s="914"/>
      <c r="G187" s="914"/>
      <c r="H187" s="914"/>
      <c r="I187" s="914"/>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6"/>
      <c r="BF187" s="916"/>
      <c r="BG187" s="917"/>
      <c r="BH187" s="920"/>
      <c r="BI187" s="920"/>
      <c r="BJ187" s="920"/>
      <c r="BK187" s="920"/>
      <c r="BL187" s="920"/>
    </row>
    <row r="188">
      <c r="A188" s="731"/>
      <c r="B188" s="732" t="s">
        <v>1170</v>
      </c>
      <c r="C188" s="732" t="s">
        <v>7</v>
      </c>
      <c r="D188" s="918"/>
      <c r="U188" s="671"/>
      <c r="V188" s="671"/>
      <c r="W188" s="671"/>
      <c r="X188" s="919"/>
      <c r="Y188" s="919"/>
      <c r="Z188" s="919"/>
      <c r="AA188" s="919"/>
      <c r="AB188" s="919"/>
      <c r="AC188" s="919"/>
      <c r="AD188" s="919"/>
      <c r="AE188" s="919"/>
      <c r="AF188" s="919"/>
      <c r="AG188" s="919"/>
      <c r="AH188" s="919"/>
      <c r="AI188" s="919"/>
      <c r="AJ188" s="919"/>
      <c r="AK188" s="919"/>
      <c r="AL188" s="919"/>
      <c r="AM188" s="919"/>
      <c r="AN188" s="919"/>
      <c r="AO188" s="919"/>
      <c r="AP188" s="919"/>
      <c r="AQ188" s="919"/>
      <c r="AR188" s="919"/>
      <c r="AS188" s="919"/>
      <c r="AT188" s="919"/>
      <c r="AU188" s="919"/>
      <c r="AV188" s="919"/>
      <c r="AW188" s="919"/>
      <c r="AX188" s="919"/>
      <c r="AY188" s="919"/>
      <c r="AZ188" s="919"/>
      <c r="BA188" s="919"/>
      <c r="BB188" s="919"/>
      <c r="BC188" s="919"/>
      <c r="BD188" s="919"/>
      <c r="BE188" s="920"/>
      <c r="BF188" s="920"/>
      <c r="BG188" s="920"/>
      <c r="BH188" s="920"/>
      <c r="BI188" s="920"/>
      <c r="BJ188" s="920"/>
      <c r="BK188" s="920"/>
      <c r="BL188" s="920"/>
    </row>
    <row r="189">
      <c r="A189" s="735" t="s">
        <v>481</v>
      </c>
      <c r="D189" s="992" t="s">
        <v>749</v>
      </c>
      <c r="E189" s="993" t="s">
        <v>751</v>
      </c>
      <c r="F189" s="993" t="s">
        <v>753</v>
      </c>
      <c r="G189" s="993" t="s">
        <v>755</v>
      </c>
      <c r="H189" s="993" t="s">
        <v>473</v>
      </c>
      <c r="I189" s="993" t="s">
        <v>475</v>
      </c>
      <c r="J189" s="993" t="s">
        <v>477</v>
      </c>
      <c r="K189" s="993" t="s">
        <v>479</v>
      </c>
      <c r="L189" s="993" t="s">
        <v>482</v>
      </c>
      <c r="M189" s="993" t="s">
        <v>484</v>
      </c>
      <c r="N189" s="406" t="s">
        <v>486</v>
      </c>
      <c r="O189" s="993" t="s">
        <v>488</v>
      </c>
      <c r="P189" s="993"/>
      <c r="Q189" s="993" t="s">
        <v>490</v>
      </c>
      <c r="R189" s="993" t="s">
        <v>492</v>
      </c>
      <c r="S189" s="993" t="s">
        <v>757</v>
      </c>
      <c r="T189" s="993" t="s">
        <v>759</v>
      </c>
      <c r="U189" s="993" t="s">
        <v>494</v>
      </c>
      <c r="V189" s="993" t="s">
        <v>496</v>
      </c>
      <c r="W189" s="993" t="s">
        <v>499</v>
      </c>
      <c r="X189" s="919"/>
      <c r="Y189" s="919"/>
      <c r="Z189" s="919"/>
      <c r="AA189" s="919"/>
      <c r="AB189" s="919"/>
      <c r="AC189" s="919"/>
      <c r="AD189" s="919"/>
      <c r="AE189" s="919"/>
      <c r="AF189" s="919"/>
      <c r="AG189" s="919"/>
      <c r="AH189" s="919"/>
      <c r="AI189" s="919"/>
      <c r="AJ189" s="919"/>
      <c r="AK189" s="919"/>
      <c r="AL189" s="919"/>
      <c r="AM189" s="919"/>
      <c r="AN189" s="919"/>
      <c r="AO189" s="919"/>
      <c r="AP189" s="919"/>
      <c r="AQ189" s="919"/>
      <c r="AR189" s="919"/>
      <c r="AS189" s="919"/>
      <c r="AT189" s="919"/>
      <c r="AU189" s="919"/>
      <c r="AV189" s="919"/>
      <c r="AW189" s="919"/>
      <c r="AX189" s="919"/>
      <c r="AY189" s="919"/>
      <c r="AZ189" s="919"/>
      <c r="BA189" s="919"/>
      <c r="BB189" s="919"/>
      <c r="BC189" s="919"/>
      <c r="BD189" s="919"/>
      <c r="BE189" s="920"/>
      <c r="BF189" s="920"/>
      <c r="BG189" s="920"/>
      <c r="BH189" s="920"/>
      <c r="BI189" s="920"/>
      <c r="BJ189" s="920"/>
      <c r="BK189" s="920"/>
      <c r="BL189" s="920"/>
    </row>
    <row r="190">
      <c r="A190" s="994" t="s">
        <v>1205</v>
      </c>
      <c r="B190" s="926" t="s">
        <v>132</v>
      </c>
      <c r="C190" s="927" t="s">
        <v>21</v>
      </c>
      <c r="D190" s="957" t="s">
        <v>70</v>
      </c>
      <c r="E190" s="995" t="s">
        <v>69</v>
      </c>
      <c r="F190" s="995" t="s">
        <v>69</v>
      </c>
      <c r="G190" s="995" t="s">
        <v>69</v>
      </c>
      <c r="H190" s="995" t="s">
        <v>69</v>
      </c>
      <c r="I190" s="957" t="s">
        <v>70</v>
      </c>
      <c r="J190" s="995" t="s">
        <v>69</v>
      </c>
      <c r="K190" s="957" t="s">
        <v>70</v>
      </c>
      <c r="L190" s="995" t="s">
        <v>70</v>
      </c>
      <c r="M190" s="995" t="s">
        <v>70</v>
      </c>
      <c r="N190" s="995" t="s">
        <v>70</v>
      </c>
      <c r="O190" s="995" t="s">
        <v>70</v>
      </c>
      <c r="P190" s="995"/>
      <c r="Q190" s="995" t="s">
        <v>70</v>
      </c>
      <c r="R190" s="995" t="s">
        <v>70</v>
      </c>
      <c r="S190" s="995" t="s">
        <v>69</v>
      </c>
      <c r="T190" s="995" t="s">
        <v>69</v>
      </c>
      <c r="U190" s="995" t="s">
        <v>70</v>
      </c>
      <c r="V190" s="995" t="s">
        <v>69</v>
      </c>
      <c r="W190" s="995" t="s">
        <v>70</v>
      </c>
      <c r="X190" s="919"/>
      <c r="Y190" s="919"/>
      <c r="Z190" s="919"/>
      <c r="AA190" s="919"/>
      <c r="AB190" s="919"/>
      <c r="AC190" s="919"/>
      <c r="AD190" s="919"/>
      <c r="AE190" s="919"/>
      <c r="AF190" s="919"/>
      <c r="AG190" s="919"/>
      <c r="AH190" s="919"/>
      <c r="AI190" s="919"/>
      <c r="AJ190" s="919"/>
      <c r="AK190" s="919"/>
      <c r="AL190" s="919"/>
      <c r="AM190" s="919"/>
      <c r="AN190" s="919"/>
      <c r="AO190" s="919"/>
      <c r="AP190" s="919"/>
      <c r="AQ190" s="919"/>
      <c r="AR190" s="919"/>
      <c r="AS190" s="919"/>
      <c r="AT190" s="919"/>
      <c r="AU190" s="919"/>
      <c r="AV190" s="919"/>
      <c r="AW190" s="919"/>
      <c r="AX190" s="919"/>
      <c r="AY190" s="919"/>
      <c r="AZ190" s="919"/>
      <c r="BA190" s="919"/>
      <c r="BB190" s="919"/>
      <c r="BC190" s="919"/>
      <c r="BD190" s="919"/>
      <c r="BE190" s="920"/>
      <c r="BF190" s="920"/>
      <c r="BG190" s="920"/>
      <c r="BH190" s="920"/>
      <c r="BI190" s="920"/>
      <c r="BJ190" s="920"/>
      <c r="BK190" s="920"/>
      <c r="BL190" s="920"/>
    </row>
    <row r="191">
      <c r="A191" s="901"/>
      <c r="B191" s="928" t="s">
        <v>1216</v>
      </c>
      <c r="C191" s="929" t="s">
        <v>21</v>
      </c>
      <c r="D191" s="957" t="s">
        <v>100</v>
      </c>
      <c r="E191" s="957" t="s">
        <v>100</v>
      </c>
      <c r="F191" s="957" t="s">
        <v>100</v>
      </c>
      <c r="G191" s="957" t="s">
        <v>100</v>
      </c>
      <c r="H191" s="957" t="s">
        <v>100</v>
      </c>
      <c r="I191" s="957" t="s">
        <v>100</v>
      </c>
      <c r="J191" s="957" t="s">
        <v>100</v>
      </c>
      <c r="K191" s="957" t="s">
        <v>100</v>
      </c>
      <c r="L191" s="957" t="s">
        <v>100</v>
      </c>
      <c r="M191" s="957" t="s">
        <v>100</v>
      </c>
      <c r="N191" s="995" t="s">
        <v>100</v>
      </c>
      <c r="O191" s="995" t="s">
        <v>100</v>
      </c>
      <c r="P191" s="995"/>
      <c r="Q191" s="995" t="s">
        <v>100</v>
      </c>
      <c r="R191" s="995" t="s">
        <v>100</v>
      </c>
      <c r="S191" s="995" t="s">
        <v>100</v>
      </c>
      <c r="T191" s="995" t="s">
        <v>100</v>
      </c>
      <c r="U191" s="957" t="s">
        <v>100</v>
      </c>
      <c r="V191" s="957" t="s">
        <v>100</v>
      </c>
      <c r="W191" s="957" t="s">
        <v>100</v>
      </c>
      <c r="X191" s="919"/>
      <c r="Y191" s="919"/>
      <c r="Z191" s="919"/>
      <c r="AA191" s="919"/>
      <c r="AB191" s="919"/>
      <c r="AC191" s="919"/>
      <c r="AD191" s="919"/>
      <c r="AE191" s="919"/>
      <c r="AF191" s="919"/>
      <c r="AG191" s="919"/>
      <c r="AH191" s="919"/>
      <c r="AI191" s="919"/>
      <c r="AJ191" s="919"/>
      <c r="AK191" s="919"/>
      <c r="AL191" s="919"/>
      <c r="AM191" s="919"/>
      <c r="AN191" s="919"/>
      <c r="AO191" s="919"/>
      <c r="AP191" s="919"/>
      <c r="AQ191" s="919"/>
      <c r="AR191" s="919"/>
      <c r="AS191" s="919"/>
      <c r="AT191" s="919"/>
      <c r="AU191" s="919"/>
      <c r="AV191" s="919"/>
      <c r="AW191" s="919"/>
      <c r="AX191" s="919"/>
      <c r="AY191" s="919"/>
      <c r="AZ191" s="919"/>
      <c r="BA191" s="919"/>
      <c r="BB191" s="919"/>
      <c r="BC191" s="919"/>
      <c r="BD191" s="919"/>
      <c r="BE191" s="920"/>
      <c r="BF191" s="920"/>
      <c r="BG191" s="920"/>
      <c r="BH191" s="920"/>
      <c r="BI191" s="920"/>
      <c r="BJ191" s="920"/>
      <c r="BK191" s="920"/>
      <c r="BL191" s="920"/>
    </row>
    <row r="192">
      <c r="A192" s="901"/>
      <c r="B192" s="928" t="s">
        <v>1217</v>
      </c>
      <c r="C192" s="929" t="s">
        <v>21</v>
      </c>
      <c r="D192" s="957" t="s">
        <v>100</v>
      </c>
      <c r="E192" s="957" t="s">
        <v>100</v>
      </c>
      <c r="F192" s="957" t="s">
        <v>100</v>
      </c>
      <c r="G192" s="957" t="s">
        <v>100</v>
      </c>
      <c r="H192" s="957" t="s">
        <v>100</v>
      </c>
      <c r="I192" s="957" t="s">
        <v>100</v>
      </c>
      <c r="J192" s="957" t="s">
        <v>100</v>
      </c>
      <c r="K192" s="957" t="s">
        <v>100</v>
      </c>
      <c r="L192" s="957" t="s">
        <v>100</v>
      </c>
      <c r="M192" s="957" t="s">
        <v>100</v>
      </c>
      <c r="N192" s="995" t="s">
        <v>100</v>
      </c>
      <c r="O192" s="995" t="s">
        <v>100</v>
      </c>
      <c r="P192" s="995"/>
      <c r="Q192" s="995" t="s">
        <v>100</v>
      </c>
      <c r="R192" s="995" t="s">
        <v>100</v>
      </c>
      <c r="S192" s="995" t="s">
        <v>100</v>
      </c>
      <c r="T192" s="995" t="s">
        <v>100</v>
      </c>
      <c r="U192" s="957" t="s">
        <v>100</v>
      </c>
      <c r="V192" s="957" t="s">
        <v>100</v>
      </c>
      <c r="W192" s="957" t="s">
        <v>100</v>
      </c>
      <c r="X192" s="919"/>
      <c r="Y192" s="919"/>
      <c r="Z192" s="919"/>
      <c r="AA192" s="919"/>
      <c r="AB192" s="919"/>
      <c r="AC192" s="919"/>
      <c r="AD192" s="919"/>
      <c r="AE192" s="919"/>
      <c r="AF192" s="919"/>
      <c r="AG192" s="919"/>
      <c r="AH192" s="919"/>
      <c r="AI192" s="919"/>
      <c r="AJ192" s="919"/>
      <c r="AK192" s="919"/>
      <c r="AL192" s="919"/>
      <c r="AM192" s="919"/>
      <c r="AN192" s="919"/>
      <c r="AO192" s="919"/>
      <c r="AP192" s="919"/>
      <c r="AQ192" s="919"/>
      <c r="AR192" s="919"/>
      <c r="AS192" s="919"/>
      <c r="AT192" s="919"/>
      <c r="AU192" s="919"/>
      <c r="AV192" s="919"/>
      <c r="AW192" s="919"/>
      <c r="AX192" s="919"/>
      <c r="AY192" s="919"/>
      <c r="AZ192" s="919"/>
      <c r="BA192" s="919"/>
      <c r="BB192" s="919"/>
      <c r="BC192" s="919"/>
      <c r="BD192" s="919"/>
      <c r="BE192" s="920"/>
      <c r="BF192" s="920"/>
      <c r="BG192" s="920"/>
      <c r="BH192" s="920"/>
      <c r="BI192" s="920"/>
      <c r="BJ192" s="920"/>
      <c r="BK192" s="920"/>
      <c r="BL192" s="920"/>
    </row>
    <row r="193">
      <c r="A193" s="901"/>
      <c r="B193" s="928" t="s">
        <v>1218</v>
      </c>
      <c r="C193" s="928" t="s">
        <v>21</v>
      </c>
      <c r="D193" s="957" t="s">
        <v>70</v>
      </c>
      <c r="E193" s="957" t="s">
        <v>69</v>
      </c>
      <c r="F193" s="957" t="s">
        <v>69</v>
      </c>
      <c r="G193" s="957" t="s">
        <v>69</v>
      </c>
      <c r="H193" s="957" t="s">
        <v>69</v>
      </c>
      <c r="I193" s="957" t="s">
        <v>70</v>
      </c>
      <c r="J193" s="957" t="s">
        <v>69</v>
      </c>
      <c r="K193" s="957" t="s">
        <v>70</v>
      </c>
      <c r="L193" s="957" t="s">
        <v>100</v>
      </c>
      <c r="M193" s="957" t="s">
        <v>100</v>
      </c>
      <c r="N193" s="995" t="s">
        <v>70</v>
      </c>
      <c r="O193" s="995" t="s">
        <v>70</v>
      </c>
      <c r="P193" s="995"/>
      <c r="Q193" s="995" t="s">
        <v>70</v>
      </c>
      <c r="R193" s="995" t="s">
        <v>70</v>
      </c>
      <c r="S193" s="995" t="s">
        <v>69</v>
      </c>
      <c r="T193" s="995" t="s">
        <v>69</v>
      </c>
      <c r="U193" s="995" t="s">
        <v>70</v>
      </c>
      <c r="V193" s="995" t="s">
        <v>69</v>
      </c>
      <c r="W193" s="995" t="s">
        <v>69</v>
      </c>
      <c r="X193" s="919"/>
      <c r="Y193" s="919"/>
      <c r="Z193" s="919"/>
      <c r="AA193" s="919"/>
      <c r="AB193" s="919"/>
      <c r="AC193" s="919"/>
      <c r="AD193" s="919"/>
      <c r="AE193" s="919"/>
      <c r="AF193" s="919"/>
      <c r="AG193" s="919"/>
      <c r="AH193" s="919"/>
      <c r="AI193" s="919"/>
      <c r="AJ193" s="919"/>
      <c r="AK193" s="919"/>
      <c r="AL193" s="919"/>
      <c r="AM193" s="919"/>
      <c r="AN193" s="919"/>
      <c r="AO193" s="919"/>
      <c r="AP193" s="919"/>
      <c r="AQ193" s="919"/>
      <c r="AR193" s="919"/>
      <c r="AS193" s="919"/>
      <c r="AT193" s="919"/>
      <c r="AU193" s="919"/>
      <c r="AV193" s="919"/>
      <c r="AW193" s="919"/>
      <c r="AX193" s="919"/>
      <c r="AY193" s="919"/>
      <c r="AZ193" s="919"/>
      <c r="BA193" s="919"/>
      <c r="BB193" s="919"/>
      <c r="BC193" s="919"/>
      <c r="BD193" s="919"/>
      <c r="BE193" s="920"/>
      <c r="BF193" s="920"/>
      <c r="BG193" s="920"/>
      <c r="BH193" s="920"/>
      <c r="BI193" s="920"/>
      <c r="BJ193" s="920"/>
      <c r="BK193" s="920"/>
      <c r="BL193" s="920"/>
    </row>
    <row r="194">
      <c r="A194" s="901"/>
      <c r="B194" s="928" t="s">
        <v>1175</v>
      </c>
      <c r="C194" s="928" t="s">
        <v>21</v>
      </c>
      <c r="D194" s="996"/>
      <c r="E194" s="997"/>
      <c r="F194" s="997"/>
      <c r="G194" s="997"/>
      <c r="H194" s="997"/>
      <c r="I194" s="997"/>
      <c r="J194" s="997"/>
      <c r="K194" s="998"/>
      <c r="L194" s="957" t="s">
        <v>70</v>
      </c>
      <c r="M194" s="995" t="s">
        <v>70</v>
      </c>
      <c r="N194" s="995" t="s">
        <v>70</v>
      </c>
      <c r="O194" s="995" t="s">
        <v>70</v>
      </c>
      <c r="P194" s="995"/>
      <c r="Q194" s="995" t="s">
        <v>70</v>
      </c>
      <c r="R194" s="995" t="s">
        <v>70</v>
      </c>
      <c r="S194" s="995" t="s">
        <v>69</v>
      </c>
      <c r="T194" s="995" t="s">
        <v>69</v>
      </c>
      <c r="U194" s="995" t="s">
        <v>70</v>
      </c>
      <c r="V194" s="995" t="s">
        <v>69</v>
      </c>
      <c r="W194" s="995" t="s">
        <v>70</v>
      </c>
      <c r="X194" s="919"/>
      <c r="Y194" s="919"/>
      <c r="Z194" s="919"/>
      <c r="AA194" s="919"/>
      <c r="AB194" s="919"/>
      <c r="AC194" s="919"/>
      <c r="AD194" s="919"/>
      <c r="AE194" s="919"/>
      <c r="AF194" s="919"/>
      <c r="AG194" s="919"/>
      <c r="AH194" s="919"/>
      <c r="AI194" s="919"/>
      <c r="AJ194" s="919"/>
      <c r="AK194" s="919"/>
      <c r="AL194" s="919"/>
      <c r="AM194" s="919"/>
      <c r="AN194" s="919"/>
      <c r="AO194" s="919"/>
      <c r="AP194" s="919"/>
      <c r="AQ194" s="919"/>
      <c r="AR194" s="919"/>
      <c r="AS194" s="919"/>
      <c r="AT194" s="919"/>
      <c r="AU194" s="919"/>
      <c r="AV194" s="919"/>
      <c r="AW194" s="919"/>
      <c r="AX194" s="919"/>
      <c r="AY194" s="919"/>
      <c r="AZ194" s="919"/>
      <c r="BA194" s="919"/>
      <c r="BB194" s="919"/>
      <c r="BC194" s="919"/>
      <c r="BD194" s="919"/>
      <c r="BE194" s="920"/>
      <c r="BF194" s="920"/>
      <c r="BG194" s="920"/>
      <c r="BH194" s="920"/>
      <c r="BI194" s="920"/>
      <c r="BJ194" s="920"/>
      <c r="BK194" s="920"/>
      <c r="BL194" s="920"/>
    </row>
    <row r="195">
      <c r="A195" s="901"/>
      <c r="B195" s="928" t="s">
        <v>42</v>
      </c>
      <c r="C195" s="928" t="s">
        <v>21</v>
      </c>
      <c r="D195" s="957" t="s">
        <v>70</v>
      </c>
      <c r="E195" s="957" t="s">
        <v>99</v>
      </c>
      <c r="F195" s="957" t="s">
        <v>99</v>
      </c>
      <c r="G195" s="957" t="s">
        <v>69</v>
      </c>
      <c r="H195" s="957" t="s">
        <v>99</v>
      </c>
      <c r="I195" s="957" t="s">
        <v>70</v>
      </c>
      <c r="J195" s="957" t="s">
        <v>69</v>
      </c>
      <c r="K195" s="957" t="s">
        <v>70</v>
      </c>
      <c r="L195" s="995" t="s">
        <v>70</v>
      </c>
      <c r="M195" s="995" t="s">
        <v>70</v>
      </c>
      <c r="N195" s="995" t="s">
        <v>100</v>
      </c>
      <c r="O195" s="995" t="s">
        <v>100</v>
      </c>
      <c r="P195" s="995"/>
      <c r="Q195" s="995" t="s">
        <v>100</v>
      </c>
      <c r="R195" s="995" t="s">
        <v>100</v>
      </c>
      <c r="S195" s="995" t="s">
        <v>100</v>
      </c>
      <c r="T195" s="995" t="s">
        <v>100</v>
      </c>
      <c r="U195" s="995" t="s">
        <v>100</v>
      </c>
      <c r="V195" s="995" t="s">
        <v>100</v>
      </c>
      <c r="W195" s="995" t="s">
        <v>100</v>
      </c>
      <c r="X195" s="919"/>
      <c r="Y195" s="919"/>
      <c r="Z195" s="919"/>
      <c r="AA195" s="919"/>
      <c r="AB195" s="919"/>
      <c r="AC195" s="919"/>
      <c r="AD195" s="919"/>
      <c r="AE195" s="919"/>
      <c r="AF195" s="919"/>
      <c r="AG195" s="919"/>
      <c r="AH195" s="919"/>
      <c r="AI195" s="919"/>
      <c r="AJ195" s="919"/>
      <c r="AK195" s="919"/>
      <c r="AL195" s="919"/>
      <c r="AM195" s="919"/>
      <c r="AN195" s="919"/>
      <c r="AO195" s="919"/>
      <c r="AP195" s="919"/>
      <c r="AQ195" s="919"/>
      <c r="AR195" s="919"/>
      <c r="AS195" s="919"/>
      <c r="AT195" s="919"/>
      <c r="AU195" s="919"/>
      <c r="AV195" s="919"/>
      <c r="AW195" s="919"/>
      <c r="AX195" s="919"/>
      <c r="AY195" s="919"/>
      <c r="AZ195" s="919"/>
      <c r="BA195" s="919"/>
      <c r="BB195" s="919"/>
      <c r="BC195" s="919"/>
      <c r="BD195" s="919"/>
      <c r="BE195" s="920"/>
      <c r="BF195" s="920"/>
      <c r="BG195" s="920"/>
      <c r="BH195" s="920"/>
      <c r="BI195" s="920"/>
      <c r="BJ195" s="920"/>
      <c r="BK195" s="920"/>
      <c r="BL195" s="920"/>
    </row>
    <row r="196">
      <c r="A196" s="901"/>
      <c r="B196" s="928" t="s">
        <v>1219</v>
      </c>
      <c r="C196" s="928" t="s">
        <v>21</v>
      </c>
      <c r="D196" s="957" t="s">
        <v>70</v>
      </c>
      <c r="E196" s="957" t="s">
        <v>69</v>
      </c>
      <c r="F196" s="957" t="s">
        <v>69</v>
      </c>
      <c r="G196" s="957" t="s">
        <v>69</v>
      </c>
      <c r="H196" s="957" t="s">
        <v>69</v>
      </c>
      <c r="I196" s="957" t="s">
        <v>70</v>
      </c>
      <c r="J196" s="957" t="s">
        <v>69</v>
      </c>
      <c r="K196" s="957" t="s">
        <v>70</v>
      </c>
      <c r="L196" s="995" t="s">
        <v>70</v>
      </c>
      <c r="M196" s="995" t="s">
        <v>70</v>
      </c>
      <c r="N196" s="995" t="s">
        <v>100</v>
      </c>
      <c r="O196" s="995" t="s">
        <v>100</v>
      </c>
      <c r="P196" s="995"/>
      <c r="Q196" s="995" t="s">
        <v>100</v>
      </c>
      <c r="R196" s="995" t="s">
        <v>100</v>
      </c>
      <c r="S196" s="995" t="s">
        <v>100</v>
      </c>
      <c r="T196" s="995" t="s">
        <v>100</v>
      </c>
      <c r="U196" s="995" t="s">
        <v>70</v>
      </c>
      <c r="V196" s="995" t="s">
        <v>69</v>
      </c>
      <c r="W196" s="995" t="s">
        <v>70</v>
      </c>
      <c r="X196" s="919"/>
      <c r="Y196" s="919"/>
      <c r="Z196" s="919"/>
      <c r="AA196" s="919"/>
      <c r="AB196" s="919"/>
      <c r="AC196" s="919"/>
      <c r="AD196" s="919"/>
      <c r="AE196" s="919"/>
      <c r="AF196" s="919"/>
      <c r="AG196" s="919"/>
      <c r="AH196" s="919"/>
      <c r="AI196" s="919"/>
      <c r="AJ196" s="919"/>
      <c r="AK196" s="919"/>
      <c r="AL196" s="919"/>
      <c r="AM196" s="919"/>
      <c r="AN196" s="919"/>
      <c r="AO196" s="919"/>
      <c r="AP196" s="919"/>
      <c r="AQ196" s="919"/>
      <c r="AR196" s="919"/>
      <c r="AS196" s="919"/>
      <c r="AT196" s="919"/>
      <c r="AU196" s="919"/>
      <c r="AV196" s="919"/>
      <c r="AW196" s="919"/>
      <c r="AX196" s="919"/>
      <c r="AY196" s="919"/>
      <c r="AZ196" s="919"/>
      <c r="BA196" s="919"/>
      <c r="BB196" s="919"/>
      <c r="BC196" s="919"/>
      <c r="BD196" s="919"/>
      <c r="BE196" s="920"/>
      <c r="BF196" s="920"/>
      <c r="BG196" s="920"/>
      <c r="BH196" s="920"/>
      <c r="BI196" s="920"/>
      <c r="BJ196" s="920"/>
      <c r="BK196" s="920"/>
      <c r="BL196" s="920"/>
    </row>
    <row r="197">
      <c r="A197" s="901"/>
      <c r="B197" s="949" t="s">
        <v>1182</v>
      </c>
      <c r="C197" s="999" t="s">
        <v>12</v>
      </c>
      <c r="D197" s="957" t="s">
        <v>69</v>
      </c>
      <c r="E197" s="957" t="s">
        <v>99</v>
      </c>
      <c r="F197" s="957" t="s">
        <v>69</v>
      </c>
      <c r="G197" s="957" t="s">
        <v>69</v>
      </c>
      <c r="H197" s="957" t="s">
        <v>99</v>
      </c>
      <c r="I197" s="957" t="s">
        <v>70</v>
      </c>
      <c r="J197" s="957" t="s">
        <v>69</v>
      </c>
      <c r="K197" s="957" t="s">
        <v>70</v>
      </c>
      <c r="L197" s="995" t="s">
        <v>70</v>
      </c>
      <c r="M197" s="995" t="s">
        <v>70</v>
      </c>
      <c r="N197" s="995" t="s">
        <v>70</v>
      </c>
      <c r="O197" s="995" t="s">
        <v>70</v>
      </c>
      <c r="P197" s="995"/>
      <c r="Q197" s="995" t="s">
        <v>70</v>
      </c>
      <c r="R197" s="995" t="s">
        <v>70</v>
      </c>
      <c r="S197" s="995" t="s">
        <v>69</v>
      </c>
      <c r="T197" s="995" t="s">
        <v>69</v>
      </c>
      <c r="U197" s="957" t="s">
        <v>70</v>
      </c>
      <c r="V197" s="957" t="s">
        <v>69</v>
      </c>
      <c r="W197" s="957" t="s">
        <v>69</v>
      </c>
      <c r="X197" s="966"/>
      <c r="Y197" s="966"/>
      <c r="Z197" s="966"/>
      <c r="AA197" s="966"/>
      <c r="AB197" s="966"/>
      <c r="AC197" s="966"/>
      <c r="AD197" s="966"/>
      <c r="AE197" s="966"/>
      <c r="AF197" s="966"/>
      <c r="AG197" s="966"/>
      <c r="AH197" s="919"/>
      <c r="AI197" s="919"/>
      <c r="AJ197" s="919"/>
      <c r="AK197" s="919"/>
      <c r="AL197" s="919"/>
      <c r="AM197" s="919"/>
      <c r="AN197" s="919"/>
      <c r="AO197" s="919"/>
      <c r="AP197" s="919"/>
      <c r="AQ197" s="919"/>
      <c r="AR197" s="919"/>
      <c r="AS197" s="919"/>
      <c r="AT197" s="919"/>
      <c r="AU197" s="919"/>
      <c r="AV197" s="919"/>
      <c r="AW197" s="919"/>
      <c r="AX197" s="919"/>
      <c r="AY197" s="919"/>
      <c r="AZ197" s="919"/>
      <c r="BA197" s="919"/>
      <c r="BB197" s="919"/>
      <c r="BC197" s="919"/>
      <c r="BD197" s="919"/>
      <c r="BE197" s="920"/>
      <c r="BF197" s="920"/>
      <c r="BG197" s="920"/>
      <c r="BH197" s="920"/>
      <c r="BI197" s="920"/>
      <c r="BJ197" s="920"/>
      <c r="BK197" s="920"/>
      <c r="BL197" s="920"/>
    </row>
    <row r="198">
      <c r="A198" s="901"/>
      <c r="B198" s="952" t="s">
        <v>37</v>
      </c>
      <c r="C198" s="952" t="s">
        <v>12</v>
      </c>
      <c r="D198" s="979" t="s">
        <v>69</v>
      </c>
      <c r="E198" s="995" t="s">
        <v>69</v>
      </c>
      <c r="F198" s="995" t="s">
        <v>69</v>
      </c>
      <c r="G198" s="995" t="s">
        <v>69</v>
      </c>
      <c r="H198" s="995" t="s">
        <v>69</v>
      </c>
      <c r="I198" s="957" t="s">
        <v>70</v>
      </c>
      <c r="J198" s="995" t="s">
        <v>69</v>
      </c>
      <c r="K198" s="995" t="s">
        <v>69</v>
      </c>
      <c r="L198" s="995" t="s">
        <v>70</v>
      </c>
      <c r="M198" s="995" t="s">
        <v>70</v>
      </c>
      <c r="N198" s="995" t="s">
        <v>70</v>
      </c>
      <c r="O198" s="995" t="s">
        <v>70</v>
      </c>
      <c r="P198" s="995"/>
      <c r="Q198" s="995" t="s">
        <v>70</v>
      </c>
      <c r="R198" s="995" t="s">
        <v>70</v>
      </c>
      <c r="S198" s="995" t="s">
        <v>69</v>
      </c>
      <c r="T198" s="995" t="s">
        <v>69</v>
      </c>
      <c r="U198" s="957" t="s">
        <v>70</v>
      </c>
      <c r="V198" s="957" t="s">
        <v>69</v>
      </c>
      <c r="W198" s="957" t="s">
        <v>69</v>
      </c>
      <c r="X198" s="966"/>
      <c r="Y198" s="966"/>
      <c r="Z198" s="966"/>
      <c r="AA198" s="966"/>
      <c r="AB198" s="966"/>
      <c r="AC198" s="966"/>
      <c r="AD198" s="966"/>
      <c r="AE198" s="966"/>
      <c r="AF198" s="966"/>
      <c r="AG198" s="966"/>
      <c r="AH198" s="919"/>
      <c r="AI198" s="919"/>
      <c r="AJ198" s="919"/>
      <c r="AK198" s="919"/>
      <c r="AL198" s="919"/>
      <c r="AM198" s="919"/>
      <c r="AN198" s="919"/>
      <c r="AO198" s="919"/>
      <c r="AP198" s="919"/>
      <c r="AQ198" s="919"/>
      <c r="AR198" s="919"/>
      <c r="AS198" s="919"/>
      <c r="AT198" s="919"/>
      <c r="AU198" s="919"/>
      <c r="AV198" s="919"/>
      <c r="AW198" s="919"/>
      <c r="AX198" s="919"/>
      <c r="AY198" s="919"/>
      <c r="AZ198" s="919"/>
      <c r="BA198" s="919"/>
      <c r="BB198" s="919"/>
      <c r="BC198" s="919"/>
      <c r="BD198" s="919"/>
      <c r="BE198" s="920"/>
      <c r="BF198" s="920"/>
      <c r="BG198" s="920"/>
      <c r="BH198" s="920"/>
      <c r="BI198" s="920"/>
      <c r="BJ198" s="920"/>
      <c r="BK198" s="920"/>
      <c r="BL198" s="920"/>
    </row>
    <row r="199">
      <c r="A199" s="901"/>
      <c r="B199" s="951" t="s">
        <v>1209</v>
      </c>
      <c r="C199" s="951" t="s">
        <v>12</v>
      </c>
      <c r="D199" s="957" t="s">
        <v>70</v>
      </c>
      <c r="E199" s="957" t="s">
        <v>99</v>
      </c>
      <c r="F199" s="957" t="s">
        <v>69</v>
      </c>
      <c r="G199" s="957" t="s">
        <v>69</v>
      </c>
      <c r="H199" s="957" t="s">
        <v>69</v>
      </c>
      <c r="I199" s="957" t="s">
        <v>70</v>
      </c>
      <c r="J199" s="957" t="s">
        <v>99</v>
      </c>
      <c r="K199" s="957" t="s">
        <v>69</v>
      </c>
      <c r="L199" s="995" t="s">
        <v>70</v>
      </c>
      <c r="M199" s="995" t="s">
        <v>70</v>
      </c>
      <c r="N199" s="995" t="s">
        <v>70</v>
      </c>
      <c r="O199" s="995" t="s">
        <v>70</v>
      </c>
      <c r="P199" s="995"/>
      <c r="Q199" s="995" t="s">
        <v>70</v>
      </c>
      <c r="R199" s="995" t="s">
        <v>70</v>
      </c>
      <c r="S199" s="995" t="s">
        <v>69</v>
      </c>
      <c r="T199" s="995" t="s">
        <v>69</v>
      </c>
      <c r="U199" s="957" t="s">
        <v>70</v>
      </c>
      <c r="V199" s="957" t="s">
        <v>69</v>
      </c>
      <c r="W199" s="957" t="s">
        <v>69</v>
      </c>
      <c r="X199" s="966"/>
      <c r="Y199" s="966"/>
      <c r="Z199" s="966"/>
      <c r="AA199" s="966"/>
      <c r="AB199" s="966"/>
      <c r="AC199" s="966"/>
      <c r="AD199" s="966"/>
      <c r="AE199" s="966"/>
      <c r="AF199" s="966"/>
      <c r="AG199" s="966"/>
      <c r="AH199" s="919"/>
      <c r="AI199" s="919"/>
      <c r="AJ199" s="919"/>
      <c r="AK199" s="919"/>
      <c r="AL199" s="919"/>
      <c r="AM199" s="919"/>
      <c r="AN199" s="919"/>
      <c r="AO199" s="919"/>
      <c r="AP199" s="919"/>
      <c r="AQ199" s="919"/>
      <c r="AR199" s="919"/>
      <c r="AS199" s="919"/>
      <c r="AT199" s="919"/>
      <c r="AU199" s="919"/>
      <c r="AV199" s="919"/>
      <c r="AW199" s="919"/>
      <c r="AX199" s="919"/>
      <c r="AY199" s="919"/>
      <c r="AZ199" s="919"/>
      <c r="BA199" s="919"/>
      <c r="BB199" s="919"/>
      <c r="BC199" s="919"/>
      <c r="BD199" s="919"/>
      <c r="BE199" s="920"/>
      <c r="BF199" s="920"/>
      <c r="BG199" s="920"/>
      <c r="BH199" s="920"/>
      <c r="BI199" s="920"/>
      <c r="BJ199" s="920"/>
      <c r="BK199" s="920"/>
      <c r="BL199" s="920"/>
    </row>
    <row r="200">
      <c r="A200" s="901"/>
      <c r="B200" s="1000" t="s">
        <v>1220</v>
      </c>
      <c r="C200" s="1001" t="s">
        <v>23</v>
      </c>
      <c r="D200" s="957" t="s">
        <v>100</v>
      </c>
      <c r="E200" s="957" t="s">
        <v>100</v>
      </c>
      <c r="F200" s="957" t="s">
        <v>100</v>
      </c>
      <c r="G200" s="957" t="s">
        <v>100</v>
      </c>
      <c r="H200" s="957" t="s">
        <v>100</v>
      </c>
      <c r="I200" s="957" t="s">
        <v>100</v>
      </c>
      <c r="J200" s="957" t="s">
        <v>100</v>
      </c>
      <c r="K200" s="957" t="s">
        <v>100</v>
      </c>
      <c r="L200" s="957" t="s">
        <v>100</v>
      </c>
      <c r="M200" s="957" t="s">
        <v>100</v>
      </c>
      <c r="N200" s="995" t="s">
        <v>100</v>
      </c>
      <c r="O200" s="995" t="s">
        <v>100</v>
      </c>
      <c r="P200" s="995"/>
      <c r="Q200" s="995" t="s">
        <v>100</v>
      </c>
      <c r="R200" s="995" t="s">
        <v>100</v>
      </c>
      <c r="S200" s="995" t="s">
        <v>100</v>
      </c>
      <c r="T200" s="995" t="s">
        <v>100</v>
      </c>
      <c r="U200" s="997"/>
      <c r="V200" s="997"/>
      <c r="W200" s="997"/>
      <c r="X200" s="966"/>
      <c r="Y200" s="966"/>
      <c r="Z200" s="966"/>
      <c r="AA200" s="966"/>
      <c r="AB200" s="966"/>
      <c r="AC200" s="966"/>
      <c r="AD200" s="966"/>
      <c r="AE200" s="966"/>
      <c r="AF200" s="966"/>
      <c r="AG200" s="966"/>
      <c r="AH200" s="919"/>
      <c r="AI200" s="919"/>
      <c r="AJ200" s="919"/>
      <c r="AK200" s="919"/>
      <c r="AL200" s="919"/>
      <c r="AM200" s="919"/>
      <c r="AN200" s="919"/>
      <c r="AO200" s="919"/>
      <c r="AP200" s="919"/>
      <c r="AQ200" s="919"/>
      <c r="AR200" s="919"/>
      <c r="AS200" s="919"/>
      <c r="AT200" s="919"/>
      <c r="AU200" s="919"/>
      <c r="AV200" s="919"/>
      <c r="AW200" s="919"/>
      <c r="AX200" s="919"/>
      <c r="AY200" s="919"/>
      <c r="AZ200" s="919"/>
      <c r="BA200" s="919"/>
      <c r="BB200" s="919"/>
      <c r="BC200" s="919"/>
      <c r="BD200" s="919"/>
      <c r="BE200" s="920"/>
      <c r="BF200" s="920"/>
      <c r="BG200" s="920"/>
      <c r="BH200" s="920"/>
      <c r="BI200" s="920"/>
      <c r="BJ200" s="920"/>
      <c r="BK200" s="920"/>
      <c r="BL200" s="920"/>
    </row>
    <row r="201">
      <c r="A201" s="901"/>
      <c r="B201" s="1002" t="s">
        <v>1221</v>
      </c>
      <c r="C201" s="1002" t="s">
        <v>23</v>
      </c>
      <c r="D201" s="957" t="s">
        <v>100</v>
      </c>
      <c r="E201" s="957" t="s">
        <v>100</v>
      </c>
      <c r="F201" s="957" t="s">
        <v>100</v>
      </c>
      <c r="G201" s="957" t="s">
        <v>100</v>
      </c>
      <c r="H201" s="957" t="s">
        <v>100</v>
      </c>
      <c r="I201" s="957" t="s">
        <v>100</v>
      </c>
      <c r="J201" s="957" t="s">
        <v>100</v>
      </c>
      <c r="K201" s="957" t="s">
        <v>100</v>
      </c>
      <c r="L201" s="957" t="s">
        <v>100</v>
      </c>
      <c r="M201" s="957" t="s">
        <v>100</v>
      </c>
      <c r="N201" s="957" t="s">
        <v>100</v>
      </c>
      <c r="O201" s="957" t="s">
        <v>100</v>
      </c>
      <c r="P201" s="957"/>
      <c r="Q201" s="957" t="s">
        <v>100</v>
      </c>
      <c r="R201" s="957" t="s">
        <v>100</v>
      </c>
      <c r="S201" s="957" t="s">
        <v>100</v>
      </c>
      <c r="T201" s="957" t="s">
        <v>100</v>
      </c>
      <c r="U201" s="982"/>
      <c r="V201" s="982"/>
      <c r="W201" s="982"/>
      <c r="X201" s="966"/>
      <c r="Y201" s="966"/>
      <c r="Z201" s="966"/>
      <c r="AA201" s="966"/>
      <c r="AB201" s="966"/>
      <c r="AC201" s="966"/>
      <c r="AD201" s="966"/>
      <c r="AE201" s="966"/>
      <c r="AF201" s="966"/>
      <c r="AG201" s="966"/>
      <c r="AH201" s="919"/>
      <c r="AI201" s="919"/>
      <c r="AJ201" s="919"/>
      <c r="AK201" s="919"/>
      <c r="AL201" s="919"/>
      <c r="AM201" s="919"/>
      <c r="AN201" s="919"/>
      <c r="AO201" s="919"/>
      <c r="AP201" s="919"/>
      <c r="AQ201" s="919"/>
      <c r="AR201" s="919"/>
      <c r="AS201" s="919"/>
      <c r="AT201" s="919"/>
      <c r="AU201" s="919"/>
      <c r="AV201" s="919"/>
      <c r="AW201" s="919"/>
      <c r="AX201" s="919"/>
      <c r="AY201" s="919"/>
      <c r="AZ201" s="919"/>
      <c r="BA201" s="919"/>
      <c r="BB201" s="919"/>
      <c r="BC201" s="919"/>
      <c r="BD201" s="919"/>
      <c r="BE201" s="920"/>
      <c r="BF201" s="920"/>
      <c r="BG201" s="920"/>
      <c r="BH201" s="920"/>
      <c r="BI201" s="920"/>
      <c r="BJ201" s="920"/>
      <c r="BK201" s="920"/>
      <c r="BL201" s="920"/>
    </row>
    <row r="202">
      <c r="A202" s="901"/>
      <c r="B202" s="946" t="s">
        <v>142</v>
      </c>
      <c r="C202" s="946" t="s">
        <v>23</v>
      </c>
      <c r="D202" s="996"/>
      <c r="E202" s="997"/>
      <c r="F202" s="997"/>
      <c r="G202" s="997"/>
      <c r="H202" s="997"/>
      <c r="I202" s="997"/>
      <c r="J202" s="997"/>
      <c r="K202" s="997"/>
      <c r="L202" s="997"/>
      <c r="M202" s="997"/>
      <c r="N202" s="997"/>
      <c r="O202" s="997"/>
      <c r="P202" s="997"/>
      <c r="Q202" s="997"/>
      <c r="R202" s="997"/>
      <c r="S202" s="997"/>
      <c r="T202" s="998"/>
      <c r="U202" s="957" t="s">
        <v>100</v>
      </c>
      <c r="V202" s="957" t="s">
        <v>100</v>
      </c>
      <c r="W202" s="957" t="s">
        <v>100</v>
      </c>
      <c r="X202" s="966"/>
      <c r="Y202" s="966"/>
      <c r="Z202" s="966"/>
      <c r="AA202" s="966"/>
      <c r="AB202" s="966"/>
      <c r="AC202" s="966"/>
      <c r="AD202" s="966"/>
      <c r="AE202" s="966"/>
      <c r="AF202" s="966"/>
      <c r="AG202" s="966"/>
      <c r="AH202" s="919"/>
      <c r="AI202" s="919"/>
      <c r="AJ202" s="919"/>
      <c r="AK202" s="919"/>
      <c r="AL202" s="919"/>
      <c r="AM202" s="919"/>
      <c r="AN202" s="919"/>
      <c r="AO202" s="919"/>
      <c r="AP202" s="919"/>
      <c r="AQ202" s="919"/>
      <c r="AR202" s="919"/>
      <c r="AS202" s="919"/>
      <c r="AT202" s="919"/>
      <c r="AU202" s="919"/>
      <c r="AV202" s="919"/>
      <c r="AW202" s="919"/>
      <c r="AX202" s="919"/>
      <c r="AY202" s="919"/>
      <c r="AZ202" s="919"/>
      <c r="BA202" s="919"/>
      <c r="BB202" s="919"/>
      <c r="BC202" s="919"/>
      <c r="BD202" s="919"/>
      <c r="BE202" s="920"/>
      <c r="BF202" s="920"/>
      <c r="BG202" s="920"/>
      <c r="BH202" s="920"/>
      <c r="BI202" s="920"/>
      <c r="BJ202" s="920"/>
      <c r="BK202" s="920"/>
      <c r="BL202" s="920"/>
    </row>
    <row r="203">
      <c r="A203" s="901"/>
      <c r="B203" s="947" t="s">
        <v>1201</v>
      </c>
      <c r="C203" s="947" t="s">
        <v>23</v>
      </c>
      <c r="D203" s="1003"/>
      <c r="E203" s="982"/>
      <c r="F203" s="982"/>
      <c r="G203" s="982"/>
      <c r="H203" s="982"/>
      <c r="I203" s="982"/>
      <c r="J203" s="982"/>
      <c r="K203" s="982"/>
      <c r="L203" s="982"/>
      <c r="M203" s="982"/>
      <c r="N203" s="982"/>
      <c r="O203" s="982"/>
      <c r="P203" s="982"/>
      <c r="Q203" s="982"/>
      <c r="R203" s="982"/>
      <c r="S203" s="982"/>
      <c r="T203" s="1004"/>
      <c r="U203" s="957" t="s">
        <v>70</v>
      </c>
      <c r="V203" s="957" t="s">
        <v>69</v>
      </c>
      <c r="W203" s="957" t="s">
        <v>69</v>
      </c>
      <c r="X203" s="966"/>
      <c r="Y203" s="966"/>
      <c r="Z203" s="966"/>
      <c r="AA203" s="966"/>
      <c r="AB203" s="966"/>
      <c r="AC203" s="966"/>
      <c r="AD203" s="966"/>
      <c r="AE203" s="966"/>
      <c r="AF203" s="966"/>
      <c r="AG203" s="966"/>
      <c r="AH203" s="919"/>
      <c r="AI203" s="919"/>
      <c r="AJ203" s="919"/>
      <c r="AK203" s="919"/>
      <c r="AL203" s="919"/>
      <c r="AM203" s="919"/>
      <c r="AN203" s="919"/>
      <c r="AO203" s="919"/>
      <c r="AP203" s="919"/>
      <c r="AQ203" s="919"/>
      <c r="AR203" s="919"/>
      <c r="AS203" s="919"/>
      <c r="AT203" s="919"/>
      <c r="AU203" s="919"/>
      <c r="AV203" s="919"/>
      <c r="AW203" s="919"/>
      <c r="AX203" s="919"/>
      <c r="AY203" s="919"/>
      <c r="AZ203" s="919"/>
      <c r="BA203" s="919"/>
      <c r="BB203" s="919"/>
      <c r="BC203" s="919"/>
      <c r="BD203" s="919"/>
      <c r="BE203" s="920"/>
      <c r="BF203" s="920"/>
      <c r="BG203" s="920"/>
      <c r="BH203" s="920"/>
      <c r="BI203" s="920"/>
      <c r="BJ203" s="920"/>
      <c r="BK203" s="920"/>
      <c r="BL203" s="920"/>
    </row>
    <row r="204">
      <c r="A204" s="901"/>
      <c r="B204" s="1005" t="s">
        <v>1222</v>
      </c>
      <c r="C204" s="1006" t="s">
        <v>410</v>
      </c>
      <c r="D204" s="957" t="s">
        <v>70</v>
      </c>
      <c r="E204" s="957" t="s">
        <v>70</v>
      </c>
      <c r="F204" s="957" t="s">
        <v>70</v>
      </c>
      <c r="G204" s="957" t="s">
        <v>69</v>
      </c>
      <c r="H204" s="957" t="s">
        <v>69</v>
      </c>
      <c r="I204" s="957" t="s">
        <v>69</v>
      </c>
      <c r="J204" s="957" t="s">
        <v>69</v>
      </c>
      <c r="K204" s="957" t="s">
        <v>69</v>
      </c>
      <c r="L204" s="957" t="s">
        <v>70</v>
      </c>
      <c r="M204" s="957" t="s">
        <v>70</v>
      </c>
      <c r="N204" s="957" t="s">
        <v>1223</v>
      </c>
      <c r="O204" s="957" t="s">
        <v>1223</v>
      </c>
      <c r="P204" s="957"/>
      <c r="Q204" s="957" t="s">
        <v>1223</v>
      </c>
      <c r="R204" s="957" t="s">
        <v>70</v>
      </c>
      <c r="S204" s="957" t="s">
        <v>69</v>
      </c>
      <c r="T204" s="957" t="s">
        <v>69</v>
      </c>
      <c r="U204" s="957" t="s">
        <v>70</v>
      </c>
      <c r="V204" s="957" t="s">
        <v>69</v>
      </c>
      <c r="W204" s="957" t="s">
        <v>70</v>
      </c>
      <c r="X204" s="966"/>
      <c r="Y204" s="966"/>
      <c r="Z204" s="966"/>
      <c r="AA204" s="966"/>
      <c r="AB204" s="966"/>
      <c r="AC204" s="966"/>
      <c r="AD204" s="966"/>
      <c r="AE204" s="966"/>
      <c r="AF204" s="966"/>
      <c r="AG204" s="966"/>
      <c r="AH204" s="919"/>
      <c r="AI204" s="919"/>
      <c r="AJ204" s="919"/>
      <c r="AK204" s="919"/>
      <c r="AL204" s="919"/>
      <c r="AM204" s="919"/>
      <c r="AN204" s="919"/>
      <c r="AO204" s="919"/>
      <c r="AP204" s="919"/>
      <c r="AQ204" s="919"/>
      <c r="AR204" s="919"/>
      <c r="AS204" s="919"/>
      <c r="AT204" s="919"/>
      <c r="AU204" s="919"/>
      <c r="AV204" s="919"/>
      <c r="AW204" s="919"/>
      <c r="AX204" s="919"/>
      <c r="AY204" s="919"/>
      <c r="AZ204" s="919"/>
      <c r="BA204" s="919"/>
      <c r="BB204" s="919"/>
      <c r="BC204" s="919"/>
      <c r="BD204" s="919"/>
      <c r="BE204" s="920"/>
      <c r="BF204" s="920"/>
      <c r="BG204" s="920"/>
      <c r="BH204" s="920"/>
      <c r="BI204" s="920"/>
      <c r="BJ204" s="920"/>
      <c r="BK204" s="920"/>
      <c r="BL204" s="920"/>
    </row>
    <row r="205">
      <c r="A205" s="1007" t="s">
        <v>1210</v>
      </c>
      <c r="B205" s="1008" t="s">
        <v>1211</v>
      </c>
      <c r="C205" s="931" t="s">
        <v>107</v>
      </c>
      <c r="D205" s="957" t="s">
        <v>70</v>
      </c>
      <c r="E205" s="957" t="s">
        <v>69</v>
      </c>
      <c r="F205" s="957" t="s">
        <v>69</v>
      </c>
      <c r="G205" s="957" t="s">
        <v>99</v>
      </c>
      <c r="H205" s="957" t="s">
        <v>69</v>
      </c>
      <c r="I205" s="957" t="s">
        <v>69</v>
      </c>
      <c r="J205" s="957" t="s">
        <v>69</v>
      </c>
      <c r="K205" s="957" t="s">
        <v>69</v>
      </c>
      <c r="L205" s="957" t="s">
        <v>69</v>
      </c>
      <c r="M205" s="957" t="s">
        <v>70</v>
      </c>
      <c r="N205" s="957" t="s">
        <v>70</v>
      </c>
      <c r="O205" s="957" t="s">
        <v>70</v>
      </c>
      <c r="P205" s="957"/>
      <c r="Q205" s="957" t="s">
        <v>70</v>
      </c>
      <c r="R205" s="957" t="s">
        <v>70</v>
      </c>
      <c r="S205" s="957" t="s">
        <v>69</v>
      </c>
      <c r="T205" s="957" t="s">
        <v>70</v>
      </c>
      <c r="U205" s="995" t="s">
        <v>100</v>
      </c>
      <c r="V205" s="995" t="s">
        <v>100</v>
      </c>
      <c r="W205" s="995" t="s">
        <v>100</v>
      </c>
      <c r="X205" s="966"/>
      <c r="Y205" s="966"/>
      <c r="Z205" s="966"/>
      <c r="AA205" s="966"/>
      <c r="AB205" s="966"/>
      <c r="AC205" s="966"/>
      <c r="AD205" s="966"/>
      <c r="AE205" s="966"/>
      <c r="AF205" s="966"/>
      <c r="AG205" s="966"/>
      <c r="AH205" s="919"/>
      <c r="AI205" s="919"/>
      <c r="AJ205" s="919"/>
      <c r="AK205" s="919"/>
      <c r="AL205" s="919"/>
      <c r="AM205" s="919"/>
      <c r="AN205" s="919"/>
      <c r="AO205" s="919"/>
      <c r="AP205" s="919"/>
      <c r="AQ205" s="919"/>
      <c r="AR205" s="919"/>
      <c r="AS205" s="919"/>
      <c r="AT205" s="919"/>
      <c r="AU205" s="919"/>
      <c r="AV205" s="919"/>
      <c r="AW205" s="919"/>
      <c r="AX205" s="919"/>
      <c r="AY205" s="919"/>
      <c r="AZ205" s="919"/>
      <c r="BA205" s="919"/>
      <c r="BB205" s="919"/>
      <c r="BC205" s="919"/>
      <c r="BD205" s="919"/>
      <c r="BE205" s="920"/>
      <c r="BF205" s="920"/>
      <c r="BG205" s="920"/>
      <c r="BH205" s="920"/>
      <c r="BI205" s="920"/>
      <c r="BJ205" s="920"/>
      <c r="BK205" s="920"/>
      <c r="BL205" s="920"/>
    </row>
    <row r="206">
      <c r="A206" s="901"/>
      <c r="B206" s="932" t="s">
        <v>1224</v>
      </c>
      <c r="C206" s="932" t="s">
        <v>107</v>
      </c>
      <c r="D206" s="957" t="s">
        <v>70</v>
      </c>
      <c r="E206" s="957" t="s">
        <v>69</v>
      </c>
      <c r="F206" s="957" t="s">
        <v>69</v>
      </c>
      <c r="G206" s="957" t="s">
        <v>99</v>
      </c>
      <c r="H206" s="957" t="s">
        <v>69</v>
      </c>
      <c r="I206" s="957" t="s">
        <v>69</v>
      </c>
      <c r="J206" s="957" t="s">
        <v>69</v>
      </c>
      <c r="K206" s="957" t="s">
        <v>69</v>
      </c>
      <c r="L206" s="957" t="s">
        <v>69</v>
      </c>
      <c r="M206" s="957" t="s">
        <v>70</v>
      </c>
      <c r="N206" s="957" t="s">
        <v>70</v>
      </c>
      <c r="O206" s="957" t="s">
        <v>70</v>
      </c>
      <c r="P206" s="957"/>
      <c r="Q206" s="957" t="s">
        <v>70</v>
      </c>
      <c r="R206" s="957" t="s">
        <v>70</v>
      </c>
      <c r="S206" s="957" t="s">
        <v>69</v>
      </c>
      <c r="T206" s="957" t="s">
        <v>70</v>
      </c>
      <c r="U206" s="957" t="s">
        <v>69</v>
      </c>
      <c r="V206" s="957" t="s">
        <v>69</v>
      </c>
      <c r="W206" s="957" t="s">
        <v>69</v>
      </c>
      <c r="X206" s="966"/>
      <c r="Y206" s="966"/>
      <c r="Z206" s="966"/>
      <c r="AA206" s="966"/>
      <c r="AB206" s="966"/>
      <c r="AC206" s="966"/>
      <c r="AD206" s="966"/>
      <c r="AE206" s="966"/>
      <c r="AF206" s="966"/>
      <c r="AG206" s="966"/>
      <c r="AH206" s="919"/>
      <c r="AI206" s="919"/>
      <c r="AJ206" s="919"/>
      <c r="AK206" s="919"/>
      <c r="AL206" s="919"/>
      <c r="AM206" s="919"/>
      <c r="AN206" s="919"/>
      <c r="AO206" s="919"/>
      <c r="AP206" s="919"/>
      <c r="AQ206" s="919"/>
      <c r="AR206" s="919"/>
      <c r="AS206" s="919"/>
      <c r="AT206" s="919"/>
      <c r="AU206" s="919"/>
      <c r="AV206" s="919"/>
      <c r="AW206" s="919"/>
      <c r="AX206" s="919"/>
      <c r="AY206" s="919"/>
      <c r="AZ206" s="919"/>
      <c r="BA206" s="919"/>
      <c r="BB206" s="919"/>
      <c r="BC206" s="919"/>
      <c r="BD206" s="919"/>
      <c r="BE206" s="920"/>
      <c r="BF206" s="920"/>
      <c r="BG206" s="920"/>
      <c r="BH206" s="920"/>
      <c r="BI206" s="920"/>
      <c r="BJ206" s="920"/>
      <c r="BK206" s="920"/>
      <c r="BL206" s="920"/>
    </row>
    <row r="207">
      <c r="A207" s="901"/>
      <c r="B207" s="932" t="s">
        <v>1180</v>
      </c>
      <c r="C207" s="932" t="s">
        <v>107</v>
      </c>
      <c r="D207" s="957" t="s">
        <v>100</v>
      </c>
      <c r="E207" s="957" t="s">
        <v>100</v>
      </c>
      <c r="F207" s="957" t="s">
        <v>100</v>
      </c>
      <c r="G207" s="957" t="s">
        <v>100</v>
      </c>
      <c r="H207" s="957" t="s">
        <v>100</v>
      </c>
      <c r="I207" s="957" t="s">
        <v>100</v>
      </c>
      <c r="J207" s="957" t="s">
        <v>100</v>
      </c>
      <c r="K207" s="957" t="s">
        <v>100</v>
      </c>
      <c r="L207" s="957" t="s">
        <v>69</v>
      </c>
      <c r="M207" s="957" t="s">
        <v>70</v>
      </c>
      <c r="N207" s="957" t="s">
        <v>70</v>
      </c>
      <c r="O207" s="957" t="s">
        <v>70</v>
      </c>
      <c r="P207" s="957"/>
      <c r="Q207" s="957" t="s">
        <v>70</v>
      </c>
      <c r="R207" s="957" t="s">
        <v>70</v>
      </c>
      <c r="S207" s="957" t="s">
        <v>69</v>
      </c>
      <c r="T207" s="957" t="s">
        <v>70</v>
      </c>
      <c r="U207" s="995" t="s">
        <v>100</v>
      </c>
      <c r="V207" s="995" t="s">
        <v>100</v>
      </c>
      <c r="W207" s="995" t="s">
        <v>100</v>
      </c>
      <c r="X207" s="966"/>
      <c r="Y207" s="966"/>
      <c r="Z207" s="966"/>
      <c r="AA207" s="966"/>
      <c r="AB207" s="966"/>
      <c r="AC207" s="966"/>
      <c r="AD207" s="966"/>
      <c r="AE207" s="966"/>
      <c r="AF207" s="966"/>
      <c r="AG207" s="966"/>
      <c r="AH207" s="919"/>
      <c r="AI207" s="919"/>
      <c r="AJ207" s="919"/>
      <c r="AK207" s="919"/>
      <c r="AL207" s="919"/>
      <c r="AM207" s="919"/>
      <c r="AN207" s="919"/>
      <c r="AO207" s="919"/>
      <c r="AP207" s="919"/>
      <c r="AQ207" s="919"/>
      <c r="AR207" s="919"/>
      <c r="AS207" s="919"/>
      <c r="AT207" s="919"/>
      <c r="AU207" s="919"/>
      <c r="AV207" s="919"/>
      <c r="AW207" s="919"/>
      <c r="AX207" s="919"/>
      <c r="AY207" s="919"/>
      <c r="AZ207" s="919"/>
      <c r="BA207" s="919"/>
      <c r="BB207" s="919"/>
      <c r="BC207" s="919"/>
      <c r="BD207" s="919"/>
      <c r="BE207" s="920"/>
      <c r="BF207" s="920"/>
      <c r="BG207" s="920"/>
      <c r="BH207" s="920"/>
      <c r="BI207" s="920"/>
      <c r="BJ207" s="920"/>
      <c r="BK207" s="920"/>
      <c r="BL207" s="920"/>
    </row>
    <row r="208">
      <c r="A208" s="901"/>
      <c r="B208" s="932" t="s">
        <v>1225</v>
      </c>
      <c r="C208" s="932" t="s">
        <v>107</v>
      </c>
      <c r="D208" s="979" t="s">
        <v>70</v>
      </c>
      <c r="E208" s="995" t="s">
        <v>69</v>
      </c>
      <c r="F208" s="995" t="s">
        <v>69</v>
      </c>
      <c r="G208" s="995" t="s">
        <v>99</v>
      </c>
      <c r="H208" s="995" t="s">
        <v>69</v>
      </c>
      <c r="I208" s="995" t="s">
        <v>69</v>
      </c>
      <c r="J208" s="995" t="s">
        <v>69</v>
      </c>
      <c r="K208" s="995" t="s">
        <v>69</v>
      </c>
      <c r="L208" s="995" t="s">
        <v>70</v>
      </c>
      <c r="M208" s="995" t="s">
        <v>70</v>
      </c>
      <c r="N208" s="1009" t="s">
        <v>70</v>
      </c>
      <c r="O208" s="1010" t="s">
        <v>70</v>
      </c>
      <c r="P208" s="1010"/>
      <c r="Q208" s="1010" t="s">
        <v>70</v>
      </c>
      <c r="R208" s="1010" t="s">
        <v>70</v>
      </c>
      <c r="S208" s="1011" t="s">
        <v>70</v>
      </c>
      <c r="T208" s="1010" t="s">
        <v>70</v>
      </c>
      <c r="U208" s="995" t="s">
        <v>100</v>
      </c>
      <c r="V208" s="995" t="s">
        <v>100</v>
      </c>
      <c r="W208" s="995" t="s">
        <v>100</v>
      </c>
      <c r="X208" s="966"/>
      <c r="Y208" s="966"/>
      <c r="Z208" s="966"/>
      <c r="AA208" s="966"/>
      <c r="AB208" s="966"/>
      <c r="AC208" s="966"/>
      <c r="AD208" s="966"/>
      <c r="AE208" s="966"/>
      <c r="AF208" s="966"/>
      <c r="AG208" s="966"/>
      <c r="AH208" s="919"/>
      <c r="AI208" s="919"/>
      <c r="AJ208" s="919"/>
      <c r="AK208" s="919"/>
      <c r="AL208" s="919"/>
      <c r="AM208" s="919"/>
      <c r="AN208" s="919"/>
      <c r="AO208" s="919"/>
      <c r="AP208" s="919"/>
      <c r="AQ208" s="919"/>
      <c r="AR208" s="919"/>
      <c r="AS208" s="919"/>
      <c r="AT208" s="919"/>
      <c r="AU208" s="919"/>
      <c r="AV208" s="919"/>
      <c r="AW208" s="919"/>
      <c r="AX208" s="919"/>
      <c r="AY208" s="919"/>
      <c r="AZ208" s="919"/>
      <c r="BA208" s="919"/>
      <c r="BB208" s="919"/>
      <c r="BC208" s="919"/>
      <c r="BD208" s="919"/>
      <c r="BE208" s="920"/>
      <c r="BF208" s="920"/>
      <c r="BG208" s="920"/>
      <c r="BH208" s="920"/>
      <c r="BI208" s="920"/>
      <c r="BJ208" s="920"/>
      <c r="BK208" s="920"/>
      <c r="BL208" s="920"/>
    </row>
    <row r="209">
      <c r="A209" s="901"/>
      <c r="B209" s="933" t="s">
        <v>1179</v>
      </c>
      <c r="C209" s="932" t="s">
        <v>107</v>
      </c>
      <c r="D209" s="979" t="s">
        <v>70</v>
      </c>
      <c r="E209" s="995" t="s">
        <v>69</v>
      </c>
      <c r="F209" s="995" t="s">
        <v>69</v>
      </c>
      <c r="G209" s="995" t="s">
        <v>99</v>
      </c>
      <c r="H209" s="995" t="s">
        <v>69</v>
      </c>
      <c r="I209" s="995" t="s">
        <v>69</v>
      </c>
      <c r="J209" s="995" t="s">
        <v>69</v>
      </c>
      <c r="K209" s="995" t="s">
        <v>69</v>
      </c>
      <c r="L209" s="995" t="s">
        <v>69</v>
      </c>
      <c r="M209" s="995" t="s">
        <v>70</v>
      </c>
      <c r="N209" s="995" t="s">
        <v>70</v>
      </c>
      <c r="O209" s="995" t="s">
        <v>70</v>
      </c>
      <c r="P209" s="995"/>
      <c r="Q209" s="995" t="s">
        <v>70</v>
      </c>
      <c r="R209" s="995" t="s">
        <v>70</v>
      </c>
      <c r="S209" s="995" t="s">
        <v>69</v>
      </c>
      <c r="T209" s="995" t="s">
        <v>70</v>
      </c>
      <c r="U209" s="957" t="s">
        <v>69</v>
      </c>
      <c r="V209" s="957" t="s">
        <v>69</v>
      </c>
      <c r="W209" s="957" t="s">
        <v>69</v>
      </c>
      <c r="X209" s="966"/>
      <c r="Y209" s="966"/>
      <c r="Z209" s="966"/>
      <c r="AA209" s="966"/>
      <c r="AB209" s="966"/>
      <c r="AC209" s="966"/>
      <c r="AD209" s="966"/>
      <c r="AE209" s="966"/>
      <c r="AF209" s="966"/>
      <c r="AG209" s="966"/>
      <c r="AH209" s="919"/>
      <c r="AI209" s="919"/>
      <c r="AJ209" s="919"/>
      <c r="AK209" s="919"/>
      <c r="AL209" s="919"/>
      <c r="AM209" s="919"/>
      <c r="AN209" s="919"/>
      <c r="AO209" s="919"/>
      <c r="AP209" s="919"/>
      <c r="AQ209" s="919"/>
      <c r="AR209" s="919"/>
      <c r="AS209" s="919"/>
      <c r="AT209" s="919"/>
      <c r="AU209" s="919"/>
      <c r="AV209" s="919"/>
      <c r="AW209" s="919"/>
      <c r="AX209" s="919"/>
      <c r="AY209" s="919"/>
      <c r="AZ209" s="919"/>
      <c r="BA209" s="919"/>
      <c r="BB209" s="919"/>
      <c r="BC209" s="919"/>
      <c r="BD209" s="919"/>
      <c r="BE209" s="920"/>
      <c r="BF209" s="920"/>
      <c r="BG209" s="920"/>
      <c r="BH209" s="920"/>
      <c r="BI209" s="920"/>
      <c r="BJ209" s="920"/>
      <c r="BK209" s="920"/>
      <c r="BL209" s="920"/>
    </row>
    <row r="210">
      <c r="A210" s="901"/>
      <c r="B210" s="932" t="s">
        <v>135</v>
      </c>
      <c r="C210" s="932" t="s">
        <v>107</v>
      </c>
      <c r="D210" s="979" t="s">
        <v>70</v>
      </c>
      <c r="E210" s="995" t="s">
        <v>69</v>
      </c>
      <c r="F210" s="995" t="s">
        <v>69</v>
      </c>
      <c r="G210" s="995" t="s">
        <v>70</v>
      </c>
      <c r="H210" s="995" t="s">
        <v>69</v>
      </c>
      <c r="I210" s="995" t="s">
        <v>69</v>
      </c>
      <c r="J210" s="995" t="s">
        <v>69</v>
      </c>
      <c r="K210" s="995" t="s">
        <v>70</v>
      </c>
      <c r="L210" s="995" t="s">
        <v>69</v>
      </c>
      <c r="M210" s="995" t="s">
        <v>70</v>
      </c>
      <c r="N210" s="995" t="s">
        <v>70</v>
      </c>
      <c r="O210" s="995" t="s">
        <v>70</v>
      </c>
      <c r="P210" s="995"/>
      <c r="Q210" s="995" t="s">
        <v>70</v>
      </c>
      <c r="R210" s="995" t="s">
        <v>70</v>
      </c>
      <c r="S210" s="995" t="s">
        <v>69</v>
      </c>
      <c r="T210" s="995" t="s">
        <v>70</v>
      </c>
      <c r="U210" s="957" t="s">
        <v>70</v>
      </c>
      <c r="V210" s="957" t="s">
        <v>69</v>
      </c>
      <c r="W210" s="957" t="s">
        <v>69</v>
      </c>
      <c r="X210" s="966"/>
      <c r="Y210" s="966"/>
      <c r="Z210" s="966"/>
      <c r="AA210" s="966"/>
      <c r="AB210" s="966"/>
      <c r="AC210" s="966"/>
      <c r="AD210" s="966"/>
      <c r="AE210" s="966"/>
      <c r="AF210" s="966"/>
      <c r="AG210" s="966"/>
      <c r="AH210" s="919"/>
      <c r="AI210" s="919"/>
      <c r="AJ210" s="919"/>
      <c r="AK210" s="919"/>
      <c r="AL210" s="919"/>
      <c r="AM210" s="919"/>
      <c r="AN210" s="919"/>
      <c r="AO210" s="919"/>
      <c r="AP210" s="919"/>
      <c r="AQ210" s="919"/>
      <c r="AR210" s="919"/>
      <c r="AS210" s="919"/>
      <c r="AT210" s="919"/>
      <c r="AU210" s="919"/>
      <c r="AV210" s="919"/>
      <c r="AW210" s="919"/>
      <c r="AX210" s="919"/>
      <c r="AY210" s="919"/>
      <c r="AZ210" s="919"/>
      <c r="BA210" s="919"/>
      <c r="BB210" s="919"/>
      <c r="BC210" s="919"/>
      <c r="BD210" s="919"/>
      <c r="BE210" s="920"/>
      <c r="BF210" s="920"/>
      <c r="BG210" s="920"/>
      <c r="BH210" s="920"/>
      <c r="BI210" s="920"/>
      <c r="BJ210" s="920"/>
      <c r="BK210" s="920"/>
      <c r="BL210" s="920"/>
    </row>
    <row r="211">
      <c r="A211" s="901"/>
      <c r="B211" s="932" t="s">
        <v>1181</v>
      </c>
      <c r="C211" s="932" t="s">
        <v>107</v>
      </c>
      <c r="D211" s="979" t="s">
        <v>70</v>
      </c>
      <c r="E211" s="995" t="s">
        <v>69</v>
      </c>
      <c r="F211" s="995" t="s">
        <v>69</v>
      </c>
      <c r="G211" s="995" t="s">
        <v>70</v>
      </c>
      <c r="H211" s="995" t="s">
        <v>69</v>
      </c>
      <c r="I211" s="995" t="s">
        <v>69</v>
      </c>
      <c r="J211" s="995" t="s">
        <v>69</v>
      </c>
      <c r="K211" s="995" t="s">
        <v>69</v>
      </c>
      <c r="L211" s="995" t="s">
        <v>69</v>
      </c>
      <c r="M211" s="995" t="s">
        <v>70</v>
      </c>
      <c r="N211" s="995" t="s">
        <v>70</v>
      </c>
      <c r="O211" s="995" t="s">
        <v>70</v>
      </c>
      <c r="P211" s="995"/>
      <c r="Q211" s="995" t="s">
        <v>70</v>
      </c>
      <c r="R211" s="995" t="s">
        <v>70</v>
      </c>
      <c r="S211" s="995" t="s">
        <v>69</v>
      </c>
      <c r="T211" s="995" t="s">
        <v>70</v>
      </c>
      <c r="U211" s="995" t="s">
        <v>100</v>
      </c>
      <c r="V211" s="995" t="s">
        <v>100</v>
      </c>
      <c r="W211" s="995" t="s">
        <v>100</v>
      </c>
      <c r="X211" s="966"/>
      <c r="Y211" s="966"/>
      <c r="Z211" s="966"/>
      <c r="AA211" s="966"/>
      <c r="AB211" s="966"/>
      <c r="AC211" s="966"/>
      <c r="AD211" s="966"/>
      <c r="AE211" s="966"/>
      <c r="AF211" s="966"/>
      <c r="AG211" s="966"/>
      <c r="AH211" s="919"/>
      <c r="AI211" s="919"/>
      <c r="AJ211" s="919"/>
      <c r="AK211" s="919"/>
      <c r="AL211" s="919"/>
      <c r="AM211" s="919"/>
      <c r="AN211" s="919"/>
      <c r="AO211" s="919"/>
      <c r="AP211" s="919"/>
      <c r="AQ211" s="919"/>
      <c r="AR211" s="919"/>
      <c r="AS211" s="919"/>
      <c r="AT211" s="919"/>
      <c r="AU211" s="919"/>
      <c r="AV211" s="919"/>
      <c r="AW211" s="919"/>
      <c r="AX211" s="919"/>
      <c r="AY211" s="919"/>
      <c r="AZ211" s="919"/>
      <c r="BA211" s="919"/>
      <c r="BB211" s="919"/>
      <c r="BC211" s="919"/>
      <c r="BD211" s="919"/>
      <c r="BE211" s="920"/>
      <c r="BF211" s="920"/>
      <c r="BG211" s="920"/>
      <c r="BH211" s="920"/>
      <c r="BI211" s="920"/>
      <c r="BJ211" s="920"/>
      <c r="BK211" s="920"/>
      <c r="BL211" s="920"/>
    </row>
    <row r="212">
      <c r="A212" s="901"/>
      <c r="B212" s="1012" t="s">
        <v>1196</v>
      </c>
      <c r="C212" s="936" t="s">
        <v>437</v>
      </c>
      <c r="D212" s="979" t="s">
        <v>70</v>
      </c>
      <c r="E212" s="995" t="s">
        <v>69</v>
      </c>
      <c r="F212" s="995" t="s">
        <v>69</v>
      </c>
      <c r="G212" s="995" t="s">
        <v>70</v>
      </c>
      <c r="H212" s="995" t="s">
        <v>69</v>
      </c>
      <c r="I212" s="995" t="s">
        <v>70</v>
      </c>
      <c r="J212" s="995" t="s">
        <v>69</v>
      </c>
      <c r="K212" s="995" t="s">
        <v>70</v>
      </c>
      <c r="L212" s="995" t="s">
        <v>69</v>
      </c>
      <c r="M212" s="995" t="s">
        <v>69</v>
      </c>
      <c r="N212" s="995" t="s">
        <v>69</v>
      </c>
      <c r="O212" s="995" t="s">
        <v>69</v>
      </c>
      <c r="P212" s="995"/>
      <c r="Q212" s="995" t="s">
        <v>69</v>
      </c>
      <c r="R212" s="995" t="s">
        <v>69</v>
      </c>
      <c r="S212" s="995" t="s">
        <v>70</v>
      </c>
      <c r="T212" s="995" t="s">
        <v>70</v>
      </c>
      <c r="U212" s="957" t="s">
        <v>69</v>
      </c>
      <c r="V212" s="957" t="s">
        <v>69</v>
      </c>
      <c r="W212" s="957" t="s">
        <v>70</v>
      </c>
      <c r="X212" s="966"/>
      <c r="Y212" s="966"/>
      <c r="Z212" s="966"/>
      <c r="AA212" s="966"/>
      <c r="AB212" s="966"/>
      <c r="AC212" s="966"/>
      <c r="AD212" s="966"/>
      <c r="AE212" s="966"/>
      <c r="AF212" s="966"/>
      <c r="AG212" s="966"/>
      <c r="AH212" s="919"/>
      <c r="AI212" s="919"/>
      <c r="AJ212" s="919"/>
      <c r="AK212" s="919"/>
      <c r="AL212" s="919"/>
      <c r="AM212" s="919"/>
      <c r="AN212" s="919"/>
      <c r="AO212" s="919"/>
      <c r="AP212" s="919"/>
      <c r="AQ212" s="919"/>
      <c r="AR212" s="919"/>
      <c r="AS212" s="919"/>
      <c r="AT212" s="919"/>
      <c r="AU212" s="919"/>
      <c r="AV212" s="919"/>
      <c r="AW212" s="919"/>
      <c r="AX212" s="919"/>
      <c r="AY212" s="919"/>
      <c r="AZ212" s="919"/>
      <c r="BA212" s="919"/>
      <c r="BB212" s="919"/>
      <c r="BC212" s="919"/>
      <c r="BD212" s="919"/>
      <c r="BE212" s="920"/>
      <c r="BF212" s="920"/>
      <c r="BG212" s="920"/>
      <c r="BH212" s="920"/>
      <c r="BI212" s="920"/>
      <c r="BJ212" s="920"/>
      <c r="BK212" s="920"/>
      <c r="BL212" s="920"/>
    </row>
    <row r="213">
      <c r="A213" s="901"/>
      <c r="B213" s="938" t="s">
        <v>1212</v>
      </c>
      <c r="C213" s="938" t="s">
        <v>437</v>
      </c>
      <c r="D213" s="979" t="s">
        <v>70</v>
      </c>
      <c r="E213" s="995" t="s">
        <v>69</v>
      </c>
      <c r="F213" s="995" t="s">
        <v>69</v>
      </c>
      <c r="G213" s="995" t="s">
        <v>70</v>
      </c>
      <c r="H213" s="995" t="s">
        <v>69</v>
      </c>
      <c r="I213" s="995" t="s">
        <v>69</v>
      </c>
      <c r="J213" s="995" t="s">
        <v>69</v>
      </c>
      <c r="K213" s="995" t="s">
        <v>70</v>
      </c>
      <c r="L213" s="995" t="s">
        <v>69</v>
      </c>
      <c r="M213" s="995" t="s">
        <v>69</v>
      </c>
      <c r="N213" s="995" t="s">
        <v>69</v>
      </c>
      <c r="O213" s="995" t="s">
        <v>69</v>
      </c>
      <c r="P213" s="995"/>
      <c r="Q213" s="995" t="s">
        <v>69</v>
      </c>
      <c r="R213" s="995" t="s">
        <v>69</v>
      </c>
      <c r="S213" s="995" t="s">
        <v>70</v>
      </c>
      <c r="T213" s="995" t="s">
        <v>70</v>
      </c>
      <c r="U213" s="957" t="s">
        <v>69</v>
      </c>
      <c r="V213" s="957" t="s">
        <v>69</v>
      </c>
      <c r="W213" s="957" t="s">
        <v>70</v>
      </c>
      <c r="X213" s="966"/>
      <c r="Y213" s="966"/>
      <c r="Z213" s="966"/>
      <c r="AA213" s="966"/>
      <c r="AB213" s="966"/>
      <c r="AC213" s="966"/>
      <c r="AD213" s="966"/>
      <c r="AE213" s="966"/>
      <c r="AF213" s="966"/>
      <c r="AG213" s="966"/>
      <c r="AH213" s="919"/>
      <c r="AI213" s="919"/>
      <c r="AJ213" s="919"/>
      <c r="AK213" s="919"/>
      <c r="AL213" s="919"/>
      <c r="AM213" s="919"/>
      <c r="AN213" s="919"/>
      <c r="AO213" s="919"/>
      <c r="AP213" s="919"/>
      <c r="AQ213" s="919"/>
      <c r="AR213" s="919"/>
      <c r="AS213" s="919"/>
      <c r="AT213" s="919"/>
      <c r="AU213" s="919"/>
      <c r="AV213" s="919"/>
      <c r="AW213" s="919"/>
      <c r="AX213" s="919"/>
      <c r="AY213" s="919"/>
      <c r="AZ213" s="919"/>
      <c r="BA213" s="919"/>
      <c r="BB213" s="919"/>
      <c r="BC213" s="919"/>
      <c r="BD213" s="919"/>
      <c r="BE213" s="920"/>
      <c r="BF213" s="920"/>
      <c r="BG213" s="920"/>
      <c r="BH213" s="920"/>
      <c r="BI213" s="920"/>
      <c r="BJ213" s="920"/>
      <c r="BK213" s="920"/>
      <c r="BL213" s="920"/>
    </row>
    <row r="214">
      <c r="A214" s="901"/>
      <c r="B214" s="937" t="s">
        <v>106</v>
      </c>
      <c r="C214" s="938" t="s">
        <v>437</v>
      </c>
      <c r="D214" s="979" t="s">
        <v>70</v>
      </c>
      <c r="E214" s="995" t="s">
        <v>69</v>
      </c>
      <c r="F214" s="995" t="s">
        <v>69</v>
      </c>
      <c r="G214" s="995" t="s">
        <v>70</v>
      </c>
      <c r="H214" s="995" t="s">
        <v>69</v>
      </c>
      <c r="I214" s="995" t="s">
        <v>70</v>
      </c>
      <c r="J214" s="995" t="s">
        <v>69</v>
      </c>
      <c r="K214" s="995" t="s">
        <v>70</v>
      </c>
      <c r="L214" s="995" t="s">
        <v>69</v>
      </c>
      <c r="M214" s="995" t="s">
        <v>69</v>
      </c>
      <c r="N214" s="995" t="s">
        <v>69</v>
      </c>
      <c r="O214" s="995" t="s">
        <v>69</v>
      </c>
      <c r="P214" s="995"/>
      <c r="Q214" s="995" t="s">
        <v>69</v>
      </c>
      <c r="R214" s="995" t="s">
        <v>69</v>
      </c>
      <c r="S214" s="995" t="s">
        <v>70</v>
      </c>
      <c r="T214" s="995" t="s">
        <v>70</v>
      </c>
      <c r="U214" s="957" t="s">
        <v>69</v>
      </c>
      <c r="V214" s="957" t="s">
        <v>69</v>
      </c>
      <c r="W214" s="957" t="s">
        <v>70</v>
      </c>
      <c r="X214" s="966"/>
      <c r="Y214" s="966"/>
      <c r="Z214" s="966"/>
      <c r="AA214" s="966"/>
      <c r="AB214" s="966"/>
      <c r="AC214" s="966"/>
      <c r="AD214" s="966"/>
      <c r="AE214" s="966"/>
      <c r="AF214" s="966"/>
      <c r="AG214" s="966"/>
      <c r="AH214" s="919"/>
      <c r="AI214" s="919"/>
      <c r="AJ214" s="919"/>
      <c r="AK214" s="919"/>
      <c r="AL214" s="919"/>
      <c r="AM214" s="919"/>
      <c r="AN214" s="919"/>
      <c r="AO214" s="919"/>
      <c r="AP214" s="919"/>
      <c r="AQ214" s="919"/>
      <c r="AR214" s="919"/>
      <c r="AS214" s="919"/>
      <c r="AT214" s="919"/>
      <c r="AU214" s="919"/>
      <c r="AV214" s="919"/>
      <c r="AW214" s="919"/>
      <c r="AX214" s="919"/>
      <c r="AY214" s="919"/>
      <c r="AZ214" s="919"/>
      <c r="BA214" s="919"/>
      <c r="BB214" s="919"/>
      <c r="BC214" s="919"/>
      <c r="BD214" s="919"/>
      <c r="BE214" s="920"/>
      <c r="BF214" s="920"/>
      <c r="BG214" s="920"/>
      <c r="BH214" s="920"/>
      <c r="BI214" s="920"/>
      <c r="BJ214" s="920"/>
      <c r="BK214" s="920"/>
      <c r="BL214" s="920"/>
    </row>
    <row r="215">
      <c r="A215" s="901"/>
      <c r="B215" s="940" t="s">
        <v>1226</v>
      </c>
      <c r="C215" s="940" t="s">
        <v>437</v>
      </c>
      <c r="D215" s="957" t="s">
        <v>100</v>
      </c>
      <c r="E215" s="957" t="s">
        <v>100</v>
      </c>
      <c r="F215" s="957" t="s">
        <v>100</v>
      </c>
      <c r="G215" s="957" t="s">
        <v>100</v>
      </c>
      <c r="H215" s="957" t="s">
        <v>100</v>
      </c>
      <c r="I215" s="957" t="s">
        <v>100</v>
      </c>
      <c r="J215" s="957" t="s">
        <v>100</v>
      </c>
      <c r="K215" s="957" t="s">
        <v>100</v>
      </c>
      <c r="L215" s="957" t="s">
        <v>100</v>
      </c>
      <c r="M215" s="957" t="s">
        <v>100</v>
      </c>
      <c r="N215" s="995" t="s">
        <v>69</v>
      </c>
      <c r="O215" s="995" t="s">
        <v>69</v>
      </c>
      <c r="P215" s="995"/>
      <c r="Q215" s="995" t="s">
        <v>69</v>
      </c>
      <c r="R215" s="995" t="s">
        <v>69</v>
      </c>
      <c r="S215" s="995" t="s">
        <v>70</v>
      </c>
      <c r="T215" s="995" t="s">
        <v>70</v>
      </c>
      <c r="U215" s="997"/>
      <c r="V215" s="997"/>
      <c r="W215" s="997"/>
      <c r="X215" s="966"/>
      <c r="Y215" s="966"/>
      <c r="Z215" s="966"/>
      <c r="AA215" s="966"/>
      <c r="AB215" s="966"/>
      <c r="AC215" s="966"/>
      <c r="AD215" s="966"/>
      <c r="AE215" s="966"/>
      <c r="AF215" s="966"/>
      <c r="AG215" s="966"/>
      <c r="AH215" s="919"/>
      <c r="AI215" s="919"/>
      <c r="AJ215" s="919"/>
      <c r="AK215" s="919"/>
      <c r="AL215" s="919"/>
      <c r="AM215" s="919"/>
      <c r="AN215" s="919"/>
      <c r="AO215" s="919"/>
      <c r="AP215" s="919"/>
      <c r="AQ215" s="919"/>
      <c r="AR215" s="919"/>
      <c r="AS215" s="919"/>
      <c r="AT215" s="919"/>
      <c r="AU215" s="919"/>
      <c r="AV215" s="919"/>
      <c r="AW215" s="919"/>
      <c r="AX215" s="919"/>
      <c r="AY215" s="919"/>
      <c r="AZ215" s="919"/>
      <c r="BA215" s="919"/>
      <c r="BB215" s="919"/>
      <c r="BC215" s="919"/>
      <c r="BD215" s="919"/>
      <c r="BE215" s="920"/>
      <c r="BF215" s="920"/>
      <c r="BG215" s="920"/>
      <c r="BH215" s="920"/>
      <c r="BI215" s="920"/>
      <c r="BJ215" s="920"/>
      <c r="BK215" s="920"/>
      <c r="BL215" s="920"/>
    </row>
    <row r="216">
      <c r="A216" s="1013"/>
      <c r="B216" s="940" t="s">
        <v>60</v>
      </c>
      <c r="C216" s="940" t="s">
        <v>437</v>
      </c>
      <c r="D216" s="957" t="s">
        <v>100</v>
      </c>
      <c r="E216" s="957" t="s">
        <v>100</v>
      </c>
      <c r="F216" s="957" t="s">
        <v>100</v>
      </c>
      <c r="G216" s="957" t="s">
        <v>100</v>
      </c>
      <c r="H216" s="957" t="s">
        <v>100</v>
      </c>
      <c r="I216" s="957" t="s">
        <v>100</v>
      </c>
      <c r="J216" s="957" t="s">
        <v>100</v>
      </c>
      <c r="K216" s="957" t="s">
        <v>100</v>
      </c>
      <c r="L216" s="957" t="s">
        <v>100</v>
      </c>
      <c r="M216" s="957" t="s">
        <v>100</v>
      </c>
      <c r="N216" s="957" t="s">
        <v>100</v>
      </c>
      <c r="O216" s="957" t="s">
        <v>100</v>
      </c>
      <c r="P216" s="957"/>
      <c r="Q216" s="957" t="s">
        <v>100</v>
      </c>
      <c r="R216" s="957" t="s">
        <v>100</v>
      </c>
      <c r="S216" s="957" t="s">
        <v>100</v>
      </c>
      <c r="T216" s="957" t="s">
        <v>100</v>
      </c>
      <c r="U216" s="966"/>
      <c r="V216" s="966"/>
      <c r="W216" s="966"/>
      <c r="X216" s="966"/>
      <c r="Y216" s="966"/>
      <c r="Z216" s="966"/>
      <c r="AA216" s="966"/>
      <c r="AB216" s="966"/>
      <c r="AC216" s="966"/>
      <c r="AD216" s="966"/>
      <c r="AE216" s="966"/>
      <c r="AF216" s="966"/>
      <c r="AG216" s="966"/>
      <c r="AH216" s="919"/>
      <c r="AI216" s="919"/>
      <c r="AJ216" s="919"/>
      <c r="AK216" s="919"/>
      <c r="AL216" s="919"/>
      <c r="AM216" s="919"/>
      <c r="AN216" s="919"/>
      <c r="AO216" s="919"/>
      <c r="AP216" s="919"/>
      <c r="AQ216" s="919"/>
      <c r="AR216" s="919"/>
      <c r="AS216" s="919"/>
      <c r="AT216" s="919"/>
      <c r="AU216" s="919"/>
      <c r="AV216" s="919"/>
      <c r="AW216" s="919"/>
      <c r="AX216" s="919"/>
      <c r="AY216" s="919"/>
      <c r="AZ216" s="919"/>
      <c r="BA216" s="919"/>
      <c r="BB216" s="919"/>
      <c r="BC216" s="919"/>
      <c r="BD216" s="919"/>
      <c r="BE216" s="920"/>
      <c r="BF216" s="920"/>
      <c r="BG216" s="920"/>
      <c r="BH216" s="920"/>
      <c r="BI216" s="920"/>
      <c r="BJ216" s="920"/>
      <c r="BK216" s="920"/>
      <c r="BL216" s="920"/>
    </row>
    <row r="217">
      <c r="A217" s="1007"/>
      <c r="B217" s="937" t="s">
        <v>61</v>
      </c>
      <c r="C217" s="937" t="s">
        <v>437</v>
      </c>
      <c r="D217" s="1014"/>
      <c r="E217" s="966"/>
      <c r="F217" s="966"/>
      <c r="G217" s="966"/>
      <c r="H217" s="966"/>
      <c r="I217" s="966"/>
      <c r="J217" s="966"/>
      <c r="K217" s="966"/>
      <c r="L217" s="966"/>
      <c r="M217" s="966"/>
      <c r="N217" s="966"/>
      <c r="O217" s="966"/>
      <c r="P217" s="966"/>
      <c r="Q217" s="966"/>
      <c r="R217" s="966"/>
      <c r="S217" s="966"/>
      <c r="T217" s="966"/>
      <c r="U217" s="957" t="s">
        <v>100</v>
      </c>
      <c r="V217" s="957" t="s">
        <v>100</v>
      </c>
      <c r="W217" s="957" t="s">
        <v>100</v>
      </c>
      <c r="X217" s="966"/>
      <c r="Y217" s="966"/>
      <c r="Z217" s="966"/>
      <c r="AA217" s="966"/>
      <c r="AB217" s="966"/>
      <c r="AC217" s="966"/>
      <c r="AD217" s="966"/>
      <c r="AE217" s="966"/>
      <c r="AF217" s="966"/>
      <c r="AG217" s="966"/>
      <c r="AH217" s="919"/>
      <c r="AI217" s="919"/>
      <c r="AJ217" s="919"/>
      <c r="AK217" s="919"/>
      <c r="AL217" s="919"/>
      <c r="AM217" s="919"/>
      <c r="AN217" s="919"/>
      <c r="AO217" s="919"/>
      <c r="AP217" s="919"/>
      <c r="AQ217" s="919"/>
      <c r="AR217" s="919"/>
      <c r="AS217" s="919"/>
      <c r="AT217" s="919"/>
      <c r="AU217" s="919"/>
      <c r="AV217" s="919"/>
      <c r="AW217" s="919"/>
      <c r="AX217" s="919"/>
      <c r="AY217" s="919"/>
      <c r="AZ217" s="919"/>
      <c r="BA217" s="919"/>
      <c r="BB217" s="919"/>
      <c r="BC217" s="919"/>
      <c r="BD217" s="919"/>
      <c r="BE217" s="920"/>
      <c r="BF217" s="920"/>
      <c r="BG217" s="920"/>
      <c r="BH217" s="920"/>
      <c r="BI217" s="920"/>
      <c r="BJ217" s="920"/>
      <c r="BK217" s="920"/>
      <c r="BL217" s="920"/>
    </row>
    <row r="218">
      <c r="A218" s="1007"/>
      <c r="B218" s="1015" t="s">
        <v>1227</v>
      </c>
      <c r="C218" s="937" t="s">
        <v>437</v>
      </c>
      <c r="D218" s="1014"/>
      <c r="E218" s="966"/>
      <c r="F218" s="966"/>
      <c r="G218" s="966"/>
      <c r="H218" s="966"/>
      <c r="I218" s="966"/>
      <c r="J218" s="966"/>
      <c r="K218" s="966"/>
      <c r="L218" s="966"/>
      <c r="M218" s="966"/>
      <c r="N218" s="966"/>
      <c r="O218" s="966"/>
      <c r="P218" s="966"/>
      <c r="Q218" s="966"/>
      <c r="R218" s="966"/>
      <c r="S218" s="966"/>
      <c r="T218" s="966"/>
      <c r="U218" s="957" t="s">
        <v>69</v>
      </c>
      <c r="V218" s="957" t="s">
        <v>69</v>
      </c>
      <c r="W218" s="957" t="s">
        <v>70</v>
      </c>
      <c r="X218" s="966"/>
      <c r="Y218" s="966"/>
      <c r="Z218" s="966"/>
      <c r="AA218" s="966"/>
      <c r="AB218" s="966"/>
      <c r="AC218" s="966"/>
      <c r="AD218" s="966"/>
      <c r="AE218" s="966"/>
      <c r="AF218" s="966"/>
      <c r="AG218" s="966"/>
      <c r="AH218" s="919"/>
      <c r="AI218" s="919"/>
      <c r="AJ218" s="919"/>
      <c r="AK218" s="919"/>
      <c r="AL218" s="919"/>
      <c r="AM218" s="919"/>
      <c r="AN218" s="919"/>
      <c r="AO218" s="919"/>
      <c r="AP218" s="919"/>
      <c r="AQ218" s="919"/>
      <c r="AR218" s="919"/>
      <c r="AS218" s="919"/>
      <c r="AT218" s="919"/>
      <c r="AU218" s="919"/>
      <c r="AV218" s="919"/>
      <c r="AW218" s="919"/>
      <c r="AX218" s="919"/>
      <c r="AY218" s="919"/>
      <c r="AZ218" s="919"/>
      <c r="BA218" s="919"/>
      <c r="BB218" s="919"/>
      <c r="BC218" s="919"/>
      <c r="BD218" s="919"/>
      <c r="BE218" s="920"/>
      <c r="BF218" s="920"/>
      <c r="BG218" s="920"/>
      <c r="BH218" s="920"/>
      <c r="BI218" s="920"/>
      <c r="BJ218" s="920"/>
      <c r="BK218" s="920"/>
      <c r="BL218" s="920"/>
    </row>
    <row r="219">
      <c r="A219" s="899" t="s">
        <v>68</v>
      </c>
      <c r="B219" s="900"/>
      <c r="D219" s="918"/>
      <c r="T219" s="71"/>
      <c r="U219" s="671"/>
      <c r="V219" s="671"/>
      <c r="W219" s="671"/>
      <c r="X219" s="919"/>
      <c r="Y219" s="919"/>
      <c r="Z219" s="919"/>
      <c r="AA219" s="919"/>
      <c r="AB219" s="919"/>
      <c r="AC219" s="919"/>
      <c r="AD219" s="919"/>
      <c r="AE219" s="919"/>
      <c r="AF219" s="919"/>
      <c r="AG219" s="919"/>
      <c r="AH219" s="919"/>
      <c r="AI219" s="919"/>
      <c r="AJ219" s="919"/>
      <c r="AK219" s="919"/>
      <c r="AL219" s="919"/>
      <c r="AM219" s="919"/>
      <c r="AN219" s="919"/>
      <c r="AO219" s="919"/>
      <c r="AP219" s="919"/>
      <c r="AQ219" s="919"/>
      <c r="AR219" s="919"/>
      <c r="AS219" s="919"/>
      <c r="AT219" s="919"/>
      <c r="AU219" s="919"/>
      <c r="AV219" s="919"/>
      <c r="AW219" s="919"/>
      <c r="AX219" s="919"/>
      <c r="AY219" s="919"/>
      <c r="AZ219" s="919"/>
      <c r="BA219" s="919"/>
      <c r="BB219" s="919"/>
      <c r="BC219" s="919"/>
      <c r="BD219" s="919"/>
      <c r="BE219" s="920"/>
      <c r="BF219" s="920"/>
      <c r="BG219" s="920"/>
      <c r="BH219" s="920"/>
      <c r="BI219" s="920"/>
      <c r="BJ219" s="920"/>
      <c r="BK219" s="920"/>
      <c r="BL219" s="920"/>
    </row>
    <row r="220">
      <c r="A220" s="901"/>
      <c r="B220" s="790" t="s">
        <v>69</v>
      </c>
      <c r="D220" s="791">
        <f t="shared" ref="D220:O220" si="57">COUNTIF(D190:D216,"Voor")</f>
        <v>2</v>
      </c>
      <c r="E220" s="902">
        <f t="shared" si="57"/>
        <v>13</v>
      </c>
      <c r="F220" s="902">
        <f t="shared" si="57"/>
        <v>15</v>
      </c>
      <c r="G220" s="902">
        <f t="shared" si="57"/>
        <v>8</v>
      </c>
      <c r="H220" s="902">
        <f t="shared" si="57"/>
        <v>15</v>
      </c>
      <c r="I220" s="902">
        <f t="shared" si="57"/>
        <v>8</v>
      </c>
      <c r="J220" s="902">
        <f t="shared" si="57"/>
        <v>16</v>
      </c>
      <c r="K220" s="902">
        <f t="shared" si="57"/>
        <v>8</v>
      </c>
      <c r="L220" s="902">
        <f t="shared" si="57"/>
        <v>9</v>
      </c>
      <c r="M220" s="902">
        <f t="shared" si="57"/>
        <v>3</v>
      </c>
      <c r="N220" s="902">
        <f t="shared" si="57"/>
        <v>4</v>
      </c>
      <c r="O220" s="902">
        <f t="shared" si="57"/>
        <v>4</v>
      </c>
      <c r="P220" s="902"/>
      <c r="Q220" s="902">
        <f t="shared" ref="Q220:T220" si="58">COUNTIF(Q190:Q216,"Voor")</f>
        <v>4</v>
      </c>
      <c r="R220" s="902">
        <f t="shared" si="58"/>
        <v>4</v>
      </c>
      <c r="S220" s="902">
        <f t="shared" si="58"/>
        <v>13</v>
      </c>
      <c r="T220" s="902">
        <f t="shared" si="58"/>
        <v>7</v>
      </c>
      <c r="U220" s="902">
        <f t="shared" ref="U220:W220" si="59">COUNTIF(U190:U218,"Voor")</f>
        <v>6</v>
      </c>
      <c r="V220" s="902">
        <f t="shared" si="59"/>
        <v>16</v>
      </c>
      <c r="W220" s="902">
        <f t="shared" si="59"/>
        <v>8</v>
      </c>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c r="BC220" s="919"/>
      <c r="BD220" s="919"/>
      <c r="BE220" s="920"/>
      <c r="BF220" s="920"/>
      <c r="BG220" s="920"/>
      <c r="BH220" s="920"/>
      <c r="BI220" s="920"/>
      <c r="BJ220" s="920"/>
      <c r="BK220" s="920"/>
      <c r="BL220" s="920"/>
    </row>
    <row r="221">
      <c r="A221" s="901"/>
      <c r="B221" s="792" t="s">
        <v>70</v>
      </c>
      <c r="D221" s="793">
        <f t="shared" ref="D221:O221" si="60">COUNTIF(D190:D216,"Tegen")</f>
        <v>15</v>
      </c>
      <c r="E221" s="903">
        <f t="shared" si="60"/>
        <v>1</v>
      </c>
      <c r="F221" s="903">
        <f t="shared" si="60"/>
        <v>1</v>
      </c>
      <c r="G221" s="903">
        <f t="shared" si="60"/>
        <v>5</v>
      </c>
      <c r="H221" s="903">
        <f t="shared" si="60"/>
        <v>0</v>
      </c>
      <c r="I221" s="903">
        <f t="shared" si="60"/>
        <v>9</v>
      </c>
      <c r="J221" s="903">
        <f t="shared" si="60"/>
        <v>0</v>
      </c>
      <c r="K221" s="903">
        <f t="shared" si="60"/>
        <v>9</v>
      </c>
      <c r="L221" s="903">
        <f t="shared" si="60"/>
        <v>9</v>
      </c>
      <c r="M221" s="903">
        <f t="shared" si="60"/>
        <v>15</v>
      </c>
      <c r="N221" s="903">
        <f t="shared" si="60"/>
        <v>13</v>
      </c>
      <c r="O221" s="903">
        <f t="shared" si="60"/>
        <v>13</v>
      </c>
      <c r="P221" s="903"/>
      <c r="Q221" s="903">
        <f t="shared" ref="Q221:T221" si="61">COUNTIF(Q190:Q216,"Tegen")</f>
        <v>13</v>
      </c>
      <c r="R221" s="903">
        <f t="shared" si="61"/>
        <v>14</v>
      </c>
      <c r="S221" s="903">
        <f t="shared" si="61"/>
        <v>5</v>
      </c>
      <c r="T221" s="903">
        <f t="shared" si="61"/>
        <v>11</v>
      </c>
      <c r="U221" s="903">
        <f t="shared" ref="U221:W221" si="62">COUNTIF(U190:U218,"Tegen")</f>
        <v>10</v>
      </c>
      <c r="V221" s="903">
        <f t="shared" si="62"/>
        <v>0</v>
      </c>
      <c r="W221" s="903">
        <f t="shared" si="62"/>
        <v>8</v>
      </c>
      <c r="X221" s="919"/>
      <c r="Y221" s="919"/>
      <c r="Z221" s="919"/>
      <c r="AA221" s="919"/>
      <c r="AB221" s="919"/>
      <c r="AC221" s="919"/>
      <c r="AD221" s="919"/>
      <c r="AE221" s="919"/>
      <c r="AF221" s="919"/>
      <c r="AG221" s="919"/>
      <c r="AH221" s="919"/>
      <c r="AI221" s="919"/>
      <c r="AJ221" s="919"/>
      <c r="AK221" s="919"/>
      <c r="AL221" s="919"/>
      <c r="AM221" s="919"/>
      <c r="AN221" s="919"/>
      <c r="AO221" s="919"/>
      <c r="AP221" s="919"/>
      <c r="AQ221" s="919"/>
      <c r="AR221" s="919"/>
      <c r="AS221" s="919"/>
      <c r="AT221" s="919"/>
      <c r="AU221" s="919"/>
      <c r="AV221" s="919"/>
      <c r="AW221" s="919"/>
      <c r="AX221" s="919"/>
      <c r="AY221" s="919"/>
      <c r="AZ221" s="919"/>
      <c r="BA221" s="919"/>
      <c r="BB221" s="919"/>
      <c r="BC221" s="919"/>
      <c r="BD221" s="919"/>
      <c r="BE221" s="920"/>
      <c r="BF221" s="920"/>
      <c r="BG221" s="920"/>
      <c r="BH221" s="920"/>
      <c r="BI221" s="920"/>
      <c r="BJ221" s="920"/>
      <c r="BK221" s="920"/>
      <c r="BL221" s="920"/>
    </row>
    <row r="222">
      <c r="A222" s="901"/>
      <c r="B222" s="794" t="s">
        <v>71</v>
      </c>
      <c r="D222" s="795">
        <f t="shared" ref="D222:O222" si="63">COUNTIF(D190:D216,"SO")</f>
        <v>0</v>
      </c>
      <c r="E222" s="904">
        <f t="shared" si="63"/>
        <v>3</v>
      </c>
      <c r="F222" s="904">
        <f t="shared" si="63"/>
        <v>1</v>
      </c>
      <c r="G222" s="904">
        <f t="shared" si="63"/>
        <v>4</v>
      </c>
      <c r="H222" s="904">
        <f t="shared" si="63"/>
        <v>2</v>
      </c>
      <c r="I222" s="904">
        <f t="shared" si="63"/>
        <v>0</v>
      </c>
      <c r="J222" s="904">
        <f t="shared" si="63"/>
        <v>1</v>
      </c>
      <c r="K222" s="904">
        <f t="shared" si="63"/>
        <v>0</v>
      </c>
      <c r="L222" s="904">
        <f t="shared" si="63"/>
        <v>0</v>
      </c>
      <c r="M222" s="904">
        <f t="shared" si="63"/>
        <v>0</v>
      </c>
      <c r="N222" s="904">
        <f t="shared" si="63"/>
        <v>0</v>
      </c>
      <c r="O222" s="904">
        <f t="shared" si="63"/>
        <v>0</v>
      </c>
      <c r="P222" s="904"/>
      <c r="Q222" s="904">
        <f t="shared" ref="Q222:T222" si="64">COUNTIF(Q190:Q216,"SO")</f>
        <v>0</v>
      </c>
      <c r="R222" s="904">
        <f t="shared" si="64"/>
        <v>0</v>
      </c>
      <c r="S222" s="904">
        <f t="shared" si="64"/>
        <v>0</v>
      </c>
      <c r="T222" s="904">
        <f t="shared" si="64"/>
        <v>0</v>
      </c>
      <c r="U222" s="904">
        <f t="shared" ref="U222:W222" si="65">COUNTIF(U190:U218,"SO")</f>
        <v>0</v>
      </c>
      <c r="V222" s="904">
        <f t="shared" si="65"/>
        <v>0</v>
      </c>
      <c r="W222" s="904">
        <f t="shared" si="65"/>
        <v>0</v>
      </c>
      <c r="X222" s="919"/>
      <c r="Y222" s="919"/>
      <c r="Z222" s="919"/>
      <c r="AA222" s="919"/>
      <c r="AB222" s="919"/>
      <c r="AC222" s="919"/>
      <c r="AD222" s="919"/>
      <c r="AE222" s="919"/>
      <c r="AF222" s="919"/>
      <c r="AG222" s="919"/>
      <c r="AH222" s="919"/>
      <c r="AI222" s="919"/>
      <c r="AJ222" s="919"/>
      <c r="AK222" s="919"/>
      <c r="AL222" s="919"/>
      <c r="AM222" s="919"/>
      <c r="AN222" s="919"/>
      <c r="AO222" s="919"/>
      <c r="AP222" s="919"/>
      <c r="AQ222" s="919"/>
      <c r="AR222" s="919"/>
      <c r="AS222" s="919"/>
      <c r="AT222" s="919"/>
      <c r="AU222" s="919"/>
      <c r="AV222" s="919"/>
      <c r="AW222" s="919"/>
      <c r="AX222" s="919"/>
      <c r="AY222" s="919"/>
      <c r="AZ222" s="919"/>
      <c r="BA222" s="919"/>
      <c r="BB222" s="919"/>
      <c r="BC222" s="919"/>
      <c r="BD222" s="919"/>
      <c r="BE222" s="920"/>
      <c r="BF222" s="920"/>
      <c r="BG222" s="920"/>
      <c r="BH222" s="920"/>
      <c r="BI222" s="920"/>
      <c r="BJ222" s="920"/>
      <c r="BK222" s="920"/>
      <c r="BL222" s="920"/>
    </row>
    <row r="223">
      <c r="A223" s="901"/>
      <c r="B223" s="796" t="s">
        <v>72</v>
      </c>
      <c r="D223" s="797">
        <f t="shared" ref="D223:O223" si="66">COUNTIF(D190:D216,"NG")</f>
        <v>7</v>
      </c>
      <c r="E223" s="905">
        <f t="shared" si="66"/>
        <v>7</v>
      </c>
      <c r="F223" s="905">
        <f t="shared" si="66"/>
        <v>7</v>
      </c>
      <c r="G223" s="905">
        <f t="shared" si="66"/>
        <v>7</v>
      </c>
      <c r="H223" s="905">
        <f t="shared" si="66"/>
        <v>7</v>
      </c>
      <c r="I223" s="905">
        <f t="shared" si="66"/>
        <v>7</v>
      </c>
      <c r="J223" s="905">
        <f t="shared" si="66"/>
        <v>7</v>
      </c>
      <c r="K223" s="905">
        <f t="shared" si="66"/>
        <v>7</v>
      </c>
      <c r="L223" s="905">
        <f t="shared" si="66"/>
        <v>7</v>
      </c>
      <c r="M223" s="905">
        <f t="shared" si="66"/>
        <v>7</v>
      </c>
      <c r="N223" s="905">
        <f t="shared" si="66"/>
        <v>7</v>
      </c>
      <c r="O223" s="905">
        <f t="shared" si="66"/>
        <v>7</v>
      </c>
      <c r="P223" s="905"/>
      <c r="Q223" s="905">
        <f t="shared" ref="Q223:W223" si="67">COUNTIF(Q190:Q216,"NG")</f>
        <v>7</v>
      </c>
      <c r="R223" s="905">
        <f t="shared" si="67"/>
        <v>7</v>
      </c>
      <c r="S223" s="905">
        <f t="shared" si="67"/>
        <v>7</v>
      </c>
      <c r="T223" s="905">
        <f t="shared" si="67"/>
        <v>7</v>
      </c>
      <c r="U223" s="905">
        <f t="shared" si="67"/>
        <v>8</v>
      </c>
      <c r="V223" s="905">
        <f t="shared" si="67"/>
        <v>8</v>
      </c>
      <c r="W223" s="905">
        <f t="shared" si="67"/>
        <v>8</v>
      </c>
      <c r="X223" s="919"/>
      <c r="Y223" s="919"/>
      <c r="Z223" s="919"/>
      <c r="AA223" s="919"/>
      <c r="AB223" s="919"/>
      <c r="AC223" s="919"/>
      <c r="AD223" s="919"/>
      <c r="AE223" s="919"/>
      <c r="AF223" s="919"/>
      <c r="AG223" s="919"/>
      <c r="AH223" s="919"/>
      <c r="AI223" s="919"/>
      <c r="AJ223" s="919"/>
      <c r="AK223" s="919"/>
      <c r="AL223" s="919"/>
      <c r="AM223" s="919"/>
      <c r="AN223" s="919"/>
      <c r="AO223" s="919"/>
      <c r="AP223" s="919"/>
      <c r="AQ223" s="919"/>
      <c r="AR223" s="919"/>
      <c r="AS223" s="919"/>
      <c r="AT223" s="919"/>
      <c r="AU223" s="919"/>
      <c r="AV223" s="919"/>
      <c r="AW223" s="919"/>
      <c r="AX223" s="919"/>
      <c r="AY223" s="919"/>
      <c r="AZ223" s="919"/>
      <c r="BA223" s="919"/>
      <c r="BB223" s="919"/>
      <c r="BC223" s="919"/>
      <c r="BD223" s="919"/>
      <c r="BE223" s="920"/>
      <c r="BF223" s="920"/>
      <c r="BG223" s="920"/>
      <c r="BH223" s="920"/>
      <c r="BI223" s="920"/>
      <c r="BJ223" s="920"/>
      <c r="BK223" s="920"/>
      <c r="BL223" s="920"/>
    </row>
    <row r="224">
      <c r="A224" s="901"/>
      <c r="B224" s="798" t="s">
        <v>73</v>
      </c>
      <c r="D224" s="799">
        <f t="shared" ref="D224:O224" si="68">SUM(D220:D223)</f>
        <v>24</v>
      </c>
      <c r="E224" s="906">
        <f t="shared" si="68"/>
        <v>24</v>
      </c>
      <c r="F224" s="906">
        <f t="shared" si="68"/>
        <v>24</v>
      </c>
      <c r="G224" s="906">
        <f t="shared" si="68"/>
        <v>24</v>
      </c>
      <c r="H224" s="906">
        <f t="shared" si="68"/>
        <v>24</v>
      </c>
      <c r="I224" s="906">
        <f t="shared" si="68"/>
        <v>24</v>
      </c>
      <c r="J224" s="906">
        <f t="shared" si="68"/>
        <v>24</v>
      </c>
      <c r="K224" s="906">
        <f t="shared" si="68"/>
        <v>24</v>
      </c>
      <c r="L224" s="906">
        <f t="shared" si="68"/>
        <v>25</v>
      </c>
      <c r="M224" s="906">
        <f t="shared" si="68"/>
        <v>25</v>
      </c>
      <c r="N224" s="906">
        <f t="shared" si="68"/>
        <v>24</v>
      </c>
      <c r="O224" s="906">
        <f t="shared" si="68"/>
        <v>24</v>
      </c>
      <c r="P224" s="906"/>
      <c r="Q224" s="906">
        <f t="shared" ref="Q224:W224" si="69">SUM(Q220:Q223)</f>
        <v>24</v>
      </c>
      <c r="R224" s="906">
        <f t="shared" si="69"/>
        <v>25</v>
      </c>
      <c r="S224" s="906">
        <f t="shared" si="69"/>
        <v>25</v>
      </c>
      <c r="T224" s="906">
        <f t="shared" si="69"/>
        <v>25</v>
      </c>
      <c r="U224" s="906">
        <f t="shared" si="69"/>
        <v>24</v>
      </c>
      <c r="V224" s="906">
        <f t="shared" si="69"/>
        <v>24</v>
      </c>
      <c r="W224" s="906">
        <f t="shared" si="69"/>
        <v>24</v>
      </c>
      <c r="X224" s="919"/>
      <c r="Y224" s="919"/>
      <c r="Z224" s="919"/>
      <c r="AA224" s="919"/>
      <c r="AB224" s="919"/>
      <c r="AC224" s="919"/>
      <c r="AD224" s="919"/>
      <c r="AE224" s="919"/>
      <c r="AF224" s="919"/>
      <c r="AG224" s="919"/>
      <c r="AH224" s="919"/>
      <c r="AI224" s="919"/>
      <c r="AJ224" s="919"/>
      <c r="AK224" s="919"/>
      <c r="AL224" s="919"/>
      <c r="AM224" s="919"/>
      <c r="AN224" s="919"/>
      <c r="AO224" s="919"/>
      <c r="AP224" s="919"/>
      <c r="AQ224" s="919"/>
      <c r="AR224" s="919"/>
      <c r="AS224" s="919"/>
      <c r="AT224" s="919"/>
      <c r="AU224" s="919"/>
      <c r="AV224" s="919"/>
      <c r="AW224" s="919"/>
      <c r="AX224" s="919"/>
      <c r="AY224" s="919"/>
      <c r="AZ224" s="919"/>
      <c r="BA224" s="919"/>
      <c r="BB224" s="919"/>
      <c r="BC224" s="919"/>
      <c r="BD224" s="919"/>
      <c r="BE224" s="920"/>
      <c r="BF224" s="920"/>
      <c r="BG224" s="920"/>
      <c r="BH224" s="920"/>
      <c r="BI224" s="920"/>
      <c r="BJ224" s="920"/>
      <c r="BK224" s="920"/>
      <c r="BL224" s="920"/>
    </row>
    <row r="225">
      <c r="A225" s="901"/>
      <c r="B225" s="800" t="s">
        <v>74</v>
      </c>
      <c r="D225" s="801">
        <f t="shared" ref="D225:O225" si="70">D220+D221+D222</f>
        <v>17</v>
      </c>
      <c r="E225" s="907">
        <f t="shared" si="70"/>
        <v>17</v>
      </c>
      <c r="F225" s="907">
        <f t="shared" si="70"/>
        <v>17</v>
      </c>
      <c r="G225" s="907">
        <f t="shared" si="70"/>
        <v>17</v>
      </c>
      <c r="H225" s="907">
        <f t="shared" si="70"/>
        <v>17</v>
      </c>
      <c r="I225" s="907">
        <f t="shared" si="70"/>
        <v>17</v>
      </c>
      <c r="J225" s="907">
        <f t="shared" si="70"/>
        <v>17</v>
      </c>
      <c r="K225" s="907">
        <f t="shared" si="70"/>
        <v>17</v>
      </c>
      <c r="L225" s="907">
        <f t="shared" si="70"/>
        <v>18</v>
      </c>
      <c r="M225" s="907">
        <f t="shared" si="70"/>
        <v>18</v>
      </c>
      <c r="N225" s="907">
        <f t="shared" si="70"/>
        <v>17</v>
      </c>
      <c r="O225" s="907">
        <f t="shared" si="70"/>
        <v>17</v>
      </c>
      <c r="P225" s="907"/>
      <c r="Q225" s="907">
        <f t="shared" ref="Q225:W225" si="71">Q220+Q221+Q222</f>
        <v>17</v>
      </c>
      <c r="R225" s="907">
        <f t="shared" si="71"/>
        <v>18</v>
      </c>
      <c r="S225" s="907">
        <f t="shared" si="71"/>
        <v>18</v>
      </c>
      <c r="T225" s="907">
        <f t="shared" si="71"/>
        <v>18</v>
      </c>
      <c r="U225" s="907">
        <f t="shared" si="71"/>
        <v>16</v>
      </c>
      <c r="V225" s="907">
        <f t="shared" si="71"/>
        <v>16</v>
      </c>
      <c r="W225" s="907">
        <f t="shared" si="71"/>
        <v>16</v>
      </c>
      <c r="X225" s="919"/>
      <c r="Y225" s="919"/>
      <c r="Z225" s="919"/>
      <c r="AA225" s="919"/>
      <c r="AB225" s="919"/>
      <c r="AC225" s="919"/>
      <c r="AD225" s="919"/>
      <c r="AE225" s="919"/>
      <c r="AF225" s="919"/>
      <c r="AG225" s="919"/>
      <c r="AH225" s="919"/>
      <c r="AI225" s="919"/>
      <c r="AJ225" s="919"/>
      <c r="AK225" s="919"/>
      <c r="AL225" s="919"/>
      <c r="AM225" s="919"/>
      <c r="AN225" s="919"/>
      <c r="AO225" s="919"/>
      <c r="AP225" s="919"/>
      <c r="AQ225" s="919"/>
      <c r="AR225" s="919"/>
      <c r="AS225" s="919"/>
      <c r="AT225" s="919"/>
      <c r="AU225" s="919"/>
      <c r="AV225" s="919"/>
      <c r="AW225" s="919"/>
      <c r="AX225" s="919"/>
      <c r="AY225" s="919"/>
      <c r="AZ225" s="919"/>
      <c r="BA225" s="919"/>
      <c r="BB225" s="919"/>
      <c r="BC225" s="919"/>
      <c r="BD225" s="919"/>
      <c r="BE225" s="920"/>
      <c r="BF225" s="920"/>
      <c r="BG225" s="920"/>
      <c r="BH225" s="920"/>
      <c r="BI225" s="920"/>
      <c r="BJ225" s="920"/>
      <c r="BK225" s="920"/>
      <c r="BL225" s="920"/>
    </row>
    <row r="226">
      <c r="A226" s="901"/>
      <c r="B226" s="854" t="s">
        <v>75</v>
      </c>
      <c r="D226" s="908">
        <f t="shared" ref="D226:O226" si="72">IFERROR(D225/D224,"")</f>
        <v>0.7083333333</v>
      </c>
      <c r="E226" s="910">
        <f t="shared" si="72"/>
        <v>0.7083333333</v>
      </c>
      <c r="F226" s="910">
        <f t="shared" si="72"/>
        <v>0.7083333333</v>
      </c>
      <c r="G226" s="910">
        <f t="shared" si="72"/>
        <v>0.7083333333</v>
      </c>
      <c r="H226" s="910">
        <f t="shared" si="72"/>
        <v>0.7083333333</v>
      </c>
      <c r="I226" s="910">
        <f t="shared" si="72"/>
        <v>0.7083333333</v>
      </c>
      <c r="J226" s="910">
        <f t="shared" si="72"/>
        <v>0.7083333333</v>
      </c>
      <c r="K226" s="910">
        <f t="shared" si="72"/>
        <v>0.7083333333</v>
      </c>
      <c r="L226" s="910">
        <f t="shared" si="72"/>
        <v>0.72</v>
      </c>
      <c r="M226" s="910">
        <f t="shared" si="72"/>
        <v>0.72</v>
      </c>
      <c r="N226" s="910">
        <f t="shared" si="72"/>
        <v>0.7083333333</v>
      </c>
      <c r="O226" s="910">
        <f t="shared" si="72"/>
        <v>0.7083333333</v>
      </c>
      <c r="P226" s="910"/>
      <c r="Q226" s="910">
        <f t="shared" ref="Q226:W226" si="73">IFERROR(Q225/Q224,"")</f>
        <v>0.7083333333</v>
      </c>
      <c r="R226" s="910">
        <f t="shared" si="73"/>
        <v>0.72</v>
      </c>
      <c r="S226" s="910">
        <f t="shared" si="73"/>
        <v>0.72</v>
      </c>
      <c r="T226" s="910">
        <f t="shared" si="73"/>
        <v>0.72</v>
      </c>
      <c r="U226" s="910">
        <f t="shared" si="73"/>
        <v>0.6666666667</v>
      </c>
      <c r="V226" s="910">
        <f t="shared" si="73"/>
        <v>0.6666666667</v>
      </c>
      <c r="W226" s="910">
        <f t="shared" si="73"/>
        <v>0.6666666667</v>
      </c>
      <c r="X226" s="919"/>
      <c r="Y226" s="919"/>
      <c r="Z226" s="919"/>
      <c r="AA226" s="919"/>
      <c r="AB226" s="919"/>
      <c r="AC226" s="919"/>
      <c r="AD226" s="919"/>
      <c r="AE226" s="919"/>
      <c r="AF226" s="919"/>
      <c r="AG226" s="919"/>
      <c r="AH226" s="919"/>
      <c r="AI226" s="919"/>
      <c r="AJ226" s="919"/>
      <c r="AK226" s="919"/>
      <c r="AL226" s="919"/>
      <c r="AM226" s="919"/>
      <c r="AN226" s="919"/>
      <c r="AO226" s="919"/>
      <c r="AP226" s="919"/>
      <c r="AQ226" s="919"/>
      <c r="AR226" s="919"/>
      <c r="AS226" s="919"/>
      <c r="AT226" s="919"/>
      <c r="AU226" s="919"/>
      <c r="AV226" s="919"/>
      <c r="AW226" s="919"/>
      <c r="AX226" s="919"/>
      <c r="AY226" s="919"/>
      <c r="AZ226" s="919"/>
      <c r="BA226" s="919"/>
      <c r="BB226" s="919"/>
      <c r="BC226" s="919" t="str">
        <f t="shared" ref="BC226:BD226" si="74">IFERROR(BC225/BC224,"")</f>
        <v/>
      </c>
      <c r="BD226" s="919" t="str">
        <f t="shared" si="74"/>
        <v/>
      </c>
      <c r="BE226" s="920"/>
      <c r="BF226" s="920"/>
      <c r="BG226" s="920"/>
      <c r="BH226" s="920"/>
      <c r="BI226" s="920"/>
      <c r="BJ226" s="920"/>
      <c r="BK226" s="920"/>
      <c r="BL226" s="920"/>
    </row>
    <row r="227">
      <c r="A227" s="912"/>
      <c r="D227" s="913"/>
      <c r="E227" s="914"/>
      <c r="F227" s="914"/>
      <c r="G227" s="914"/>
      <c r="H227" s="914"/>
      <c r="I227" s="914"/>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5"/>
      <c r="BE227" s="730"/>
      <c r="BF227" s="730"/>
      <c r="BG227" s="730"/>
      <c r="BH227" s="730"/>
      <c r="BI227" s="730"/>
      <c r="BJ227" s="730"/>
      <c r="BK227" s="730"/>
      <c r="BL227" s="730"/>
    </row>
    <row r="228">
      <c r="A228" s="731"/>
      <c r="B228" s="732" t="s">
        <v>1170</v>
      </c>
      <c r="C228" s="732" t="s">
        <v>7</v>
      </c>
      <c r="D228" s="918"/>
      <c r="AF228" s="919"/>
      <c r="AG228" s="919"/>
      <c r="AH228" s="919"/>
      <c r="AI228" s="919"/>
      <c r="AJ228" s="919"/>
      <c r="AK228" s="919"/>
      <c r="AL228" s="919"/>
      <c r="AM228" s="919"/>
      <c r="AN228" s="919"/>
      <c r="AO228" s="919"/>
      <c r="AP228" s="919"/>
      <c r="AQ228" s="919"/>
      <c r="AR228" s="919"/>
      <c r="AS228" s="919"/>
      <c r="AT228" s="919"/>
      <c r="AU228" s="919"/>
      <c r="AV228" s="919"/>
      <c r="AW228" s="919"/>
      <c r="AX228" s="919"/>
      <c r="AY228" s="919"/>
      <c r="AZ228" s="919"/>
      <c r="BA228" s="919"/>
      <c r="BB228" s="919"/>
      <c r="BC228" s="919"/>
      <c r="BD228" s="919"/>
      <c r="BE228" s="920"/>
      <c r="BF228" s="920"/>
      <c r="BG228" s="920"/>
      <c r="BH228" s="920"/>
      <c r="BI228" s="920"/>
      <c r="BJ228" s="920"/>
      <c r="BK228" s="920"/>
      <c r="BL228" s="920"/>
    </row>
    <row r="229">
      <c r="A229" s="735" t="s">
        <v>432</v>
      </c>
      <c r="D229" s="992" t="s">
        <v>424</v>
      </c>
      <c r="E229" s="993" t="s">
        <v>425</v>
      </c>
      <c r="F229" s="993" t="s">
        <v>426</v>
      </c>
      <c r="G229" s="993" t="s">
        <v>427</v>
      </c>
      <c r="H229" s="993" t="s">
        <v>428</v>
      </c>
      <c r="I229" s="993" t="s">
        <v>429</v>
      </c>
      <c r="J229" s="993" t="s">
        <v>430</v>
      </c>
      <c r="K229" s="993" t="s">
        <v>433</v>
      </c>
      <c r="L229" s="993" t="s">
        <v>435</v>
      </c>
      <c r="M229" s="993" t="s">
        <v>436</v>
      </c>
      <c r="N229" s="406" t="s">
        <v>438</v>
      </c>
      <c r="O229" s="993" t="s">
        <v>439</v>
      </c>
      <c r="P229" s="993"/>
      <c r="Q229" s="993" t="s">
        <v>741</v>
      </c>
      <c r="R229" s="993" t="s">
        <v>743</v>
      </c>
      <c r="S229" s="993" t="s">
        <v>442</v>
      </c>
      <c r="T229" s="993" t="s">
        <v>444</v>
      </c>
      <c r="U229" s="993" t="s">
        <v>446</v>
      </c>
      <c r="V229" s="993" t="s">
        <v>451</v>
      </c>
      <c r="W229" s="993" t="s">
        <v>453</v>
      </c>
      <c r="X229" s="993" t="s">
        <v>455</v>
      </c>
      <c r="Y229" s="993" t="s">
        <v>744</v>
      </c>
      <c r="Z229" s="993" t="s">
        <v>457</v>
      </c>
      <c r="AA229" s="993" t="s">
        <v>459</v>
      </c>
      <c r="AB229" s="406" t="s">
        <v>89</v>
      </c>
      <c r="AC229" s="993" t="s">
        <v>469</v>
      </c>
      <c r="AD229" s="406" t="s">
        <v>1228</v>
      </c>
      <c r="AE229" s="406" t="s">
        <v>1229</v>
      </c>
      <c r="AF229" s="919"/>
      <c r="AG229" s="919"/>
      <c r="AH229" s="919"/>
      <c r="AI229" s="919"/>
      <c r="AJ229" s="919"/>
      <c r="AK229" s="919"/>
      <c r="AL229" s="919"/>
      <c r="AM229" s="919"/>
      <c r="AN229" s="919"/>
      <c r="AO229" s="919"/>
      <c r="AP229" s="919"/>
      <c r="AQ229" s="919"/>
      <c r="AR229" s="919"/>
      <c r="AS229" s="919"/>
      <c r="AT229" s="919"/>
      <c r="AU229" s="919"/>
      <c r="AV229" s="919"/>
      <c r="AW229" s="919"/>
      <c r="AX229" s="919"/>
      <c r="AY229" s="919"/>
      <c r="AZ229" s="919"/>
      <c r="BA229" s="919"/>
      <c r="BB229" s="919"/>
      <c r="BC229" s="919"/>
      <c r="BD229" s="919"/>
      <c r="BE229" s="920"/>
      <c r="BF229" s="920"/>
      <c r="BG229" s="920"/>
      <c r="BH229" s="920"/>
      <c r="BI229" s="920"/>
      <c r="BJ229" s="920"/>
      <c r="BK229" s="920"/>
      <c r="BL229" s="920"/>
    </row>
    <row r="230">
      <c r="A230" s="994" t="s">
        <v>1230</v>
      </c>
      <c r="B230" s="872" t="s">
        <v>1211</v>
      </c>
      <c r="C230" s="1016" t="s">
        <v>107</v>
      </c>
      <c r="D230" s="957" t="s">
        <v>69</v>
      </c>
      <c r="E230" s="957" t="s">
        <v>69</v>
      </c>
      <c r="F230" s="957" t="s">
        <v>69</v>
      </c>
      <c r="G230" s="957" t="s">
        <v>69</v>
      </c>
      <c r="H230" s="957" t="s">
        <v>69</v>
      </c>
      <c r="I230" s="957" t="s">
        <v>69</v>
      </c>
      <c r="J230" s="957" t="s">
        <v>70</v>
      </c>
      <c r="K230" s="957" t="s">
        <v>70</v>
      </c>
      <c r="L230" s="957" t="s">
        <v>99</v>
      </c>
      <c r="M230" s="957" t="s">
        <v>69</v>
      </c>
      <c r="N230" s="957" t="s">
        <v>70</v>
      </c>
      <c r="O230" s="957" t="s">
        <v>70</v>
      </c>
      <c r="P230" s="957"/>
      <c r="Q230" s="957" t="s">
        <v>69</v>
      </c>
      <c r="R230" s="957" t="s">
        <v>99</v>
      </c>
      <c r="S230" s="957" t="s">
        <v>69</v>
      </c>
      <c r="T230" s="957" t="s">
        <v>69</v>
      </c>
      <c r="U230" s="1009" t="s">
        <v>70</v>
      </c>
      <c r="V230" s="1017" t="s">
        <v>69</v>
      </c>
      <c r="W230" s="1017" t="s">
        <v>69</v>
      </c>
      <c r="X230" s="1017" t="s">
        <v>69</v>
      </c>
      <c r="Y230" s="1017" t="s">
        <v>69</v>
      </c>
      <c r="Z230" s="973" t="s">
        <v>69</v>
      </c>
      <c r="AA230" s="1010" t="s">
        <v>70</v>
      </c>
      <c r="AB230" s="1017" t="s">
        <v>69</v>
      </c>
      <c r="AC230" s="1017" t="s">
        <v>69</v>
      </c>
      <c r="AD230" s="1010" t="s">
        <v>70</v>
      </c>
      <c r="AE230" s="1017" t="s">
        <v>69</v>
      </c>
      <c r="AF230" s="919"/>
      <c r="AG230" s="919"/>
      <c r="AH230" s="919"/>
      <c r="AI230" s="919"/>
      <c r="AJ230" s="919"/>
      <c r="AK230" s="919"/>
      <c r="AL230" s="919"/>
      <c r="AM230" s="919"/>
      <c r="AN230" s="919"/>
      <c r="AO230" s="919"/>
      <c r="AP230" s="919"/>
      <c r="AQ230" s="919"/>
      <c r="AR230" s="919"/>
      <c r="AS230" s="919"/>
      <c r="AT230" s="919"/>
      <c r="AU230" s="919"/>
      <c r="AV230" s="919"/>
      <c r="AW230" s="919"/>
      <c r="AX230" s="919"/>
      <c r="AY230" s="919"/>
      <c r="AZ230" s="919"/>
      <c r="BA230" s="919"/>
      <c r="BB230" s="919"/>
      <c r="BC230" s="919"/>
      <c r="BD230" s="919"/>
      <c r="BE230" s="920"/>
      <c r="BF230" s="920"/>
      <c r="BG230" s="920"/>
      <c r="BH230" s="920"/>
      <c r="BI230" s="920"/>
      <c r="BJ230" s="920"/>
      <c r="BK230" s="920"/>
      <c r="BL230" s="920"/>
    </row>
    <row r="231">
      <c r="A231" s="901"/>
      <c r="B231" s="1018" t="s">
        <v>1224</v>
      </c>
      <c r="C231" s="874" t="s">
        <v>107</v>
      </c>
      <c r="D231" s="957" t="s">
        <v>69</v>
      </c>
      <c r="E231" s="957" t="s">
        <v>69</v>
      </c>
      <c r="F231" s="957" t="s">
        <v>69</v>
      </c>
      <c r="G231" s="957" t="s">
        <v>69</v>
      </c>
      <c r="H231" s="957" t="s">
        <v>69</v>
      </c>
      <c r="I231" s="957" t="s">
        <v>69</v>
      </c>
      <c r="J231" s="957" t="s">
        <v>70</v>
      </c>
      <c r="K231" s="957" t="s">
        <v>70</v>
      </c>
      <c r="L231" s="957" t="s">
        <v>99</v>
      </c>
      <c r="M231" s="957" t="s">
        <v>69</v>
      </c>
      <c r="N231" s="957" t="s">
        <v>70</v>
      </c>
      <c r="O231" s="957" t="s">
        <v>70</v>
      </c>
      <c r="P231" s="957"/>
      <c r="Q231" s="957" t="s">
        <v>69</v>
      </c>
      <c r="R231" s="957" t="s">
        <v>99</v>
      </c>
      <c r="S231" s="957" t="s">
        <v>69</v>
      </c>
      <c r="T231" s="957" t="s">
        <v>69</v>
      </c>
      <c r="U231" s="1019" t="s">
        <v>70</v>
      </c>
      <c r="V231" s="1020" t="s">
        <v>69</v>
      </c>
      <c r="W231" s="1020" t="s">
        <v>69</v>
      </c>
      <c r="X231" s="1020" t="s">
        <v>69</v>
      </c>
      <c r="Y231" s="1020" t="s">
        <v>69</v>
      </c>
      <c r="Z231" s="1021" t="s">
        <v>69</v>
      </c>
      <c r="AA231" s="1022" t="s">
        <v>70</v>
      </c>
      <c r="AB231" s="1020" t="s">
        <v>69</v>
      </c>
      <c r="AC231" s="1020" t="s">
        <v>69</v>
      </c>
      <c r="AD231" s="1022" t="s">
        <v>70</v>
      </c>
      <c r="AE231" s="1020" t="s">
        <v>69</v>
      </c>
      <c r="AF231" s="919"/>
      <c r="AG231" s="919"/>
      <c r="AH231" s="919"/>
      <c r="AI231" s="919"/>
      <c r="AJ231" s="919"/>
      <c r="AK231" s="919"/>
      <c r="AL231" s="919"/>
      <c r="AM231" s="919"/>
      <c r="AN231" s="919"/>
      <c r="AO231" s="919"/>
      <c r="AP231" s="919"/>
      <c r="AQ231" s="919"/>
      <c r="AR231" s="919"/>
      <c r="AS231" s="919"/>
      <c r="AT231" s="919"/>
      <c r="AU231" s="919"/>
      <c r="AV231" s="919"/>
      <c r="AW231" s="919"/>
      <c r="AX231" s="919"/>
      <c r="AY231" s="919"/>
      <c r="AZ231" s="919"/>
      <c r="BA231" s="919"/>
      <c r="BB231" s="919"/>
      <c r="BC231" s="919"/>
      <c r="BD231" s="919"/>
      <c r="BE231" s="920"/>
      <c r="BF231" s="920"/>
      <c r="BG231" s="920"/>
      <c r="BH231" s="920"/>
      <c r="BI231" s="920"/>
      <c r="BJ231" s="920"/>
      <c r="BK231" s="920"/>
      <c r="BL231" s="920"/>
    </row>
    <row r="232">
      <c r="A232" s="901"/>
      <c r="B232" s="1018" t="s">
        <v>1231</v>
      </c>
      <c r="C232" s="1023" t="s">
        <v>107</v>
      </c>
      <c r="D232" s="1024" t="s">
        <v>69</v>
      </c>
      <c r="E232" s="1024" t="s">
        <v>69</v>
      </c>
      <c r="F232" s="1024" t="s">
        <v>69</v>
      </c>
      <c r="G232" s="1024" t="s">
        <v>69</v>
      </c>
      <c r="H232" s="1024" t="s">
        <v>69</v>
      </c>
      <c r="I232" s="1024" t="s">
        <v>69</v>
      </c>
      <c r="J232" s="1025" t="s">
        <v>70</v>
      </c>
      <c r="K232" s="1025" t="s">
        <v>70</v>
      </c>
      <c r="L232" s="957" t="s">
        <v>99</v>
      </c>
      <c r="M232" s="957" t="s">
        <v>70</v>
      </c>
      <c r="N232" s="957" t="s">
        <v>69</v>
      </c>
      <c r="O232" s="957" t="s">
        <v>69</v>
      </c>
      <c r="P232" s="957"/>
      <c r="Q232" s="957" t="s">
        <v>69</v>
      </c>
      <c r="R232" s="957" t="s">
        <v>69</v>
      </c>
      <c r="S232" s="957" t="s">
        <v>1223</v>
      </c>
      <c r="T232" s="957" t="s">
        <v>1223</v>
      </c>
      <c r="U232" s="1019" t="s">
        <v>70</v>
      </c>
      <c r="V232" s="1020" t="s">
        <v>69</v>
      </c>
      <c r="W232" s="1020" t="s">
        <v>69</v>
      </c>
      <c r="X232" s="1020" t="s">
        <v>69</v>
      </c>
      <c r="Y232" s="1020" t="s">
        <v>69</v>
      </c>
      <c r="Z232" s="1021" t="s">
        <v>69</v>
      </c>
      <c r="AA232" s="1022" t="s">
        <v>70</v>
      </c>
      <c r="AB232" s="1020" t="s">
        <v>69</v>
      </c>
      <c r="AC232" s="1020" t="s">
        <v>69</v>
      </c>
      <c r="AD232" s="1022" t="s">
        <v>70</v>
      </c>
      <c r="AE232" s="1020" t="s">
        <v>69</v>
      </c>
      <c r="AF232" s="919"/>
      <c r="AG232" s="919"/>
      <c r="AH232" s="919"/>
      <c r="AI232" s="919"/>
      <c r="AJ232" s="919"/>
      <c r="AK232" s="919"/>
      <c r="AL232" s="919"/>
      <c r="AM232" s="919"/>
      <c r="AN232" s="919"/>
      <c r="AO232" s="919"/>
      <c r="AP232" s="919"/>
      <c r="AQ232" s="919"/>
      <c r="AR232" s="919"/>
      <c r="AS232" s="919"/>
      <c r="AT232" s="919"/>
      <c r="AU232" s="919"/>
      <c r="AV232" s="919"/>
      <c r="AW232" s="919"/>
      <c r="AX232" s="919"/>
      <c r="AY232" s="919"/>
      <c r="AZ232" s="919"/>
      <c r="BA232" s="919"/>
      <c r="BB232" s="919"/>
      <c r="BC232" s="919"/>
      <c r="BD232" s="919"/>
      <c r="BE232" s="920"/>
      <c r="BF232" s="920"/>
      <c r="BG232" s="920"/>
      <c r="BH232" s="920"/>
      <c r="BI232" s="920"/>
      <c r="BJ232" s="920"/>
      <c r="BK232" s="920"/>
      <c r="BL232" s="920"/>
    </row>
    <row r="233">
      <c r="A233" s="901"/>
      <c r="B233" s="1026" t="s">
        <v>1232</v>
      </c>
      <c r="C233" s="1023" t="s">
        <v>107</v>
      </c>
      <c r="D233" s="957" t="s">
        <v>69</v>
      </c>
      <c r="E233" s="957" t="s">
        <v>69</v>
      </c>
      <c r="F233" s="957" t="s">
        <v>69</v>
      </c>
      <c r="G233" s="957" t="s">
        <v>69</v>
      </c>
      <c r="H233" s="957" t="s">
        <v>69</v>
      </c>
      <c r="I233" s="957" t="s">
        <v>69</v>
      </c>
      <c r="J233" s="957" t="s">
        <v>70</v>
      </c>
      <c r="K233" s="957" t="s">
        <v>70</v>
      </c>
      <c r="L233" s="957" t="s">
        <v>99</v>
      </c>
      <c r="M233" s="957" t="s">
        <v>70</v>
      </c>
      <c r="N233" s="957" t="s">
        <v>69</v>
      </c>
      <c r="O233" s="957" t="s">
        <v>69</v>
      </c>
      <c r="P233" s="957"/>
      <c r="Q233" s="957" t="s">
        <v>69</v>
      </c>
      <c r="R233" s="377" t="s">
        <v>69</v>
      </c>
      <c r="S233" s="957" t="s">
        <v>69</v>
      </c>
      <c r="T233" s="957" t="s">
        <v>69</v>
      </c>
      <c r="U233" s="1019" t="s">
        <v>70</v>
      </c>
      <c r="V233" s="1020" t="s">
        <v>69</v>
      </c>
      <c r="W233" s="1020" t="s">
        <v>69</v>
      </c>
      <c r="X233" s="1020" t="s">
        <v>69</v>
      </c>
      <c r="Y233" s="1020" t="s">
        <v>69</v>
      </c>
      <c r="Z233" s="1021" t="s">
        <v>69</v>
      </c>
      <c r="AA233" s="1022" t="s">
        <v>70</v>
      </c>
      <c r="AB233" s="1020" t="s">
        <v>69</v>
      </c>
      <c r="AC233" s="1020" t="s">
        <v>69</v>
      </c>
      <c r="AD233" s="1022" t="s">
        <v>70</v>
      </c>
      <c r="AE233" s="1020" t="s">
        <v>69</v>
      </c>
      <c r="AF233" s="919"/>
      <c r="AG233" s="919"/>
      <c r="AH233" s="919"/>
      <c r="AI233" s="919"/>
      <c r="AJ233" s="919"/>
      <c r="AK233" s="919"/>
      <c r="AL233" s="919"/>
      <c r="AM233" s="919"/>
      <c r="AN233" s="919"/>
      <c r="AO233" s="919"/>
      <c r="AP233" s="919"/>
      <c r="AQ233" s="919"/>
      <c r="AR233" s="919"/>
      <c r="AS233" s="919"/>
      <c r="AT233" s="919"/>
      <c r="AU233" s="919"/>
      <c r="AV233" s="919"/>
      <c r="AW233" s="919"/>
      <c r="AX233" s="919"/>
      <c r="AY233" s="919"/>
      <c r="AZ233" s="919"/>
      <c r="BA233" s="919"/>
      <c r="BB233" s="919"/>
      <c r="BC233" s="919"/>
      <c r="BD233" s="919"/>
      <c r="BE233" s="920"/>
      <c r="BF233" s="920"/>
      <c r="BG233" s="920"/>
      <c r="BH233" s="920"/>
      <c r="BI233" s="920"/>
      <c r="BJ233" s="920"/>
      <c r="BK233" s="920"/>
      <c r="BL233" s="920"/>
    </row>
    <row r="234">
      <c r="A234" s="901"/>
      <c r="B234" s="874" t="s">
        <v>135</v>
      </c>
      <c r="C234" s="1023" t="s">
        <v>107</v>
      </c>
      <c r="D234" s="957" t="s">
        <v>69</v>
      </c>
      <c r="E234" s="957" t="s">
        <v>70</v>
      </c>
      <c r="F234" s="957" t="s">
        <v>69</v>
      </c>
      <c r="G234" s="957" t="s">
        <v>69</v>
      </c>
      <c r="H234" s="957" t="s">
        <v>69</v>
      </c>
      <c r="I234" s="957" t="s">
        <v>69</v>
      </c>
      <c r="J234" s="957" t="s">
        <v>70</v>
      </c>
      <c r="K234" s="957" t="s">
        <v>70</v>
      </c>
      <c r="L234" s="957" t="s">
        <v>99</v>
      </c>
      <c r="M234" s="957" t="s">
        <v>70</v>
      </c>
      <c r="N234" s="957" t="s">
        <v>69</v>
      </c>
      <c r="O234" s="957" t="s">
        <v>69</v>
      </c>
      <c r="P234" s="957"/>
      <c r="Q234" s="957" t="s">
        <v>69</v>
      </c>
      <c r="R234" s="957" t="s">
        <v>69</v>
      </c>
      <c r="S234" s="957" t="s">
        <v>69</v>
      </c>
      <c r="T234" s="957" t="s">
        <v>70</v>
      </c>
      <c r="U234" s="1019" t="s">
        <v>70</v>
      </c>
      <c r="V234" s="1020" t="s">
        <v>69</v>
      </c>
      <c r="W234" s="1020" t="s">
        <v>69</v>
      </c>
      <c r="X234" s="1020" t="s">
        <v>69</v>
      </c>
      <c r="Y234" s="1020" t="s">
        <v>69</v>
      </c>
      <c r="Z234" s="1021" t="s">
        <v>69</v>
      </c>
      <c r="AA234" s="1022" t="s">
        <v>70</v>
      </c>
      <c r="AB234" s="1020" t="s">
        <v>69</v>
      </c>
      <c r="AC234" s="1020" t="s">
        <v>69</v>
      </c>
      <c r="AD234" s="1022" t="s">
        <v>70</v>
      </c>
      <c r="AE234" s="1020" t="s">
        <v>69</v>
      </c>
      <c r="AF234" s="919"/>
      <c r="AG234" s="919"/>
      <c r="AH234" s="919"/>
      <c r="AI234" s="919"/>
      <c r="AJ234" s="919"/>
      <c r="AK234" s="919"/>
      <c r="AL234" s="919"/>
      <c r="AM234" s="919"/>
      <c r="AN234" s="919"/>
      <c r="AO234" s="919"/>
      <c r="AP234" s="919"/>
      <c r="AQ234" s="919"/>
      <c r="AR234" s="919"/>
      <c r="AS234" s="919"/>
      <c r="AT234" s="919"/>
      <c r="AU234" s="919"/>
      <c r="AV234" s="919"/>
      <c r="AW234" s="919"/>
      <c r="AX234" s="919"/>
      <c r="AY234" s="919"/>
      <c r="AZ234" s="919"/>
      <c r="BA234" s="919"/>
      <c r="BB234" s="919"/>
      <c r="BC234" s="919"/>
      <c r="BD234" s="919"/>
      <c r="BE234" s="920"/>
      <c r="BF234" s="920"/>
      <c r="BG234" s="920"/>
      <c r="BH234" s="920"/>
      <c r="BI234" s="920"/>
      <c r="BJ234" s="920"/>
      <c r="BK234" s="920"/>
      <c r="BL234" s="920"/>
    </row>
    <row r="235">
      <c r="A235" s="901"/>
      <c r="B235" s="874" t="s">
        <v>1181</v>
      </c>
      <c r="C235" s="1023" t="s">
        <v>107</v>
      </c>
      <c r="D235" s="1024" t="s">
        <v>69</v>
      </c>
      <c r="E235" s="1024" t="s">
        <v>69</v>
      </c>
      <c r="F235" s="1024" t="s">
        <v>69</v>
      </c>
      <c r="G235" s="1024" t="s">
        <v>69</v>
      </c>
      <c r="H235" s="1024" t="s">
        <v>69</v>
      </c>
      <c r="I235" s="1024" t="s">
        <v>69</v>
      </c>
      <c r="J235" s="1025" t="s">
        <v>70</v>
      </c>
      <c r="K235" s="1025" t="s">
        <v>70</v>
      </c>
      <c r="L235" s="979" t="s">
        <v>99</v>
      </c>
      <c r="M235" s="979" t="s">
        <v>70</v>
      </c>
      <c r="N235" s="979" t="s">
        <v>70</v>
      </c>
      <c r="O235" s="979" t="s">
        <v>69</v>
      </c>
      <c r="P235" s="979"/>
      <c r="Q235" s="979" t="s">
        <v>69</v>
      </c>
      <c r="R235" s="979" t="s">
        <v>69</v>
      </c>
      <c r="S235" s="979" t="s">
        <v>69</v>
      </c>
      <c r="T235" s="979" t="s">
        <v>69</v>
      </c>
      <c r="U235" s="1019" t="s">
        <v>70</v>
      </c>
      <c r="V235" s="1020" t="s">
        <v>69</v>
      </c>
      <c r="W235" s="1020" t="s">
        <v>69</v>
      </c>
      <c r="X235" s="1020" t="s">
        <v>69</v>
      </c>
      <c r="Y235" s="1020" t="s">
        <v>69</v>
      </c>
      <c r="Z235" s="1021" t="s">
        <v>69</v>
      </c>
      <c r="AA235" s="1022" t="s">
        <v>70</v>
      </c>
      <c r="AB235" s="1020" t="s">
        <v>69</v>
      </c>
      <c r="AC235" s="1020" t="s">
        <v>69</v>
      </c>
      <c r="AD235" s="1022" t="s">
        <v>70</v>
      </c>
      <c r="AE235" s="1020" t="s">
        <v>69</v>
      </c>
      <c r="AF235" s="919"/>
      <c r="AG235" s="919"/>
      <c r="AH235" s="919"/>
      <c r="AI235" s="919"/>
      <c r="AJ235" s="919"/>
      <c r="AK235" s="919"/>
      <c r="AL235" s="919"/>
      <c r="AM235" s="919"/>
      <c r="AN235" s="919"/>
      <c r="AO235" s="919"/>
      <c r="AP235" s="919"/>
      <c r="AQ235" s="919"/>
      <c r="AR235" s="919"/>
      <c r="AS235" s="919"/>
      <c r="AT235" s="919"/>
      <c r="AU235" s="919"/>
      <c r="AV235" s="919"/>
      <c r="AW235" s="919"/>
      <c r="AX235" s="919"/>
      <c r="AY235" s="919"/>
      <c r="AZ235" s="919"/>
      <c r="BA235" s="919"/>
      <c r="BB235" s="919"/>
      <c r="BC235" s="919"/>
      <c r="BD235" s="919"/>
      <c r="BE235" s="920"/>
      <c r="BF235" s="920"/>
      <c r="BG235" s="920"/>
      <c r="BH235" s="920"/>
      <c r="BI235" s="920"/>
      <c r="BJ235" s="920"/>
      <c r="BK235" s="920"/>
      <c r="BL235" s="920"/>
    </row>
    <row r="236">
      <c r="A236" s="901"/>
      <c r="B236" s="874" t="s">
        <v>1233</v>
      </c>
      <c r="C236" s="1023" t="s">
        <v>107</v>
      </c>
      <c r="D236" s="1024" t="s">
        <v>69</v>
      </c>
      <c r="E236" s="1024" t="s">
        <v>69</v>
      </c>
      <c r="F236" s="1024" t="s">
        <v>69</v>
      </c>
      <c r="G236" s="1024" t="s">
        <v>69</v>
      </c>
      <c r="H236" s="1024" t="s">
        <v>69</v>
      </c>
      <c r="I236" s="1024" t="s">
        <v>69</v>
      </c>
      <c r="J236" s="1025" t="s">
        <v>70</v>
      </c>
      <c r="K236" s="1025" t="s">
        <v>70</v>
      </c>
      <c r="L236" s="1025" t="s">
        <v>99</v>
      </c>
      <c r="M236" s="1025" t="s">
        <v>70</v>
      </c>
      <c r="N236" s="1025" t="s">
        <v>70</v>
      </c>
      <c r="O236" s="1025" t="s">
        <v>70</v>
      </c>
      <c r="P236" s="1025"/>
      <c r="Q236" s="1025" t="s">
        <v>69</v>
      </c>
      <c r="R236" s="1025" t="s">
        <v>69</v>
      </c>
      <c r="S236" s="1025" t="s">
        <v>1223</v>
      </c>
      <c r="T236" s="1025" t="s">
        <v>1223</v>
      </c>
      <c r="U236" s="1019" t="s">
        <v>70</v>
      </c>
      <c r="V236" s="1020" t="s">
        <v>69</v>
      </c>
      <c r="W236" s="1022" t="s">
        <v>70</v>
      </c>
      <c r="X236" s="1020" t="s">
        <v>69</v>
      </c>
      <c r="Y236" s="1020" t="s">
        <v>69</v>
      </c>
      <c r="Z236" s="1021" t="s">
        <v>69</v>
      </c>
      <c r="AA236" s="1022" t="s">
        <v>70</v>
      </c>
      <c r="AB236" s="1020" t="s">
        <v>69</v>
      </c>
      <c r="AC236" s="1020" t="s">
        <v>69</v>
      </c>
      <c r="AD236" s="1022" t="s">
        <v>70</v>
      </c>
      <c r="AE236" s="1020" t="s">
        <v>69</v>
      </c>
      <c r="AF236" s="919"/>
      <c r="AG236" s="919"/>
      <c r="AH236" s="919"/>
      <c r="AI236" s="919"/>
      <c r="AJ236" s="919"/>
      <c r="AK236" s="919"/>
      <c r="AL236" s="919"/>
      <c r="AM236" s="919"/>
      <c r="AN236" s="919"/>
      <c r="AO236" s="919"/>
      <c r="AP236" s="919"/>
      <c r="AQ236" s="919"/>
      <c r="AR236" s="919"/>
      <c r="AS236" s="919"/>
      <c r="AT236" s="919"/>
      <c r="AU236" s="919"/>
      <c r="AV236" s="919"/>
      <c r="AW236" s="919"/>
      <c r="AX236" s="919"/>
      <c r="AY236" s="919"/>
      <c r="AZ236" s="919"/>
      <c r="BA236" s="919"/>
      <c r="BB236" s="919"/>
      <c r="BC236" s="919"/>
      <c r="BD236" s="919"/>
      <c r="BE236" s="920"/>
      <c r="BF236" s="920"/>
      <c r="BG236" s="920"/>
      <c r="BH236" s="920"/>
      <c r="BI236" s="920"/>
      <c r="BJ236" s="920"/>
      <c r="BK236" s="920"/>
      <c r="BL236" s="920"/>
    </row>
    <row r="237">
      <c r="A237" s="901"/>
      <c r="B237" s="945" t="s">
        <v>1190</v>
      </c>
      <c r="C237" s="1027" t="s">
        <v>23</v>
      </c>
      <c r="D237" s="1024" t="s">
        <v>69</v>
      </c>
      <c r="E237" s="1024" t="s">
        <v>69</v>
      </c>
      <c r="F237" s="1024" t="s">
        <v>69</v>
      </c>
      <c r="G237" s="1024" t="s">
        <v>69</v>
      </c>
      <c r="H237" s="1024" t="s">
        <v>69</v>
      </c>
      <c r="I237" s="995" t="s">
        <v>70</v>
      </c>
      <c r="J237" s="995" t="s">
        <v>70</v>
      </c>
      <c r="K237" s="995" t="s">
        <v>70</v>
      </c>
      <c r="L237" s="995" t="s">
        <v>69</v>
      </c>
      <c r="M237" s="995" t="s">
        <v>70</v>
      </c>
      <c r="N237" s="995" t="s">
        <v>69</v>
      </c>
      <c r="O237" s="995" t="s">
        <v>69</v>
      </c>
      <c r="P237" s="995"/>
      <c r="Q237" s="995" t="s">
        <v>69</v>
      </c>
      <c r="R237" s="995" t="s">
        <v>69</v>
      </c>
      <c r="S237" s="995" t="s">
        <v>70</v>
      </c>
      <c r="T237" s="995" t="s">
        <v>69</v>
      </c>
      <c r="U237" s="1019" t="s">
        <v>70</v>
      </c>
      <c r="V237" s="1020" t="s">
        <v>69</v>
      </c>
      <c r="W237" s="1020" t="s">
        <v>69</v>
      </c>
      <c r="X237" s="1022" t="s">
        <v>70</v>
      </c>
      <c r="Y237" s="1020" t="s">
        <v>69</v>
      </c>
      <c r="Z237" s="1019" t="s">
        <v>70</v>
      </c>
      <c r="AA237" s="1020" t="s">
        <v>69</v>
      </c>
      <c r="AB237" s="1020" t="s">
        <v>69</v>
      </c>
      <c r="AC237" s="1020" t="s">
        <v>69</v>
      </c>
      <c r="AD237" s="1022" t="s">
        <v>70</v>
      </c>
      <c r="AE237" s="1022" t="s">
        <v>70</v>
      </c>
      <c r="AF237" s="919"/>
      <c r="AG237" s="919"/>
      <c r="AH237" s="919"/>
      <c r="AI237" s="919"/>
      <c r="AJ237" s="919"/>
      <c r="AK237" s="919"/>
      <c r="AL237" s="919"/>
      <c r="AM237" s="919"/>
      <c r="AN237" s="919"/>
      <c r="AO237" s="919"/>
      <c r="AP237" s="919"/>
      <c r="AQ237" s="919"/>
      <c r="AR237" s="919"/>
      <c r="AS237" s="919"/>
      <c r="AT237" s="919"/>
      <c r="AU237" s="919"/>
      <c r="AV237" s="919"/>
      <c r="AW237" s="919"/>
      <c r="AX237" s="919"/>
      <c r="AY237" s="919"/>
      <c r="AZ237" s="919"/>
      <c r="BA237" s="919"/>
      <c r="BB237" s="919"/>
      <c r="BC237" s="919"/>
      <c r="BD237" s="919"/>
      <c r="BE237" s="920"/>
      <c r="BF237" s="920"/>
      <c r="BG237" s="920"/>
      <c r="BH237" s="920"/>
      <c r="BI237" s="920"/>
      <c r="BJ237" s="920"/>
      <c r="BK237" s="920"/>
      <c r="BL237" s="920"/>
    </row>
    <row r="238">
      <c r="A238" s="901"/>
      <c r="B238" s="948" t="s">
        <v>1220</v>
      </c>
      <c r="C238" s="948" t="s">
        <v>23</v>
      </c>
      <c r="D238" s="979" t="s">
        <v>69</v>
      </c>
      <c r="E238" s="995" t="s">
        <v>70</v>
      </c>
      <c r="F238" s="995" t="s">
        <v>69</v>
      </c>
      <c r="G238" s="995" t="s">
        <v>69</v>
      </c>
      <c r="H238" s="995" t="s">
        <v>69</v>
      </c>
      <c r="I238" s="995" t="s">
        <v>69</v>
      </c>
      <c r="J238" s="995" t="s">
        <v>70</v>
      </c>
      <c r="K238" s="995" t="s">
        <v>70</v>
      </c>
      <c r="L238" s="995" t="s">
        <v>69</v>
      </c>
      <c r="M238" s="995" t="s">
        <v>70</v>
      </c>
      <c r="N238" s="995" t="s">
        <v>69</v>
      </c>
      <c r="O238" s="995" t="s">
        <v>69</v>
      </c>
      <c r="P238" s="995"/>
      <c r="Q238" s="995" t="s">
        <v>69</v>
      </c>
      <c r="R238" s="995" t="s">
        <v>69</v>
      </c>
      <c r="S238" s="995" t="s">
        <v>69</v>
      </c>
      <c r="T238" s="995" t="s">
        <v>70</v>
      </c>
      <c r="U238" s="1019" t="s">
        <v>70</v>
      </c>
      <c r="V238" s="1020" t="s">
        <v>69</v>
      </c>
      <c r="W238" s="1020" t="s">
        <v>69</v>
      </c>
      <c r="X238" s="1022" t="s">
        <v>70</v>
      </c>
      <c r="Y238" s="1020" t="s">
        <v>69</v>
      </c>
      <c r="Z238" s="1028" t="s">
        <v>100</v>
      </c>
      <c r="AA238" s="1029" t="s">
        <v>100</v>
      </c>
      <c r="AB238" s="1029" t="s">
        <v>100</v>
      </c>
      <c r="AC238" s="1029" t="s">
        <v>100</v>
      </c>
      <c r="AD238" s="1029" t="s">
        <v>100</v>
      </c>
      <c r="AE238" s="1029" t="s">
        <v>100</v>
      </c>
      <c r="AF238" s="919"/>
      <c r="AG238" s="919"/>
      <c r="AH238" s="919"/>
      <c r="AI238" s="919"/>
      <c r="AJ238" s="919"/>
      <c r="AK238" s="919"/>
      <c r="AL238" s="919"/>
      <c r="AM238" s="919"/>
      <c r="AN238" s="919"/>
      <c r="AO238" s="919"/>
      <c r="AP238" s="919"/>
      <c r="AQ238" s="919"/>
      <c r="AR238" s="919"/>
      <c r="AS238" s="919"/>
      <c r="AT238" s="919"/>
      <c r="AU238" s="919"/>
      <c r="AV238" s="919"/>
      <c r="AW238" s="919"/>
      <c r="AX238" s="919"/>
      <c r="AY238" s="919"/>
      <c r="AZ238" s="919"/>
      <c r="BA238" s="919"/>
      <c r="BB238" s="919"/>
      <c r="BC238" s="919"/>
      <c r="BD238" s="919"/>
      <c r="BE238" s="920"/>
      <c r="BF238" s="920"/>
      <c r="BG238" s="920"/>
      <c r="BH238" s="920"/>
      <c r="BI238" s="920"/>
      <c r="BJ238" s="920"/>
      <c r="BK238" s="920"/>
      <c r="BL238" s="920"/>
    </row>
    <row r="239">
      <c r="A239" s="901"/>
      <c r="B239" s="1012" t="s">
        <v>1196</v>
      </c>
      <c r="C239" s="1030" t="s">
        <v>437</v>
      </c>
      <c r="D239" s="979" t="s">
        <v>69</v>
      </c>
      <c r="E239" s="995" t="s">
        <v>70</v>
      </c>
      <c r="F239" s="995" t="s">
        <v>69</v>
      </c>
      <c r="G239" s="995" t="s">
        <v>69</v>
      </c>
      <c r="H239" s="995" t="s">
        <v>69</v>
      </c>
      <c r="I239" s="995" t="s">
        <v>69</v>
      </c>
      <c r="J239" s="995" t="s">
        <v>70</v>
      </c>
      <c r="K239" s="995" t="s">
        <v>70</v>
      </c>
      <c r="L239" s="995" t="s">
        <v>69</v>
      </c>
      <c r="M239" s="995" t="s">
        <v>69</v>
      </c>
      <c r="N239" s="995" t="s">
        <v>70</v>
      </c>
      <c r="O239" s="995" t="s">
        <v>69</v>
      </c>
      <c r="P239" s="995"/>
      <c r="Q239" s="995" t="s">
        <v>69</v>
      </c>
      <c r="R239" s="995" t="s">
        <v>69</v>
      </c>
      <c r="S239" s="995" t="s">
        <v>69</v>
      </c>
      <c r="T239" s="995" t="s">
        <v>69</v>
      </c>
      <c r="U239" s="1019" t="s">
        <v>70</v>
      </c>
      <c r="V239" s="1020" t="s">
        <v>69</v>
      </c>
      <c r="W239" s="1020" t="s">
        <v>69</v>
      </c>
      <c r="X239" s="1022" t="s">
        <v>70</v>
      </c>
      <c r="Y239" s="1020" t="s">
        <v>69</v>
      </c>
      <c r="Z239" s="1021" t="s">
        <v>69</v>
      </c>
      <c r="AA239" s="1022" t="s">
        <v>70</v>
      </c>
      <c r="AB239" s="1031" t="s">
        <v>99</v>
      </c>
      <c r="AC239" s="1031" t="s">
        <v>99</v>
      </c>
      <c r="AD239" s="1020" t="s">
        <v>69</v>
      </c>
      <c r="AE239" s="1020" t="s">
        <v>69</v>
      </c>
      <c r="AF239" s="919"/>
      <c r="AG239" s="919"/>
      <c r="AH239" s="919"/>
      <c r="AI239" s="919"/>
      <c r="AJ239" s="919"/>
      <c r="AK239" s="919"/>
      <c r="AL239" s="919"/>
      <c r="AM239" s="919"/>
      <c r="AN239" s="919"/>
      <c r="AO239" s="919"/>
      <c r="AP239" s="919"/>
      <c r="AQ239" s="919"/>
      <c r="AR239" s="919"/>
      <c r="AS239" s="919"/>
      <c r="AT239" s="919"/>
      <c r="AU239" s="919"/>
      <c r="AV239" s="919"/>
      <c r="AW239" s="919"/>
      <c r="AX239" s="919"/>
      <c r="AY239" s="919"/>
      <c r="AZ239" s="919"/>
      <c r="BA239" s="919"/>
      <c r="BB239" s="919"/>
      <c r="BC239" s="919"/>
      <c r="BD239" s="919"/>
      <c r="BE239" s="920"/>
      <c r="BF239" s="920"/>
      <c r="BG239" s="920"/>
      <c r="BH239" s="920"/>
      <c r="BI239" s="920"/>
      <c r="BJ239" s="920"/>
      <c r="BK239" s="920"/>
      <c r="BL239" s="920"/>
    </row>
    <row r="240">
      <c r="A240" s="901"/>
      <c r="B240" s="938" t="s">
        <v>1197</v>
      </c>
      <c r="C240" s="938" t="s">
        <v>437</v>
      </c>
      <c r="D240" s="979" t="s">
        <v>69</v>
      </c>
      <c r="E240" s="995" t="s">
        <v>70</v>
      </c>
      <c r="F240" s="995" t="s">
        <v>69</v>
      </c>
      <c r="G240" s="995" t="s">
        <v>69</v>
      </c>
      <c r="H240" s="995" t="s">
        <v>69</v>
      </c>
      <c r="I240" s="995" t="s">
        <v>69</v>
      </c>
      <c r="J240" s="995" t="s">
        <v>70</v>
      </c>
      <c r="K240" s="995" t="s">
        <v>70</v>
      </c>
      <c r="L240" s="995" t="s">
        <v>99</v>
      </c>
      <c r="M240" s="995" t="s">
        <v>69</v>
      </c>
      <c r="N240" s="995" t="s">
        <v>70</v>
      </c>
      <c r="O240" s="995" t="s">
        <v>69</v>
      </c>
      <c r="P240" s="995"/>
      <c r="Q240" s="995" t="s">
        <v>69</v>
      </c>
      <c r="R240" s="995" t="s">
        <v>69</v>
      </c>
      <c r="S240" s="995" t="s">
        <v>69</v>
      </c>
      <c r="T240" s="995" t="s">
        <v>69</v>
      </c>
      <c r="U240" s="1019" t="s">
        <v>70</v>
      </c>
      <c r="V240" s="1020" t="s">
        <v>69</v>
      </c>
      <c r="W240" s="1020" t="s">
        <v>69</v>
      </c>
      <c r="X240" s="1022" t="s">
        <v>70</v>
      </c>
      <c r="Y240" s="1020" t="s">
        <v>69</v>
      </c>
      <c r="Z240" s="1028" t="s">
        <v>100</v>
      </c>
      <c r="AA240" s="1029" t="s">
        <v>100</v>
      </c>
      <c r="AB240" s="1029" t="s">
        <v>100</v>
      </c>
      <c r="AC240" s="1029" t="s">
        <v>100</v>
      </c>
      <c r="AD240" s="1029" t="s">
        <v>100</v>
      </c>
      <c r="AE240" s="1029" t="s">
        <v>100</v>
      </c>
      <c r="AF240" s="919"/>
      <c r="AG240" s="919"/>
      <c r="AH240" s="919"/>
      <c r="AI240" s="919"/>
      <c r="AJ240" s="919"/>
      <c r="AK240" s="919"/>
      <c r="AL240" s="919"/>
      <c r="AM240" s="919"/>
      <c r="AN240" s="919"/>
      <c r="AO240" s="919"/>
      <c r="AP240" s="919"/>
      <c r="AQ240" s="919"/>
      <c r="AR240" s="919"/>
      <c r="AS240" s="919"/>
      <c r="AT240" s="919"/>
      <c r="AU240" s="919"/>
      <c r="AV240" s="919"/>
      <c r="AW240" s="919"/>
      <c r="AX240" s="919"/>
      <c r="AY240" s="919"/>
      <c r="AZ240" s="919"/>
      <c r="BA240" s="919"/>
      <c r="BB240" s="919"/>
      <c r="BC240" s="919"/>
      <c r="BD240" s="919"/>
      <c r="BE240" s="920"/>
      <c r="BF240" s="920"/>
      <c r="BG240" s="920"/>
      <c r="BH240" s="920"/>
      <c r="BI240" s="920"/>
      <c r="BJ240" s="920"/>
      <c r="BK240" s="920"/>
      <c r="BL240" s="920"/>
    </row>
    <row r="241">
      <c r="A241" s="901"/>
      <c r="B241" s="937" t="s">
        <v>1234</v>
      </c>
      <c r="C241" s="938" t="s">
        <v>437</v>
      </c>
      <c r="D241" s="979" t="s">
        <v>69</v>
      </c>
      <c r="E241" s="995" t="s">
        <v>70</v>
      </c>
      <c r="F241" s="995" t="s">
        <v>69</v>
      </c>
      <c r="G241" s="995" t="s">
        <v>69</v>
      </c>
      <c r="H241" s="995" t="s">
        <v>69</v>
      </c>
      <c r="I241" s="995" t="s">
        <v>69</v>
      </c>
      <c r="J241" s="995" t="s">
        <v>70</v>
      </c>
      <c r="K241" s="995" t="s">
        <v>70</v>
      </c>
      <c r="L241" s="995" t="s">
        <v>99</v>
      </c>
      <c r="M241" s="995" t="s">
        <v>69</v>
      </c>
      <c r="N241" s="995" t="s">
        <v>70</v>
      </c>
      <c r="O241" s="995" t="s">
        <v>69</v>
      </c>
      <c r="P241" s="995"/>
      <c r="Q241" s="995" t="s">
        <v>69</v>
      </c>
      <c r="R241" s="995" t="s">
        <v>69</v>
      </c>
      <c r="S241" s="957" t="s">
        <v>69</v>
      </c>
      <c r="T241" s="957" t="s">
        <v>69</v>
      </c>
      <c r="U241" s="1019" t="s">
        <v>70</v>
      </c>
      <c r="V241" s="1020" t="s">
        <v>69</v>
      </c>
      <c r="W241" s="1020" t="s">
        <v>69</v>
      </c>
      <c r="X241" s="1022" t="s">
        <v>70</v>
      </c>
      <c r="Y241" s="1020" t="s">
        <v>69</v>
      </c>
      <c r="Z241" s="1028" t="s">
        <v>100</v>
      </c>
      <c r="AA241" s="1029" t="s">
        <v>100</v>
      </c>
      <c r="AB241" s="1029" t="s">
        <v>100</v>
      </c>
      <c r="AC241" s="1029" t="s">
        <v>100</v>
      </c>
      <c r="AD241" s="1029" t="s">
        <v>100</v>
      </c>
      <c r="AE241" s="1029" t="s">
        <v>100</v>
      </c>
      <c r="AF241" s="919"/>
      <c r="AG241" s="919"/>
      <c r="AH241" s="919"/>
      <c r="AI241" s="919"/>
      <c r="AJ241" s="919"/>
      <c r="AK241" s="919"/>
      <c r="AL241" s="919"/>
      <c r="AM241" s="919"/>
      <c r="AN241" s="919"/>
      <c r="AO241" s="919"/>
      <c r="AP241" s="919"/>
      <c r="AQ241" s="919"/>
      <c r="AR241" s="919"/>
      <c r="AS241" s="919"/>
      <c r="AT241" s="919"/>
      <c r="AU241" s="919"/>
      <c r="AV241" s="919"/>
      <c r="AW241" s="919"/>
      <c r="AX241" s="919"/>
      <c r="AY241" s="919"/>
      <c r="AZ241" s="919"/>
      <c r="BA241" s="919"/>
      <c r="BB241" s="919"/>
      <c r="BC241" s="919"/>
      <c r="BD241" s="919"/>
      <c r="BE241" s="920"/>
      <c r="BF241" s="920"/>
      <c r="BG241" s="920"/>
      <c r="BH241" s="920"/>
      <c r="BI241" s="920"/>
      <c r="BJ241" s="920"/>
      <c r="BK241" s="920"/>
      <c r="BL241" s="920"/>
    </row>
    <row r="242">
      <c r="A242" s="901"/>
      <c r="B242" s="940" t="s">
        <v>1235</v>
      </c>
      <c r="C242" s="940" t="s">
        <v>437</v>
      </c>
      <c r="D242" s="980"/>
      <c r="E242" s="204"/>
      <c r="F242" s="204"/>
      <c r="G242" s="204"/>
      <c r="H242" s="204"/>
      <c r="I242" s="204"/>
      <c r="J242" s="204"/>
      <c r="K242" s="538"/>
      <c r="L242" s="995" t="s">
        <v>69</v>
      </c>
      <c r="M242" s="995" t="s">
        <v>69</v>
      </c>
      <c r="N242" s="995" t="s">
        <v>70</v>
      </c>
      <c r="O242" s="995" t="s">
        <v>69</v>
      </c>
      <c r="P242" s="995"/>
      <c r="Q242" s="995" t="s">
        <v>69</v>
      </c>
      <c r="R242" s="995" t="s">
        <v>69</v>
      </c>
      <c r="S242" s="738"/>
      <c r="AF242" s="966"/>
      <c r="AG242" s="919"/>
      <c r="AH242" s="919"/>
      <c r="AI242" s="919"/>
      <c r="AJ242" s="919"/>
      <c r="AK242" s="919"/>
      <c r="AL242" s="919"/>
      <c r="AM242" s="919"/>
      <c r="AN242" s="919"/>
      <c r="AO242" s="919"/>
      <c r="AP242" s="919"/>
      <c r="AQ242" s="919"/>
      <c r="AR242" s="919"/>
      <c r="AS242" s="919"/>
      <c r="AT242" s="919"/>
      <c r="AU242" s="919"/>
      <c r="AV242" s="919"/>
      <c r="AW242" s="919"/>
      <c r="AX242" s="919"/>
      <c r="AY242" s="919"/>
      <c r="AZ242" s="919"/>
      <c r="BA242" s="919"/>
      <c r="BB242" s="919"/>
      <c r="BC242" s="919"/>
      <c r="BD242" s="919"/>
      <c r="BE242" s="920"/>
      <c r="BF242" s="920"/>
      <c r="BG242" s="920"/>
      <c r="BH242" s="920"/>
      <c r="BI242" s="920"/>
      <c r="BJ242" s="920"/>
      <c r="BK242" s="920"/>
      <c r="BL242" s="920"/>
    </row>
    <row r="243">
      <c r="A243" s="901"/>
      <c r="B243" s="937" t="s">
        <v>1226</v>
      </c>
      <c r="C243" s="938" t="s">
        <v>437</v>
      </c>
      <c r="D243" s="979" t="s">
        <v>69</v>
      </c>
      <c r="E243" s="995" t="s">
        <v>99</v>
      </c>
      <c r="F243" s="995" t="s">
        <v>69</v>
      </c>
      <c r="G243" s="995" t="s">
        <v>69</v>
      </c>
      <c r="H243" s="995" t="s">
        <v>69</v>
      </c>
      <c r="I243" s="995" t="s">
        <v>69</v>
      </c>
      <c r="J243" s="995" t="s">
        <v>70</v>
      </c>
      <c r="K243" s="995" t="s">
        <v>70</v>
      </c>
      <c r="L243" s="995" t="s">
        <v>99</v>
      </c>
      <c r="M243" s="995" t="s">
        <v>69</v>
      </c>
      <c r="N243" s="995" t="s">
        <v>70</v>
      </c>
      <c r="O243" s="995" t="s">
        <v>69</v>
      </c>
      <c r="P243" s="995"/>
      <c r="Q243" s="995" t="s">
        <v>69</v>
      </c>
      <c r="R243" s="995" t="s">
        <v>69</v>
      </c>
      <c r="S243" s="995" t="s">
        <v>69</v>
      </c>
      <c r="T243" s="995" t="s">
        <v>69</v>
      </c>
      <c r="U243" s="1009" t="s">
        <v>70</v>
      </c>
      <c r="V243" s="1017" t="s">
        <v>69</v>
      </c>
      <c r="W243" s="1017" t="s">
        <v>69</v>
      </c>
      <c r="X243" s="1010" t="s">
        <v>70</v>
      </c>
      <c r="Y243" s="1017" t="s">
        <v>69</v>
      </c>
      <c r="Z243" s="1017" t="s">
        <v>69</v>
      </c>
      <c r="AA243" s="1032" t="s">
        <v>100</v>
      </c>
      <c r="AB243" s="1031" t="s">
        <v>99</v>
      </c>
      <c r="AC243" s="1020" t="s">
        <v>69</v>
      </c>
      <c r="AD243" s="1020" t="s">
        <v>69</v>
      </c>
      <c r="AE243" s="1020" t="s">
        <v>69</v>
      </c>
      <c r="AF243" s="919"/>
      <c r="AG243" s="919"/>
      <c r="AH243" s="919"/>
      <c r="AI243" s="919"/>
      <c r="AJ243" s="919"/>
      <c r="AK243" s="919"/>
      <c r="AL243" s="919"/>
      <c r="AM243" s="919"/>
      <c r="AN243" s="919"/>
      <c r="AO243" s="919"/>
      <c r="AP243" s="919"/>
      <c r="AQ243" s="919"/>
      <c r="AR243" s="919"/>
      <c r="AS243" s="919"/>
      <c r="AT243" s="919"/>
      <c r="AU243" s="919"/>
      <c r="AV243" s="919"/>
      <c r="AW243" s="919"/>
      <c r="AX243" s="919"/>
      <c r="AY243" s="919"/>
      <c r="AZ243" s="919"/>
      <c r="BA243" s="919"/>
      <c r="BB243" s="919"/>
      <c r="BC243" s="919"/>
      <c r="BD243" s="919"/>
      <c r="BE243" s="920"/>
      <c r="BF243" s="920"/>
      <c r="BG243" s="920"/>
      <c r="BH243" s="920"/>
      <c r="BI243" s="920"/>
      <c r="BJ243" s="920"/>
      <c r="BK243" s="920"/>
      <c r="BL243" s="920"/>
    </row>
    <row r="244">
      <c r="A244" s="901"/>
      <c r="B244" s="937" t="s">
        <v>60</v>
      </c>
      <c r="C244" s="938" t="s">
        <v>437</v>
      </c>
      <c r="D244" s="980"/>
      <c r="E244" s="204"/>
      <c r="F244" s="204"/>
      <c r="G244" s="204"/>
      <c r="H244" s="204"/>
      <c r="I244" s="204"/>
      <c r="J244" s="204"/>
      <c r="K244" s="204"/>
      <c r="L244" s="204"/>
      <c r="M244" s="204"/>
      <c r="N244" s="204"/>
      <c r="O244" s="204"/>
      <c r="P244" s="204"/>
      <c r="Q244" s="204"/>
      <c r="R244" s="538"/>
      <c r="S244" s="995" t="s">
        <v>69</v>
      </c>
      <c r="T244" s="995" t="s">
        <v>69</v>
      </c>
      <c r="U244" s="1019" t="s">
        <v>70</v>
      </c>
      <c r="V244" s="1020" t="s">
        <v>69</v>
      </c>
      <c r="W244" s="1020" t="s">
        <v>69</v>
      </c>
      <c r="X244" s="1022" t="s">
        <v>70</v>
      </c>
      <c r="Y244" s="1020" t="s">
        <v>69</v>
      </c>
      <c r="Z244" s="1029" t="s">
        <v>100</v>
      </c>
      <c r="AA244" s="1029" t="s">
        <v>100</v>
      </c>
      <c r="AB244" s="1029" t="s">
        <v>100</v>
      </c>
      <c r="AC244" s="1029" t="s">
        <v>100</v>
      </c>
      <c r="AD244" s="1029" t="s">
        <v>100</v>
      </c>
      <c r="AE244" s="1029" t="s">
        <v>100</v>
      </c>
      <c r="AF244" s="919"/>
      <c r="AG244" s="919"/>
      <c r="AH244" s="919"/>
      <c r="AI244" s="919"/>
      <c r="AJ244" s="919"/>
      <c r="AK244" s="919"/>
      <c r="AL244" s="919"/>
      <c r="AM244" s="919"/>
      <c r="AN244" s="919"/>
      <c r="AO244" s="919"/>
      <c r="AP244" s="919"/>
      <c r="AQ244" s="919"/>
      <c r="AR244" s="919"/>
      <c r="AS244" s="919"/>
      <c r="AT244" s="919"/>
      <c r="AU244" s="919"/>
      <c r="AV244" s="919"/>
      <c r="AW244" s="919"/>
      <c r="AX244" s="919"/>
      <c r="AY244" s="919"/>
      <c r="AZ244" s="919"/>
      <c r="BA244" s="919"/>
      <c r="BB244" s="919"/>
      <c r="BC244" s="919"/>
      <c r="BD244" s="919"/>
      <c r="BE244" s="920"/>
      <c r="BF244" s="920"/>
      <c r="BG244" s="920"/>
      <c r="BH244" s="920"/>
      <c r="BI244" s="920"/>
      <c r="BJ244" s="920"/>
      <c r="BK244" s="920"/>
      <c r="BL244" s="920"/>
    </row>
    <row r="245">
      <c r="A245" s="901"/>
      <c r="B245" s="940" t="s">
        <v>1236</v>
      </c>
      <c r="C245" s="938" t="s">
        <v>437</v>
      </c>
      <c r="D245" s="979" t="s">
        <v>100</v>
      </c>
      <c r="E245" s="979" t="s">
        <v>100</v>
      </c>
      <c r="F245" s="979" t="s">
        <v>100</v>
      </c>
      <c r="G245" s="979" t="s">
        <v>100</v>
      </c>
      <c r="H245" s="979" t="s">
        <v>100</v>
      </c>
      <c r="I245" s="979" t="s">
        <v>100</v>
      </c>
      <c r="J245" s="979" t="s">
        <v>100</v>
      </c>
      <c r="K245" s="979" t="s">
        <v>100</v>
      </c>
      <c r="L245" s="1033"/>
      <c r="M245" s="204"/>
      <c r="N245" s="204"/>
      <c r="O245" s="204"/>
      <c r="P245" s="204"/>
      <c r="Q245" s="204"/>
      <c r="R245" s="204"/>
      <c r="S245" s="204"/>
      <c r="T245" s="204"/>
      <c r="U245" s="204"/>
      <c r="V245" s="204"/>
      <c r="W245" s="204"/>
      <c r="X245" s="204"/>
      <c r="Y245" s="204"/>
      <c r="Z245" s="204"/>
      <c r="AA245" s="204"/>
      <c r="AB245" s="204"/>
      <c r="AC245" s="204"/>
      <c r="AD245" s="204"/>
      <c r="AE245" s="538"/>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c r="BC245" s="919"/>
      <c r="BD245" s="919"/>
      <c r="BE245" s="920"/>
      <c r="BF245" s="920"/>
      <c r="BG245" s="920"/>
      <c r="BH245" s="920"/>
      <c r="BI245" s="920"/>
      <c r="BJ245" s="920"/>
      <c r="BK245" s="920"/>
      <c r="BL245" s="920"/>
    </row>
    <row r="246">
      <c r="A246" s="1007" t="s">
        <v>1237</v>
      </c>
      <c r="B246" s="949" t="s">
        <v>1182</v>
      </c>
      <c r="C246" s="999" t="s">
        <v>12</v>
      </c>
      <c r="D246" s="957" t="s">
        <v>69</v>
      </c>
      <c r="E246" s="957" t="s">
        <v>70</v>
      </c>
      <c r="F246" s="957" t="s">
        <v>69</v>
      </c>
      <c r="G246" s="957" t="s">
        <v>69</v>
      </c>
      <c r="H246" s="957" t="s">
        <v>99</v>
      </c>
      <c r="I246" s="957" t="s">
        <v>69</v>
      </c>
      <c r="J246" s="957" t="s">
        <v>70</v>
      </c>
      <c r="K246" s="957" t="s">
        <v>69</v>
      </c>
      <c r="L246" s="957" t="s">
        <v>69</v>
      </c>
      <c r="M246" s="957" t="s">
        <v>70</v>
      </c>
      <c r="N246" s="957" t="s">
        <v>69</v>
      </c>
      <c r="O246" s="957" t="s">
        <v>69</v>
      </c>
      <c r="P246" s="957"/>
      <c r="Q246" s="957" t="s">
        <v>70</v>
      </c>
      <c r="R246" s="957" t="s">
        <v>70</v>
      </c>
      <c r="S246" s="957" t="s">
        <v>69</v>
      </c>
      <c r="T246" s="957" t="s">
        <v>69</v>
      </c>
      <c r="U246" s="973" t="s">
        <v>69</v>
      </c>
      <c r="V246" s="1017" t="s">
        <v>69</v>
      </c>
      <c r="W246" s="1017" t="s">
        <v>69</v>
      </c>
      <c r="X246" s="1010" t="s">
        <v>70</v>
      </c>
      <c r="Y246" s="1010" t="s">
        <v>70</v>
      </c>
      <c r="Z246" s="1017" t="s">
        <v>69</v>
      </c>
      <c r="AA246" s="1017" t="s">
        <v>69</v>
      </c>
      <c r="AB246" s="1020" t="s">
        <v>69</v>
      </c>
      <c r="AC246" s="1031" t="s">
        <v>99</v>
      </c>
      <c r="AD246" s="1022" t="s">
        <v>70</v>
      </c>
      <c r="AE246" s="1022" t="s">
        <v>70</v>
      </c>
      <c r="AF246" s="919"/>
      <c r="AG246" s="919"/>
      <c r="AH246" s="919"/>
      <c r="AI246" s="919"/>
      <c r="AJ246" s="919"/>
      <c r="AK246" s="919"/>
      <c r="AL246" s="919"/>
      <c r="AM246" s="919"/>
      <c r="AN246" s="919"/>
      <c r="AO246" s="919"/>
      <c r="AP246" s="919"/>
      <c r="AQ246" s="919"/>
      <c r="AR246" s="919"/>
      <c r="AS246" s="919"/>
      <c r="AT246" s="919"/>
      <c r="AU246" s="919"/>
      <c r="AV246" s="919"/>
      <c r="AW246" s="919"/>
      <c r="AX246" s="919"/>
      <c r="AY246" s="919"/>
      <c r="AZ246" s="919"/>
      <c r="BA246" s="919"/>
      <c r="BB246" s="919"/>
      <c r="BC246" s="919"/>
      <c r="BD246" s="919"/>
      <c r="BE246" s="920"/>
      <c r="BF246" s="920"/>
      <c r="BG246" s="920"/>
      <c r="BH246" s="920"/>
      <c r="BI246" s="920"/>
      <c r="BJ246" s="920"/>
      <c r="BK246" s="920"/>
      <c r="BL246" s="920"/>
    </row>
    <row r="247">
      <c r="A247" s="901"/>
      <c r="B247" s="952" t="s">
        <v>37</v>
      </c>
      <c r="C247" s="952" t="s">
        <v>12</v>
      </c>
      <c r="D247" s="958"/>
      <c r="E247" s="108"/>
      <c r="F247" s="108"/>
      <c r="G247" s="108"/>
      <c r="H247" s="108"/>
      <c r="I247" s="108"/>
      <c r="J247" s="108"/>
      <c r="K247" s="108"/>
      <c r="L247" s="108"/>
      <c r="M247" s="108"/>
      <c r="N247" s="108"/>
      <c r="O247" s="108"/>
      <c r="P247" s="108"/>
      <c r="Q247" s="108"/>
      <c r="R247" s="109"/>
      <c r="S247" s="957" t="s">
        <v>70</v>
      </c>
      <c r="T247" s="957" t="s">
        <v>69</v>
      </c>
      <c r="U247" s="1021" t="s">
        <v>69</v>
      </c>
      <c r="V247" s="1022" t="s">
        <v>70</v>
      </c>
      <c r="W247" s="1020" t="s">
        <v>69</v>
      </c>
      <c r="X247" s="1022" t="s">
        <v>70</v>
      </c>
      <c r="Y247" s="1022" t="s">
        <v>70</v>
      </c>
      <c r="Z247" s="1029" t="s">
        <v>100</v>
      </c>
      <c r="AA247" s="1029" t="s">
        <v>100</v>
      </c>
      <c r="AB247" s="1029" t="s">
        <v>100</v>
      </c>
      <c r="AC247" s="1029" t="s">
        <v>100</v>
      </c>
      <c r="AD247" s="1029" t="s">
        <v>100</v>
      </c>
      <c r="AE247" s="1029" t="s">
        <v>100</v>
      </c>
      <c r="AF247" s="919"/>
      <c r="AG247" s="919"/>
      <c r="AH247" s="919"/>
      <c r="AI247" s="919"/>
      <c r="AJ247" s="919"/>
      <c r="AK247" s="919"/>
      <c r="AL247" s="919"/>
      <c r="AM247" s="919"/>
      <c r="AN247" s="919"/>
      <c r="AO247" s="919"/>
      <c r="AP247" s="919"/>
      <c r="AQ247" s="919"/>
      <c r="AR247" s="919"/>
      <c r="AS247" s="919"/>
      <c r="AT247" s="919"/>
      <c r="AU247" s="919"/>
      <c r="AV247" s="919"/>
      <c r="AW247" s="919"/>
      <c r="AX247" s="919"/>
      <c r="AY247" s="919"/>
      <c r="AZ247" s="919"/>
      <c r="BA247" s="919"/>
      <c r="BB247" s="919"/>
      <c r="BC247" s="919"/>
      <c r="BD247" s="919"/>
      <c r="BE247" s="920"/>
      <c r="BF247" s="920"/>
      <c r="BG247" s="920"/>
      <c r="BH247" s="920"/>
      <c r="BI247" s="920"/>
      <c r="BJ247" s="920"/>
      <c r="BK247" s="920"/>
      <c r="BL247" s="920"/>
    </row>
    <row r="248">
      <c r="A248" s="901"/>
      <c r="B248" s="1034" t="s">
        <v>1203</v>
      </c>
      <c r="C248" s="1034" t="s">
        <v>12</v>
      </c>
      <c r="D248" s="957" t="s">
        <v>69</v>
      </c>
      <c r="E248" s="957" t="s">
        <v>70</v>
      </c>
      <c r="F248" s="957" t="s">
        <v>70</v>
      </c>
      <c r="G248" s="957" t="s">
        <v>69</v>
      </c>
      <c r="H248" s="957" t="s">
        <v>70</v>
      </c>
      <c r="I248" s="957" t="s">
        <v>69</v>
      </c>
      <c r="J248" s="957" t="s">
        <v>70</v>
      </c>
      <c r="K248" s="957" t="s">
        <v>69</v>
      </c>
      <c r="L248" s="957" t="s">
        <v>69</v>
      </c>
      <c r="M248" s="957" t="s">
        <v>70</v>
      </c>
      <c r="N248" s="957" t="s">
        <v>69</v>
      </c>
      <c r="O248" s="957" t="s">
        <v>69</v>
      </c>
      <c r="P248" s="957"/>
      <c r="Q248" s="957" t="s">
        <v>70</v>
      </c>
      <c r="R248" s="957" t="s">
        <v>70</v>
      </c>
      <c r="S248" s="958"/>
      <c r="T248" s="108"/>
      <c r="U248" s="108"/>
      <c r="V248" s="108"/>
      <c r="W248" s="108"/>
      <c r="X248" s="108"/>
      <c r="Y248" s="108"/>
      <c r="Z248" s="108"/>
      <c r="AA248" s="108"/>
      <c r="AB248" s="108"/>
      <c r="AC248" s="108"/>
      <c r="AD248" s="108"/>
      <c r="AE248" s="109"/>
      <c r="AF248" s="919"/>
      <c r="AG248" s="919"/>
      <c r="AH248" s="919"/>
      <c r="AI248" s="919"/>
      <c r="AJ248" s="919"/>
      <c r="AK248" s="919"/>
      <c r="AL248" s="919"/>
      <c r="AM248" s="919"/>
      <c r="AN248" s="919"/>
      <c r="AO248" s="919"/>
      <c r="AP248" s="919"/>
      <c r="AQ248" s="919"/>
      <c r="AR248" s="919"/>
      <c r="AS248" s="919"/>
      <c r="AT248" s="919"/>
      <c r="AU248" s="919"/>
      <c r="AV248" s="919"/>
      <c r="AW248" s="919"/>
      <c r="AX248" s="919"/>
      <c r="AY248" s="919"/>
      <c r="AZ248" s="919"/>
      <c r="BA248" s="919"/>
      <c r="BB248" s="919"/>
      <c r="BC248" s="919"/>
      <c r="BD248" s="919"/>
      <c r="BE248" s="920"/>
      <c r="BF248" s="920"/>
      <c r="BG248" s="920"/>
      <c r="BH248" s="920"/>
      <c r="BI248" s="920"/>
      <c r="BJ248" s="920"/>
      <c r="BK248" s="920"/>
      <c r="BL248" s="920"/>
    </row>
    <row r="249">
      <c r="A249" s="901"/>
      <c r="B249" s="951" t="s">
        <v>1238</v>
      </c>
      <c r="C249" s="951" t="s">
        <v>12</v>
      </c>
      <c r="D249" s="957" t="s">
        <v>69</v>
      </c>
      <c r="E249" s="957" t="s">
        <v>70</v>
      </c>
      <c r="F249" s="957" t="s">
        <v>69</v>
      </c>
      <c r="G249" s="957" t="s">
        <v>69</v>
      </c>
      <c r="H249" s="957" t="s">
        <v>69</v>
      </c>
      <c r="I249" s="957" t="s">
        <v>69</v>
      </c>
      <c r="J249" s="957" t="s">
        <v>99</v>
      </c>
      <c r="K249" s="957" t="s">
        <v>69</v>
      </c>
      <c r="L249" s="957" t="s">
        <v>69</v>
      </c>
      <c r="M249" s="957" t="s">
        <v>70</v>
      </c>
      <c r="N249" s="957" t="s">
        <v>69</v>
      </c>
      <c r="O249" s="957" t="s">
        <v>69</v>
      </c>
      <c r="P249" s="957"/>
      <c r="Q249" s="957" t="s">
        <v>70</v>
      </c>
      <c r="R249" s="957" t="s">
        <v>70</v>
      </c>
      <c r="S249" s="957" t="s">
        <v>69</v>
      </c>
      <c r="T249" s="957" t="s">
        <v>70</v>
      </c>
      <c r="U249" s="1035" t="s">
        <v>100</v>
      </c>
      <c r="V249" s="1032" t="s">
        <v>100</v>
      </c>
      <c r="W249" s="1032" t="s">
        <v>100</v>
      </c>
      <c r="X249" s="1032" t="s">
        <v>100</v>
      </c>
      <c r="Y249" s="1032" t="s">
        <v>100</v>
      </c>
      <c r="Z249" s="1032" t="s">
        <v>100</v>
      </c>
      <c r="AA249" s="1032" t="s">
        <v>100</v>
      </c>
      <c r="AB249" s="1029" t="s">
        <v>100</v>
      </c>
      <c r="AC249" s="1029" t="s">
        <v>100</v>
      </c>
      <c r="AD249" s="1029" t="s">
        <v>100</v>
      </c>
      <c r="AE249" s="1029" t="s">
        <v>100</v>
      </c>
      <c r="AF249" s="919"/>
      <c r="AG249" s="919"/>
      <c r="AH249" s="919"/>
      <c r="AI249" s="919"/>
      <c r="AJ249" s="919"/>
      <c r="AK249" s="919"/>
      <c r="AL249" s="919"/>
      <c r="AM249" s="919"/>
      <c r="AN249" s="919"/>
      <c r="AO249" s="919"/>
      <c r="AP249" s="919"/>
      <c r="AQ249" s="919"/>
      <c r="AR249" s="919"/>
      <c r="AS249" s="919"/>
      <c r="AT249" s="919"/>
      <c r="AU249" s="919"/>
      <c r="AV249" s="919"/>
      <c r="AW249" s="919"/>
      <c r="AX249" s="919"/>
      <c r="AY249" s="919"/>
      <c r="AZ249" s="919"/>
      <c r="BA249" s="919"/>
      <c r="BB249" s="919"/>
      <c r="BC249" s="919"/>
      <c r="BD249" s="919"/>
      <c r="BE249" s="920"/>
      <c r="BF249" s="920"/>
      <c r="BG249" s="920"/>
      <c r="BH249" s="920"/>
      <c r="BI249" s="920"/>
      <c r="BJ249" s="920"/>
      <c r="BK249" s="920"/>
      <c r="BL249" s="920"/>
    </row>
    <row r="250">
      <c r="A250" s="901"/>
      <c r="B250" s="926" t="s">
        <v>132</v>
      </c>
      <c r="C250" s="927" t="s">
        <v>21</v>
      </c>
      <c r="D250" s="1036" t="s">
        <v>69</v>
      </c>
      <c r="E250" s="1037" t="s">
        <v>70</v>
      </c>
      <c r="F250" s="1038" t="s">
        <v>69</v>
      </c>
      <c r="G250" s="1038" t="s">
        <v>69</v>
      </c>
      <c r="H250" s="1038" t="s">
        <v>69</v>
      </c>
      <c r="I250" s="1038" t="s">
        <v>69</v>
      </c>
      <c r="J250" s="1038" t="s">
        <v>69</v>
      </c>
      <c r="K250" s="1038" t="s">
        <v>69</v>
      </c>
      <c r="L250" s="957" t="s">
        <v>69</v>
      </c>
      <c r="M250" s="957" t="s">
        <v>70</v>
      </c>
      <c r="N250" s="957" t="s">
        <v>69</v>
      </c>
      <c r="O250" s="957" t="s">
        <v>69</v>
      </c>
      <c r="P250" s="957"/>
      <c r="Q250" s="957" t="s">
        <v>70</v>
      </c>
      <c r="R250" s="957" t="s">
        <v>70</v>
      </c>
      <c r="S250" s="957" t="s">
        <v>69</v>
      </c>
      <c r="T250" s="957" t="s">
        <v>70</v>
      </c>
      <c r="U250" s="1021" t="s">
        <v>69</v>
      </c>
      <c r="V250" s="1020" t="s">
        <v>69</v>
      </c>
      <c r="W250" s="1022" t="s">
        <v>70</v>
      </c>
      <c r="X250" s="1022" t="s">
        <v>70</v>
      </c>
      <c r="Y250" s="1020" t="s">
        <v>69</v>
      </c>
      <c r="Z250" s="1020" t="s">
        <v>69</v>
      </c>
      <c r="AA250" s="1020" t="s">
        <v>69</v>
      </c>
      <c r="AB250" s="1020" t="s">
        <v>69</v>
      </c>
      <c r="AC250" s="1020" t="s">
        <v>69</v>
      </c>
      <c r="AD250" s="1022" t="s">
        <v>70</v>
      </c>
      <c r="AE250" s="1022" t="s">
        <v>70</v>
      </c>
      <c r="AF250" s="919"/>
      <c r="AG250" s="919"/>
      <c r="AH250" s="919"/>
      <c r="AI250" s="919"/>
      <c r="AJ250" s="919"/>
      <c r="AK250" s="919"/>
      <c r="AL250" s="919"/>
      <c r="AM250" s="919"/>
      <c r="AN250" s="919"/>
      <c r="AO250" s="919"/>
      <c r="AP250" s="919"/>
      <c r="AQ250" s="919"/>
      <c r="AR250" s="919"/>
      <c r="AS250" s="919"/>
      <c r="AT250" s="919"/>
      <c r="AU250" s="919"/>
      <c r="AV250" s="919"/>
      <c r="AW250" s="919"/>
      <c r="AX250" s="919"/>
      <c r="AY250" s="919"/>
      <c r="AZ250" s="919"/>
      <c r="BA250" s="919"/>
      <c r="BB250" s="919"/>
      <c r="BC250" s="919"/>
      <c r="BD250" s="919"/>
      <c r="BE250" s="920"/>
      <c r="BF250" s="920"/>
      <c r="BG250" s="920"/>
      <c r="BH250" s="920"/>
      <c r="BI250" s="920"/>
      <c r="BJ250" s="920"/>
      <c r="BK250" s="920"/>
      <c r="BL250" s="920"/>
    </row>
    <row r="251">
      <c r="A251" s="901"/>
      <c r="B251" s="928" t="s">
        <v>1216</v>
      </c>
      <c r="C251" s="929" t="s">
        <v>21</v>
      </c>
      <c r="D251" s="1039" t="s">
        <v>69</v>
      </c>
      <c r="E251" s="1038" t="s">
        <v>70</v>
      </c>
      <c r="F251" s="1038" t="s">
        <v>69</v>
      </c>
      <c r="G251" s="1038" t="s">
        <v>69</v>
      </c>
      <c r="H251" s="1038" t="s">
        <v>69</v>
      </c>
      <c r="I251" s="1038" t="s">
        <v>69</v>
      </c>
      <c r="J251" s="1038" t="s">
        <v>69</v>
      </c>
      <c r="K251" s="1038" t="s">
        <v>69</v>
      </c>
      <c r="L251" s="957" t="s">
        <v>69</v>
      </c>
      <c r="M251" s="957" t="s">
        <v>70</v>
      </c>
      <c r="N251" s="957" t="s">
        <v>69</v>
      </c>
      <c r="O251" s="957" t="s">
        <v>69</v>
      </c>
      <c r="P251" s="957"/>
      <c r="Q251" s="957" t="s">
        <v>70</v>
      </c>
      <c r="R251" s="957" t="s">
        <v>70</v>
      </c>
      <c r="S251" s="1038" t="s">
        <v>69</v>
      </c>
      <c r="T251" s="1038" t="s">
        <v>69</v>
      </c>
      <c r="U251" s="1028" t="s">
        <v>100</v>
      </c>
      <c r="V251" s="1029" t="s">
        <v>100</v>
      </c>
      <c r="W251" s="1029" t="s">
        <v>100</v>
      </c>
      <c r="X251" s="1029" t="s">
        <v>100</v>
      </c>
      <c r="Y251" s="1029" t="s">
        <v>100</v>
      </c>
      <c r="Z251" s="1020" t="s">
        <v>69</v>
      </c>
      <c r="AA251" s="1020" t="s">
        <v>69</v>
      </c>
      <c r="AB251" s="1020" t="s">
        <v>69</v>
      </c>
      <c r="AC251" s="1020" t="s">
        <v>69</v>
      </c>
      <c r="AD251" s="1022" t="s">
        <v>70</v>
      </c>
      <c r="AE251" s="1022" t="s">
        <v>70</v>
      </c>
      <c r="AF251" s="919"/>
      <c r="AG251" s="919"/>
      <c r="AH251" s="919"/>
      <c r="AI251" s="919"/>
      <c r="AJ251" s="919"/>
      <c r="AK251" s="919"/>
      <c r="AL251" s="919"/>
      <c r="AM251" s="919"/>
      <c r="AN251" s="919"/>
      <c r="AO251" s="919"/>
      <c r="AP251" s="919"/>
      <c r="AQ251" s="919"/>
      <c r="AR251" s="919"/>
      <c r="AS251" s="919"/>
      <c r="AT251" s="919"/>
      <c r="AU251" s="919"/>
      <c r="AV251" s="919"/>
      <c r="AW251" s="919"/>
      <c r="AX251" s="919"/>
      <c r="AY251" s="919"/>
      <c r="AZ251" s="919"/>
      <c r="BA251" s="919"/>
      <c r="BB251" s="919"/>
      <c r="BC251" s="919"/>
      <c r="BD251" s="919"/>
      <c r="BE251" s="920"/>
      <c r="BF251" s="920"/>
      <c r="BG251" s="920"/>
      <c r="BH251" s="920"/>
      <c r="BI251" s="920"/>
      <c r="BJ251" s="920"/>
      <c r="BK251" s="920"/>
      <c r="BL251" s="920"/>
    </row>
    <row r="252">
      <c r="A252" s="901"/>
      <c r="B252" s="928" t="s">
        <v>1217</v>
      </c>
      <c r="C252" s="929" t="s">
        <v>21</v>
      </c>
      <c r="D252" s="1039" t="s">
        <v>69</v>
      </c>
      <c r="E252" s="1038" t="s">
        <v>70</v>
      </c>
      <c r="F252" s="1038" t="s">
        <v>69</v>
      </c>
      <c r="G252" s="1038" t="s">
        <v>69</v>
      </c>
      <c r="H252" s="1038" t="s">
        <v>69</v>
      </c>
      <c r="I252" s="1038" t="s">
        <v>69</v>
      </c>
      <c r="J252" s="1038" t="s">
        <v>69</v>
      </c>
      <c r="K252" s="1038" t="s">
        <v>70</v>
      </c>
      <c r="L252" s="957" t="s">
        <v>69</v>
      </c>
      <c r="M252" s="957" t="s">
        <v>70</v>
      </c>
      <c r="N252" s="957" t="s">
        <v>69</v>
      </c>
      <c r="O252" s="957" t="s">
        <v>69</v>
      </c>
      <c r="P252" s="957"/>
      <c r="Q252" s="957" t="s">
        <v>70</v>
      </c>
      <c r="R252" s="957" t="s">
        <v>70</v>
      </c>
      <c r="S252" s="1038" t="s">
        <v>69</v>
      </c>
      <c r="T252" s="1038" t="s">
        <v>70</v>
      </c>
      <c r="U252" s="1021" t="s">
        <v>69</v>
      </c>
      <c r="V252" s="1020" t="s">
        <v>69</v>
      </c>
      <c r="W252" s="1022" t="s">
        <v>70</v>
      </c>
      <c r="X252" s="1022" t="s">
        <v>70</v>
      </c>
      <c r="Y252" s="1020" t="s">
        <v>69</v>
      </c>
      <c r="Z252" s="1020" t="s">
        <v>69</v>
      </c>
      <c r="AA252" s="1020" t="s">
        <v>69</v>
      </c>
      <c r="AB252" s="1022" t="s">
        <v>70</v>
      </c>
      <c r="AC252" s="1020" t="s">
        <v>69</v>
      </c>
      <c r="AD252" s="1022" t="s">
        <v>70</v>
      </c>
      <c r="AE252" s="1022" t="s">
        <v>70</v>
      </c>
      <c r="AF252" s="919"/>
      <c r="AG252" s="919"/>
      <c r="AH252" s="919"/>
      <c r="AI252" s="919"/>
      <c r="AJ252" s="919"/>
      <c r="AK252" s="919"/>
      <c r="AL252" s="919"/>
      <c r="AM252" s="919"/>
      <c r="AN252" s="919"/>
      <c r="AO252" s="919"/>
      <c r="AP252" s="919"/>
      <c r="AQ252" s="919"/>
      <c r="AR252" s="919"/>
      <c r="AS252" s="919"/>
      <c r="AT252" s="919"/>
      <c r="AU252" s="919"/>
      <c r="AV252" s="919"/>
      <c r="AW252" s="919"/>
      <c r="AX252" s="919"/>
      <c r="AY252" s="919"/>
      <c r="AZ252" s="919"/>
      <c r="BA252" s="919"/>
      <c r="BB252" s="919"/>
      <c r="BC252" s="919"/>
      <c r="BD252" s="919"/>
      <c r="BE252" s="920"/>
      <c r="BF252" s="920"/>
      <c r="BG252" s="920"/>
      <c r="BH252" s="920"/>
      <c r="BI252" s="920"/>
      <c r="BJ252" s="920"/>
      <c r="BK252" s="920"/>
      <c r="BL252" s="920"/>
    </row>
    <row r="253">
      <c r="A253" s="901"/>
      <c r="B253" s="928" t="s">
        <v>1218</v>
      </c>
      <c r="C253" s="928" t="s">
        <v>21</v>
      </c>
      <c r="D253" s="957" t="s">
        <v>69</v>
      </c>
      <c r="E253" s="957" t="s">
        <v>70</v>
      </c>
      <c r="F253" s="957" t="s">
        <v>69</v>
      </c>
      <c r="G253" s="957" t="s">
        <v>69</v>
      </c>
      <c r="H253" s="957" t="s">
        <v>69</v>
      </c>
      <c r="I253" s="957" t="s">
        <v>69</v>
      </c>
      <c r="J253" s="957" t="s">
        <v>69</v>
      </c>
      <c r="K253" s="957" t="s">
        <v>69</v>
      </c>
      <c r="L253" s="957" t="s">
        <v>69</v>
      </c>
      <c r="M253" s="957" t="s">
        <v>70</v>
      </c>
      <c r="N253" s="957" t="s">
        <v>69</v>
      </c>
      <c r="O253" s="957" t="s">
        <v>69</v>
      </c>
      <c r="P253" s="957"/>
      <c r="Q253" s="957" t="s">
        <v>70</v>
      </c>
      <c r="R253" s="957" t="s">
        <v>70</v>
      </c>
      <c r="S253" s="957" t="s">
        <v>69</v>
      </c>
      <c r="T253" s="957" t="s">
        <v>69</v>
      </c>
      <c r="U253" s="1028" t="s">
        <v>100</v>
      </c>
      <c r="V253" s="1029" t="s">
        <v>100</v>
      </c>
      <c r="W253" s="1029" t="s">
        <v>100</v>
      </c>
      <c r="X253" s="1029" t="s">
        <v>100</v>
      </c>
      <c r="Y253" s="1029" t="s">
        <v>100</v>
      </c>
      <c r="Z253" s="1020" t="s">
        <v>69</v>
      </c>
      <c r="AA253" s="1020" t="s">
        <v>69</v>
      </c>
      <c r="AB253" s="1020" t="s">
        <v>69</v>
      </c>
      <c r="AC253" s="1022" t="s">
        <v>70</v>
      </c>
      <c r="AD253" s="1022" t="s">
        <v>70</v>
      </c>
      <c r="AE253" s="1022" t="s">
        <v>70</v>
      </c>
      <c r="AF253" s="919"/>
      <c r="AG253" s="919"/>
      <c r="AH253" s="919"/>
      <c r="AI253" s="919"/>
      <c r="AJ253" s="919"/>
      <c r="AK253" s="919"/>
      <c r="AL253" s="919"/>
      <c r="AM253" s="919"/>
      <c r="AN253" s="919"/>
      <c r="AO253" s="919"/>
      <c r="AP253" s="919"/>
      <c r="AQ253" s="919"/>
      <c r="AR253" s="919"/>
      <c r="AS253" s="919"/>
      <c r="AT253" s="919"/>
      <c r="AU253" s="919"/>
      <c r="AV253" s="919"/>
      <c r="AW253" s="919"/>
      <c r="AX253" s="919"/>
      <c r="AY253" s="919"/>
      <c r="AZ253" s="919"/>
      <c r="BA253" s="919"/>
      <c r="BB253" s="919"/>
      <c r="BC253" s="919"/>
      <c r="BD253" s="919"/>
      <c r="BE253" s="920"/>
      <c r="BF253" s="920"/>
      <c r="BG253" s="920"/>
      <c r="BH253" s="920"/>
      <c r="BI253" s="920"/>
      <c r="BJ253" s="920"/>
      <c r="BK253" s="920"/>
      <c r="BL253" s="920"/>
    </row>
    <row r="254">
      <c r="A254" s="901"/>
      <c r="B254" s="928" t="s">
        <v>1239</v>
      </c>
      <c r="C254" s="928" t="s">
        <v>21</v>
      </c>
      <c r="D254" s="1039" t="s">
        <v>69</v>
      </c>
      <c r="E254" s="1038" t="s">
        <v>70</v>
      </c>
      <c r="F254" s="1038" t="s">
        <v>69</v>
      </c>
      <c r="G254" s="1038" t="s">
        <v>69</v>
      </c>
      <c r="H254" s="1038" t="s">
        <v>69</v>
      </c>
      <c r="I254" s="1038" t="s">
        <v>69</v>
      </c>
      <c r="J254" s="1038" t="s">
        <v>69</v>
      </c>
      <c r="K254" s="1038" t="s">
        <v>69</v>
      </c>
      <c r="L254" s="957" t="s">
        <v>69</v>
      </c>
      <c r="M254" s="957" t="s">
        <v>70</v>
      </c>
      <c r="N254" s="957" t="s">
        <v>69</v>
      </c>
      <c r="O254" s="957" t="s">
        <v>69</v>
      </c>
      <c r="P254" s="957"/>
      <c r="Q254" s="957" t="s">
        <v>70</v>
      </c>
      <c r="R254" s="957" t="s">
        <v>70</v>
      </c>
      <c r="S254" s="957" t="s">
        <v>69</v>
      </c>
      <c r="T254" s="957" t="s">
        <v>69</v>
      </c>
      <c r="U254" s="1021" t="s">
        <v>69</v>
      </c>
      <c r="V254" s="1020" t="s">
        <v>69</v>
      </c>
      <c r="W254" s="1022" t="s">
        <v>70</v>
      </c>
      <c r="X254" s="1022" t="s">
        <v>70</v>
      </c>
      <c r="Y254" s="1020" t="s">
        <v>69</v>
      </c>
      <c r="Z254" s="1020" t="s">
        <v>69</v>
      </c>
      <c r="AA254" s="1020" t="s">
        <v>69</v>
      </c>
      <c r="AB254" s="1020" t="s">
        <v>69</v>
      </c>
      <c r="AC254" s="1022" t="s">
        <v>70</v>
      </c>
      <c r="AD254" s="1022" t="s">
        <v>70</v>
      </c>
      <c r="AE254" s="1022" t="s">
        <v>70</v>
      </c>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c r="BC254" s="919"/>
      <c r="BD254" s="919"/>
      <c r="BE254" s="920"/>
      <c r="BF254" s="920"/>
      <c r="BG254" s="920"/>
      <c r="BH254" s="920"/>
      <c r="BI254" s="920"/>
      <c r="BJ254" s="920"/>
      <c r="BK254" s="920"/>
      <c r="BL254" s="920"/>
    </row>
    <row r="255">
      <c r="A255" s="901"/>
      <c r="B255" s="928" t="s">
        <v>1178</v>
      </c>
      <c r="C255" s="928" t="s">
        <v>21</v>
      </c>
      <c r="D255" s="1036" t="s">
        <v>69</v>
      </c>
      <c r="E255" s="1037" t="s">
        <v>70</v>
      </c>
      <c r="F255" s="1037" t="s">
        <v>69</v>
      </c>
      <c r="G255" s="1037" t="s">
        <v>69</v>
      </c>
      <c r="H255" s="1037" t="s">
        <v>69</v>
      </c>
      <c r="I255" s="1037" t="s">
        <v>69</v>
      </c>
      <c r="J255" s="1037" t="s">
        <v>69</v>
      </c>
      <c r="K255" s="1037" t="s">
        <v>69</v>
      </c>
      <c r="L255" s="957" t="s">
        <v>69</v>
      </c>
      <c r="M255" s="957" t="s">
        <v>70</v>
      </c>
      <c r="N255" s="957" t="s">
        <v>69</v>
      </c>
      <c r="O255" s="957" t="s">
        <v>69</v>
      </c>
      <c r="P255" s="957"/>
      <c r="Q255" s="957" t="s">
        <v>70</v>
      </c>
      <c r="R255" s="957" t="s">
        <v>70</v>
      </c>
      <c r="S255" s="957" t="s">
        <v>69</v>
      </c>
      <c r="T255" s="957" t="s">
        <v>69</v>
      </c>
      <c r="U255" s="1021" t="s">
        <v>69</v>
      </c>
      <c r="V255" s="1020" t="s">
        <v>69</v>
      </c>
      <c r="W255" s="1022" t="s">
        <v>70</v>
      </c>
      <c r="X255" s="1022" t="s">
        <v>70</v>
      </c>
      <c r="Y255" s="1020" t="s">
        <v>69</v>
      </c>
      <c r="Z255" s="1020" t="s">
        <v>69</v>
      </c>
      <c r="AA255" s="1020" t="s">
        <v>69</v>
      </c>
      <c r="AB255" s="1020" t="s">
        <v>69</v>
      </c>
      <c r="AC255" s="1020" t="s">
        <v>69</v>
      </c>
      <c r="AD255" s="1022" t="s">
        <v>70</v>
      </c>
      <c r="AE255" s="1022" t="s">
        <v>70</v>
      </c>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c r="BC255" s="919"/>
      <c r="BD255" s="919"/>
      <c r="BE255" s="920"/>
      <c r="BF255" s="920"/>
      <c r="BG255" s="920"/>
      <c r="BH255" s="920"/>
      <c r="BI255" s="920"/>
      <c r="BJ255" s="920"/>
      <c r="BK255" s="920"/>
      <c r="BL255" s="920"/>
    </row>
    <row r="256">
      <c r="A256" s="901"/>
      <c r="B256" s="928" t="s">
        <v>1219</v>
      </c>
      <c r="C256" s="928" t="s">
        <v>21</v>
      </c>
      <c r="D256" s="1039" t="s">
        <v>69</v>
      </c>
      <c r="E256" s="1038" t="s">
        <v>70</v>
      </c>
      <c r="F256" s="1038" t="s">
        <v>69</v>
      </c>
      <c r="G256" s="1038" t="s">
        <v>69</v>
      </c>
      <c r="H256" s="1038" t="s">
        <v>69</v>
      </c>
      <c r="I256" s="1038" t="s">
        <v>69</v>
      </c>
      <c r="J256" s="1038" t="s">
        <v>69</v>
      </c>
      <c r="K256" s="1038" t="s">
        <v>69</v>
      </c>
      <c r="L256" s="957" t="s">
        <v>69</v>
      </c>
      <c r="M256" s="957" t="s">
        <v>70</v>
      </c>
      <c r="N256" s="957" t="s">
        <v>69</v>
      </c>
      <c r="O256" s="957" t="s">
        <v>69</v>
      </c>
      <c r="P256" s="957"/>
      <c r="Q256" s="957" t="s">
        <v>70</v>
      </c>
      <c r="R256" s="957" t="s">
        <v>70</v>
      </c>
      <c r="S256" s="957" t="s">
        <v>69</v>
      </c>
      <c r="T256" s="957" t="s">
        <v>69</v>
      </c>
      <c r="U256" s="1021" t="s">
        <v>69</v>
      </c>
      <c r="V256" s="1020" t="s">
        <v>69</v>
      </c>
      <c r="W256" s="1022" t="s">
        <v>70</v>
      </c>
      <c r="X256" s="1022" t="s">
        <v>70</v>
      </c>
      <c r="Y256" s="1020" t="s">
        <v>69</v>
      </c>
      <c r="Z256" s="1020" t="s">
        <v>69</v>
      </c>
      <c r="AA256" s="1020" t="s">
        <v>69</v>
      </c>
      <c r="AB256" s="1020" t="s">
        <v>69</v>
      </c>
      <c r="AC256" s="1020" t="s">
        <v>69</v>
      </c>
      <c r="AD256" s="1022" t="s">
        <v>70</v>
      </c>
      <c r="AE256" s="1022" t="s">
        <v>70</v>
      </c>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c r="BC256" s="919"/>
      <c r="BD256" s="919"/>
      <c r="BE256" s="920"/>
      <c r="BF256" s="920"/>
      <c r="BG256" s="920"/>
      <c r="BH256" s="920"/>
      <c r="BI256" s="920"/>
      <c r="BJ256" s="920"/>
      <c r="BK256" s="920"/>
      <c r="BL256" s="920"/>
    </row>
    <row r="257">
      <c r="A257" s="1013"/>
      <c r="B257" s="1005" t="s">
        <v>1222</v>
      </c>
      <c r="C257" s="1005" t="s">
        <v>410</v>
      </c>
      <c r="D257" s="957" t="s">
        <v>100</v>
      </c>
      <c r="E257" s="957" t="s">
        <v>100</v>
      </c>
      <c r="F257" s="957" t="s">
        <v>100</v>
      </c>
      <c r="G257" s="957" t="s">
        <v>100</v>
      </c>
      <c r="H257" s="957" t="s">
        <v>100</v>
      </c>
      <c r="I257" s="957" t="s">
        <v>100</v>
      </c>
      <c r="J257" s="957" t="s">
        <v>100</v>
      </c>
      <c r="K257" s="957" t="s">
        <v>100</v>
      </c>
      <c r="L257" s="957" t="s">
        <v>100</v>
      </c>
      <c r="M257" s="957" t="s">
        <v>100</v>
      </c>
      <c r="N257" s="957" t="s">
        <v>100</v>
      </c>
      <c r="O257" s="957" t="s">
        <v>100</v>
      </c>
      <c r="P257" s="957"/>
      <c r="Q257" s="957" t="s">
        <v>100</v>
      </c>
      <c r="R257" s="957" t="s">
        <v>100</v>
      </c>
      <c r="S257" s="957" t="s">
        <v>1223</v>
      </c>
      <c r="T257" s="957" t="s">
        <v>1223</v>
      </c>
      <c r="U257" s="1021" t="s">
        <v>69</v>
      </c>
      <c r="V257" s="1020" t="s">
        <v>69</v>
      </c>
      <c r="W257" s="1020" t="s">
        <v>69</v>
      </c>
      <c r="X257" s="1020" t="s">
        <v>69</v>
      </c>
      <c r="Y257" s="1022" t="s">
        <v>70</v>
      </c>
      <c r="Z257" s="1022" t="s">
        <v>70</v>
      </c>
      <c r="AA257" s="1020" t="s">
        <v>69</v>
      </c>
      <c r="AB257" s="1020" t="s">
        <v>69</v>
      </c>
      <c r="AC257" s="1020" t="s">
        <v>69</v>
      </c>
      <c r="AD257" s="1020" t="s">
        <v>69</v>
      </c>
      <c r="AE257" s="1020" t="s">
        <v>69</v>
      </c>
      <c r="AF257" s="919"/>
      <c r="AG257" s="919"/>
      <c r="AH257" s="919"/>
      <c r="AI257" s="919"/>
      <c r="AJ257" s="919"/>
      <c r="AK257" s="919"/>
      <c r="AL257" s="919"/>
      <c r="AM257" s="919"/>
      <c r="AN257" s="919"/>
      <c r="AO257" s="919"/>
      <c r="AP257" s="919"/>
      <c r="AQ257" s="919"/>
      <c r="AR257" s="919"/>
      <c r="AS257" s="919"/>
      <c r="AT257" s="919"/>
      <c r="AU257" s="919"/>
      <c r="AV257" s="919"/>
      <c r="AW257" s="919"/>
      <c r="AX257" s="919"/>
      <c r="AY257" s="919"/>
      <c r="AZ257" s="919"/>
      <c r="BA257" s="919"/>
      <c r="BB257" s="919"/>
      <c r="BC257" s="919"/>
      <c r="BD257" s="919"/>
      <c r="BE257" s="920"/>
      <c r="BF257" s="920"/>
      <c r="BG257" s="920"/>
      <c r="BH257" s="920"/>
      <c r="BI257" s="920"/>
      <c r="BJ257" s="920"/>
      <c r="BK257" s="920"/>
      <c r="BL257" s="920"/>
    </row>
    <row r="258">
      <c r="A258" s="899" t="s">
        <v>68</v>
      </c>
      <c r="B258" s="900"/>
      <c r="D258" s="918"/>
      <c r="U258" s="671"/>
      <c r="V258" s="671"/>
      <c r="W258" s="671"/>
      <c r="X258" s="671"/>
      <c r="Y258" s="671"/>
      <c r="Z258" s="671"/>
      <c r="AA258" s="671"/>
      <c r="AB258" s="671"/>
      <c r="AC258" s="671"/>
      <c r="AD258" s="671"/>
      <c r="AE258" s="671"/>
      <c r="AF258" s="919"/>
      <c r="AG258" s="919"/>
      <c r="AH258" s="919"/>
      <c r="AI258" s="919"/>
      <c r="AJ258" s="919"/>
      <c r="AK258" s="919"/>
      <c r="AL258" s="919"/>
      <c r="AM258" s="919"/>
      <c r="AN258" s="919"/>
      <c r="AO258" s="919"/>
      <c r="AP258" s="919"/>
      <c r="AQ258" s="919"/>
      <c r="AR258" s="919"/>
      <c r="AS258" s="919"/>
      <c r="AT258" s="919"/>
      <c r="AU258" s="919"/>
      <c r="AV258" s="919"/>
      <c r="AW258" s="919"/>
      <c r="AX258" s="919"/>
      <c r="AY258" s="919"/>
      <c r="AZ258" s="919"/>
      <c r="BA258" s="919"/>
      <c r="BB258" s="919"/>
      <c r="BC258" s="919"/>
      <c r="BD258" s="919"/>
      <c r="BE258" s="920"/>
      <c r="BF258" s="920"/>
      <c r="BG258" s="920"/>
      <c r="BH258" s="920"/>
      <c r="BI258" s="920"/>
      <c r="BJ258" s="920"/>
      <c r="BK258" s="920"/>
      <c r="BL258" s="920"/>
    </row>
    <row r="259">
      <c r="A259" s="901"/>
      <c r="B259" s="790" t="s">
        <v>69</v>
      </c>
      <c r="D259" s="791">
        <f t="shared" ref="D259:O259" si="75">COUNTIF(D230:D257,"Voor")</f>
        <v>23</v>
      </c>
      <c r="E259" s="902">
        <f t="shared" si="75"/>
        <v>7</v>
      </c>
      <c r="F259" s="902">
        <f t="shared" si="75"/>
        <v>22</v>
      </c>
      <c r="G259" s="902">
        <f t="shared" si="75"/>
        <v>23</v>
      </c>
      <c r="H259" s="902">
        <f t="shared" si="75"/>
        <v>21</v>
      </c>
      <c r="I259" s="902">
        <f t="shared" si="75"/>
        <v>22</v>
      </c>
      <c r="J259" s="902">
        <f t="shared" si="75"/>
        <v>7</v>
      </c>
      <c r="K259" s="902">
        <f t="shared" si="75"/>
        <v>9</v>
      </c>
      <c r="L259" s="902">
        <f t="shared" si="75"/>
        <v>14</v>
      </c>
      <c r="M259" s="902">
        <f t="shared" si="75"/>
        <v>7</v>
      </c>
      <c r="N259" s="902">
        <f t="shared" si="75"/>
        <v>15</v>
      </c>
      <c r="O259" s="902">
        <f t="shared" si="75"/>
        <v>21</v>
      </c>
      <c r="P259" s="902"/>
      <c r="Q259" s="902">
        <f t="shared" ref="Q259:AE259" si="76">COUNTIF(Q230:Q257,"Voor")</f>
        <v>14</v>
      </c>
      <c r="R259" s="902">
        <f t="shared" si="76"/>
        <v>12</v>
      </c>
      <c r="S259" s="902">
        <f t="shared" si="76"/>
        <v>20</v>
      </c>
      <c r="T259" s="902">
        <f t="shared" si="76"/>
        <v>17</v>
      </c>
      <c r="U259" s="902">
        <f t="shared" si="76"/>
        <v>8</v>
      </c>
      <c r="V259" s="902">
        <f t="shared" si="76"/>
        <v>21</v>
      </c>
      <c r="W259" s="902">
        <f t="shared" si="76"/>
        <v>16</v>
      </c>
      <c r="X259" s="902">
        <f t="shared" si="76"/>
        <v>8</v>
      </c>
      <c r="Y259" s="902">
        <f t="shared" si="76"/>
        <v>19</v>
      </c>
      <c r="Z259" s="902">
        <f t="shared" si="76"/>
        <v>17</v>
      </c>
      <c r="AA259" s="902">
        <f t="shared" si="76"/>
        <v>10</v>
      </c>
      <c r="AB259" s="902">
        <f t="shared" si="76"/>
        <v>16</v>
      </c>
      <c r="AC259" s="902">
        <f t="shared" si="76"/>
        <v>15</v>
      </c>
      <c r="AD259" s="902">
        <f t="shared" si="76"/>
        <v>3</v>
      </c>
      <c r="AE259" s="902">
        <f t="shared" si="76"/>
        <v>10</v>
      </c>
      <c r="AF259" s="919"/>
      <c r="AG259" s="919"/>
      <c r="AH259" s="919"/>
      <c r="AI259" s="919"/>
      <c r="AJ259" s="919"/>
      <c r="AK259" s="919"/>
      <c r="AL259" s="919"/>
      <c r="AM259" s="919"/>
      <c r="AN259" s="919"/>
      <c r="AO259" s="919"/>
      <c r="AP259" s="919"/>
      <c r="AQ259" s="919"/>
      <c r="AR259" s="919"/>
      <c r="AS259" s="919"/>
      <c r="AT259" s="919"/>
      <c r="AU259" s="919"/>
      <c r="AV259" s="919"/>
      <c r="AW259" s="919"/>
      <c r="AX259" s="919"/>
      <c r="AY259" s="919"/>
      <c r="AZ259" s="919"/>
      <c r="BA259" s="919"/>
      <c r="BB259" s="919"/>
      <c r="BC259" s="919"/>
      <c r="BD259" s="919"/>
      <c r="BE259" s="920"/>
      <c r="BF259" s="920"/>
      <c r="BG259" s="920"/>
      <c r="BH259" s="920"/>
      <c r="BI259" s="920"/>
      <c r="BJ259" s="920"/>
      <c r="BK259" s="920"/>
      <c r="BL259" s="920"/>
    </row>
    <row r="260">
      <c r="A260" s="901"/>
      <c r="B260" s="792" t="s">
        <v>70</v>
      </c>
      <c r="D260" s="793">
        <f t="shared" ref="D260:O260" si="77">COUNTIF(D230:D257,"Tegen")</f>
        <v>0</v>
      </c>
      <c r="E260" s="903">
        <f t="shared" si="77"/>
        <v>15</v>
      </c>
      <c r="F260" s="903">
        <f t="shared" si="77"/>
        <v>1</v>
      </c>
      <c r="G260" s="903">
        <f t="shared" si="77"/>
        <v>0</v>
      </c>
      <c r="H260" s="903">
        <f t="shared" si="77"/>
        <v>1</v>
      </c>
      <c r="I260" s="903">
        <f t="shared" si="77"/>
        <v>1</v>
      </c>
      <c r="J260" s="903">
        <f t="shared" si="77"/>
        <v>15</v>
      </c>
      <c r="K260" s="903">
        <f t="shared" si="77"/>
        <v>14</v>
      </c>
      <c r="L260" s="903">
        <f t="shared" si="77"/>
        <v>0</v>
      </c>
      <c r="M260" s="903">
        <f t="shared" si="77"/>
        <v>17</v>
      </c>
      <c r="N260" s="903">
        <f t="shared" si="77"/>
        <v>9</v>
      </c>
      <c r="O260" s="903">
        <f t="shared" si="77"/>
        <v>3</v>
      </c>
      <c r="P260" s="903"/>
      <c r="Q260" s="903">
        <f t="shared" ref="Q260:AE260" si="78">COUNTIF(Q230:Q257,"Tegen")</f>
        <v>10</v>
      </c>
      <c r="R260" s="903">
        <f t="shared" si="78"/>
        <v>10</v>
      </c>
      <c r="S260" s="903">
        <f t="shared" si="78"/>
        <v>2</v>
      </c>
      <c r="T260" s="903">
        <f t="shared" si="78"/>
        <v>5</v>
      </c>
      <c r="U260" s="903">
        <f t="shared" si="78"/>
        <v>14</v>
      </c>
      <c r="V260" s="903">
        <f t="shared" si="78"/>
        <v>1</v>
      </c>
      <c r="W260" s="903">
        <f t="shared" si="78"/>
        <v>6</v>
      </c>
      <c r="X260" s="903">
        <f t="shared" si="78"/>
        <v>14</v>
      </c>
      <c r="Y260" s="903">
        <f t="shared" si="78"/>
        <v>3</v>
      </c>
      <c r="Z260" s="903">
        <f t="shared" si="78"/>
        <v>2</v>
      </c>
      <c r="AA260" s="903">
        <f t="shared" si="78"/>
        <v>8</v>
      </c>
      <c r="AB260" s="903">
        <f t="shared" si="78"/>
        <v>1</v>
      </c>
      <c r="AC260" s="903">
        <f t="shared" si="78"/>
        <v>2</v>
      </c>
      <c r="AD260" s="903">
        <f t="shared" si="78"/>
        <v>16</v>
      </c>
      <c r="AE260" s="903">
        <f t="shared" si="78"/>
        <v>9</v>
      </c>
      <c r="AF260" s="919"/>
      <c r="AG260" s="919"/>
      <c r="AH260" s="919"/>
      <c r="AI260" s="919"/>
      <c r="AJ260" s="919"/>
      <c r="AK260" s="919"/>
      <c r="AL260" s="919"/>
      <c r="AM260" s="919"/>
      <c r="AN260" s="919"/>
      <c r="AO260" s="919"/>
      <c r="AP260" s="919"/>
      <c r="AQ260" s="919"/>
      <c r="AR260" s="919"/>
      <c r="AS260" s="919"/>
      <c r="AT260" s="919"/>
      <c r="AU260" s="919"/>
      <c r="AV260" s="919"/>
      <c r="AW260" s="919"/>
      <c r="AX260" s="919"/>
      <c r="AY260" s="919"/>
      <c r="AZ260" s="919"/>
      <c r="BA260" s="919"/>
      <c r="BB260" s="919"/>
      <c r="BC260" s="919"/>
      <c r="BD260" s="919"/>
      <c r="BE260" s="920"/>
      <c r="BF260" s="920"/>
      <c r="BG260" s="920"/>
      <c r="BH260" s="920"/>
      <c r="BI260" s="920"/>
      <c r="BJ260" s="920"/>
      <c r="BK260" s="920"/>
      <c r="BL260" s="920"/>
    </row>
    <row r="261">
      <c r="A261" s="901"/>
      <c r="B261" s="794" t="s">
        <v>71</v>
      </c>
      <c r="D261" s="795">
        <f t="shared" ref="D261:O261" si="79">COUNTIF(D230:D257,"SO")</f>
        <v>0</v>
      </c>
      <c r="E261" s="904">
        <f t="shared" si="79"/>
        <v>1</v>
      </c>
      <c r="F261" s="904">
        <f t="shared" si="79"/>
        <v>0</v>
      </c>
      <c r="G261" s="904">
        <f t="shared" si="79"/>
        <v>0</v>
      </c>
      <c r="H261" s="904">
        <f t="shared" si="79"/>
        <v>1</v>
      </c>
      <c r="I261" s="904">
        <f t="shared" si="79"/>
        <v>0</v>
      </c>
      <c r="J261" s="904">
        <f t="shared" si="79"/>
        <v>1</v>
      </c>
      <c r="K261" s="904">
        <f t="shared" si="79"/>
        <v>0</v>
      </c>
      <c r="L261" s="904">
        <f t="shared" si="79"/>
        <v>10</v>
      </c>
      <c r="M261" s="904">
        <f t="shared" si="79"/>
        <v>0</v>
      </c>
      <c r="N261" s="904">
        <f t="shared" si="79"/>
        <v>0</v>
      </c>
      <c r="O261" s="904">
        <f t="shared" si="79"/>
        <v>0</v>
      </c>
      <c r="P261" s="904"/>
      <c r="Q261" s="904">
        <f t="shared" ref="Q261:AE261" si="80">COUNTIF(Q230:Q257,"SO")</f>
        <v>0</v>
      </c>
      <c r="R261" s="904">
        <f t="shared" si="80"/>
        <v>2</v>
      </c>
      <c r="S261" s="904">
        <f t="shared" si="80"/>
        <v>0</v>
      </c>
      <c r="T261" s="904">
        <f t="shared" si="80"/>
        <v>0</v>
      </c>
      <c r="U261" s="904">
        <f t="shared" si="80"/>
        <v>0</v>
      </c>
      <c r="V261" s="904">
        <f t="shared" si="80"/>
        <v>0</v>
      </c>
      <c r="W261" s="904">
        <f t="shared" si="80"/>
        <v>0</v>
      </c>
      <c r="X261" s="904">
        <f t="shared" si="80"/>
        <v>0</v>
      </c>
      <c r="Y261" s="904">
        <f t="shared" si="80"/>
        <v>0</v>
      </c>
      <c r="Z261" s="904">
        <f t="shared" si="80"/>
        <v>0</v>
      </c>
      <c r="AA261" s="904">
        <f t="shared" si="80"/>
        <v>0</v>
      </c>
      <c r="AB261" s="904">
        <f t="shared" si="80"/>
        <v>2</v>
      </c>
      <c r="AC261" s="904">
        <f t="shared" si="80"/>
        <v>2</v>
      </c>
      <c r="AD261" s="904">
        <f t="shared" si="80"/>
        <v>0</v>
      </c>
      <c r="AE261" s="904">
        <f t="shared" si="80"/>
        <v>0</v>
      </c>
      <c r="AF261" s="919"/>
      <c r="AG261" s="919"/>
      <c r="AH261" s="919"/>
      <c r="AI261" s="919"/>
      <c r="AJ261" s="919"/>
      <c r="AK261" s="919"/>
      <c r="AL261" s="919"/>
      <c r="AM261" s="919"/>
      <c r="AN261" s="919"/>
      <c r="AO261" s="919"/>
      <c r="AP261" s="919"/>
      <c r="AQ261" s="919"/>
      <c r="AR261" s="919"/>
      <c r="AS261" s="919"/>
      <c r="AT261" s="919"/>
      <c r="AU261" s="919"/>
      <c r="AV261" s="919"/>
      <c r="AW261" s="919"/>
      <c r="AX261" s="919"/>
      <c r="AY261" s="919"/>
      <c r="AZ261" s="919"/>
      <c r="BA261" s="919"/>
      <c r="BB261" s="919"/>
      <c r="BC261" s="919"/>
      <c r="BD261" s="919"/>
      <c r="BE261" s="920"/>
      <c r="BF261" s="920"/>
      <c r="BG261" s="920"/>
      <c r="BH261" s="920"/>
      <c r="BI261" s="920"/>
      <c r="BJ261" s="920"/>
      <c r="BK261" s="920"/>
      <c r="BL261" s="920"/>
    </row>
    <row r="262">
      <c r="A262" s="901"/>
      <c r="B262" s="796" t="s">
        <v>72</v>
      </c>
      <c r="D262" s="797">
        <f t="shared" ref="D262:O262" si="81">COUNTIF(D230:D257,"NG")</f>
        <v>2</v>
      </c>
      <c r="E262" s="905">
        <f t="shared" si="81"/>
        <v>2</v>
      </c>
      <c r="F262" s="905">
        <f t="shared" si="81"/>
        <v>2</v>
      </c>
      <c r="G262" s="905">
        <f t="shared" si="81"/>
        <v>2</v>
      </c>
      <c r="H262" s="905">
        <f t="shared" si="81"/>
        <v>2</v>
      </c>
      <c r="I262" s="905">
        <f t="shared" si="81"/>
        <v>2</v>
      </c>
      <c r="J262" s="905">
        <f t="shared" si="81"/>
        <v>2</v>
      </c>
      <c r="K262" s="905">
        <f t="shared" si="81"/>
        <v>2</v>
      </c>
      <c r="L262" s="905">
        <f t="shared" si="81"/>
        <v>1</v>
      </c>
      <c r="M262" s="905">
        <f t="shared" si="81"/>
        <v>1</v>
      </c>
      <c r="N262" s="905">
        <f t="shared" si="81"/>
        <v>1</v>
      </c>
      <c r="O262" s="905">
        <f t="shared" si="81"/>
        <v>1</v>
      </c>
      <c r="P262" s="905"/>
      <c r="Q262" s="905">
        <f t="shared" ref="Q262:AE262" si="82">COUNTIF(Q230:Q257,"NG")</f>
        <v>1</v>
      </c>
      <c r="R262" s="905">
        <f t="shared" si="82"/>
        <v>1</v>
      </c>
      <c r="S262" s="905">
        <f t="shared" si="82"/>
        <v>0</v>
      </c>
      <c r="T262" s="905">
        <f t="shared" si="82"/>
        <v>0</v>
      </c>
      <c r="U262" s="905">
        <f t="shared" si="82"/>
        <v>3</v>
      </c>
      <c r="V262" s="905">
        <f t="shared" si="82"/>
        <v>3</v>
      </c>
      <c r="W262" s="905">
        <f t="shared" si="82"/>
        <v>3</v>
      </c>
      <c r="X262" s="905">
        <f t="shared" si="82"/>
        <v>3</v>
      </c>
      <c r="Y262" s="905">
        <f t="shared" si="82"/>
        <v>3</v>
      </c>
      <c r="Z262" s="905">
        <f t="shared" si="82"/>
        <v>6</v>
      </c>
      <c r="AA262" s="905">
        <f t="shared" si="82"/>
        <v>7</v>
      </c>
      <c r="AB262" s="905">
        <f t="shared" si="82"/>
        <v>6</v>
      </c>
      <c r="AC262" s="905">
        <f t="shared" si="82"/>
        <v>6</v>
      </c>
      <c r="AD262" s="905">
        <f t="shared" si="82"/>
        <v>6</v>
      </c>
      <c r="AE262" s="905">
        <f t="shared" si="82"/>
        <v>6</v>
      </c>
      <c r="AF262" s="919"/>
      <c r="AG262" s="919"/>
      <c r="AH262" s="919"/>
      <c r="AI262" s="919"/>
      <c r="AJ262" s="919"/>
      <c r="AK262" s="919"/>
      <c r="AL262" s="919"/>
      <c r="AM262" s="919"/>
      <c r="AN262" s="919"/>
      <c r="AO262" s="919"/>
      <c r="AP262" s="919"/>
      <c r="AQ262" s="919"/>
      <c r="AR262" s="919"/>
      <c r="AS262" s="919"/>
      <c r="AT262" s="919"/>
      <c r="AU262" s="919"/>
      <c r="AV262" s="919"/>
      <c r="AW262" s="919"/>
      <c r="AX262" s="919"/>
      <c r="AY262" s="919"/>
      <c r="AZ262" s="919"/>
      <c r="BA262" s="919"/>
      <c r="BB262" s="919"/>
      <c r="BC262" s="919"/>
      <c r="BD262" s="919"/>
      <c r="BE262" s="920"/>
      <c r="BF262" s="920"/>
      <c r="BG262" s="920"/>
      <c r="BH262" s="920"/>
      <c r="BI262" s="920"/>
      <c r="BJ262" s="920"/>
      <c r="BK262" s="920"/>
      <c r="BL262" s="920"/>
    </row>
    <row r="263">
      <c r="A263" s="901"/>
      <c r="B263" s="798" t="s">
        <v>73</v>
      </c>
      <c r="D263" s="799">
        <f t="shared" ref="D263:O263" si="83">SUM(D259:D262)</f>
        <v>25</v>
      </c>
      <c r="E263" s="906">
        <f t="shared" si="83"/>
        <v>25</v>
      </c>
      <c r="F263" s="906">
        <f t="shared" si="83"/>
        <v>25</v>
      </c>
      <c r="G263" s="906">
        <f t="shared" si="83"/>
        <v>25</v>
      </c>
      <c r="H263" s="906">
        <f t="shared" si="83"/>
        <v>25</v>
      </c>
      <c r="I263" s="906">
        <f t="shared" si="83"/>
        <v>25</v>
      </c>
      <c r="J263" s="906">
        <f t="shared" si="83"/>
        <v>25</v>
      </c>
      <c r="K263" s="906">
        <f t="shared" si="83"/>
        <v>25</v>
      </c>
      <c r="L263" s="906">
        <f t="shared" si="83"/>
        <v>25</v>
      </c>
      <c r="M263" s="906">
        <f t="shared" si="83"/>
        <v>25</v>
      </c>
      <c r="N263" s="906">
        <f t="shared" si="83"/>
        <v>25</v>
      </c>
      <c r="O263" s="906">
        <f t="shared" si="83"/>
        <v>25</v>
      </c>
      <c r="P263" s="906"/>
      <c r="Q263" s="906">
        <f t="shared" ref="Q263:AE263" si="84">SUM(Q259:Q262)</f>
        <v>25</v>
      </c>
      <c r="R263" s="906">
        <f t="shared" si="84"/>
        <v>25</v>
      </c>
      <c r="S263" s="906">
        <f t="shared" si="84"/>
        <v>22</v>
      </c>
      <c r="T263" s="906">
        <f t="shared" si="84"/>
        <v>22</v>
      </c>
      <c r="U263" s="906">
        <f t="shared" si="84"/>
        <v>25</v>
      </c>
      <c r="V263" s="906">
        <f t="shared" si="84"/>
        <v>25</v>
      </c>
      <c r="W263" s="906">
        <f t="shared" si="84"/>
        <v>25</v>
      </c>
      <c r="X263" s="906">
        <f t="shared" si="84"/>
        <v>25</v>
      </c>
      <c r="Y263" s="906">
        <f t="shared" si="84"/>
        <v>25</v>
      </c>
      <c r="Z263" s="906">
        <f t="shared" si="84"/>
        <v>25</v>
      </c>
      <c r="AA263" s="906">
        <f t="shared" si="84"/>
        <v>25</v>
      </c>
      <c r="AB263" s="906">
        <f t="shared" si="84"/>
        <v>25</v>
      </c>
      <c r="AC263" s="906">
        <f t="shared" si="84"/>
        <v>25</v>
      </c>
      <c r="AD263" s="906">
        <f t="shared" si="84"/>
        <v>25</v>
      </c>
      <c r="AE263" s="906">
        <f t="shared" si="84"/>
        <v>25</v>
      </c>
      <c r="AF263" s="919"/>
      <c r="AG263" s="919"/>
      <c r="AH263" s="919"/>
      <c r="AI263" s="919"/>
      <c r="AJ263" s="919"/>
      <c r="AK263" s="919"/>
      <c r="AL263" s="919"/>
      <c r="AM263" s="919"/>
      <c r="AN263" s="919"/>
      <c r="AO263" s="919"/>
      <c r="AP263" s="919"/>
      <c r="AQ263" s="919"/>
      <c r="AR263" s="919"/>
      <c r="AS263" s="919"/>
      <c r="AT263" s="919"/>
      <c r="AU263" s="919"/>
      <c r="AV263" s="919"/>
      <c r="AW263" s="919"/>
      <c r="AX263" s="919"/>
      <c r="AY263" s="919"/>
      <c r="AZ263" s="919"/>
      <c r="BA263" s="919"/>
      <c r="BB263" s="919"/>
      <c r="BC263" s="919"/>
      <c r="BD263" s="919"/>
      <c r="BE263" s="920"/>
      <c r="BF263" s="920"/>
      <c r="BG263" s="920"/>
      <c r="BH263" s="920"/>
      <c r="BI263" s="920"/>
      <c r="BJ263" s="920"/>
      <c r="BK263" s="920"/>
      <c r="BL263" s="920"/>
    </row>
    <row r="264">
      <c r="A264" s="901"/>
      <c r="B264" s="800" t="s">
        <v>74</v>
      </c>
      <c r="D264" s="801">
        <f t="shared" ref="D264:O264" si="85">D259+D260+D261</f>
        <v>23</v>
      </c>
      <c r="E264" s="907">
        <f t="shared" si="85"/>
        <v>23</v>
      </c>
      <c r="F264" s="907">
        <f t="shared" si="85"/>
        <v>23</v>
      </c>
      <c r="G264" s="907">
        <f t="shared" si="85"/>
        <v>23</v>
      </c>
      <c r="H264" s="907">
        <f t="shared" si="85"/>
        <v>23</v>
      </c>
      <c r="I264" s="907">
        <f t="shared" si="85"/>
        <v>23</v>
      </c>
      <c r="J264" s="907">
        <f t="shared" si="85"/>
        <v>23</v>
      </c>
      <c r="K264" s="907">
        <f t="shared" si="85"/>
        <v>23</v>
      </c>
      <c r="L264" s="907">
        <f t="shared" si="85"/>
        <v>24</v>
      </c>
      <c r="M264" s="907">
        <f t="shared" si="85"/>
        <v>24</v>
      </c>
      <c r="N264" s="907">
        <f t="shared" si="85"/>
        <v>24</v>
      </c>
      <c r="O264" s="907">
        <f t="shared" si="85"/>
        <v>24</v>
      </c>
      <c r="P264" s="907"/>
      <c r="Q264" s="907">
        <f t="shared" ref="Q264:AE264" si="86">Q259+Q260+Q261</f>
        <v>24</v>
      </c>
      <c r="R264" s="907">
        <f t="shared" si="86"/>
        <v>24</v>
      </c>
      <c r="S264" s="907">
        <f t="shared" si="86"/>
        <v>22</v>
      </c>
      <c r="T264" s="907">
        <f t="shared" si="86"/>
        <v>22</v>
      </c>
      <c r="U264" s="907">
        <f t="shared" si="86"/>
        <v>22</v>
      </c>
      <c r="V264" s="907">
        <f t="shared" si="86"/>
        <v>22</v>
      </c>
      <c r="W264" s="907">
        <f t="shared" si="86"/>
        <v>22</v>
      </c>
      <c r="X264" s="907">
        <f t="shared" si="86"/>
        <v>22</v>
      </c>
      <c r="Y264" s="907">
        <f t="shared" si="86"/>
        <v>22</v>
      </c>
      <c r="Z264" s="907">
        <f t="shared" si="86"/>
        <v>19</v>
      </c>
      <c r="AA264" s="907">
        <f t="shared" si="86"/>
        <v>18</v>
      </c>
      <c r="AB264" s="907">
        <f t="shared" si="86"/>
        <v>19</v>
      </c>
      <c r="AC264" s="907">
        <f t="shared" si="86"/>
        <v>19</v>
      </c>
      <c r="AD264" s="907">
        <f t="shared" si="86"/>
        <v>19</v>
      </c>
      <c r="AE264" s="907">
        <f t="shared" si="86"/>
        <v>19</v>
      </c>
      <c r="AF264" s="919"/>
      <c r="AG264" s="919"/>
      <c r="AH264" s="919"/>
      <c r="AI264" s="919"/>
      <c r="AJ264" s="919"/>
      <c r="AK264" s="919"/>
      <c r="AL264" s="919"/>
      <c r="AM264" s="919"/>
      <c r="AN264" s="919"/>
      <c r="AO264" s="919"/>
      <c r="AP264" s="919"/>
      <c r="AQ264" s="919"/>
      <c r="AR264" s="919"/>
      <c r="AS264" s="919"/>
      <c r="AT264" s="919"/>
      <c r="AU264" s="919"/>
      <c r="AV264" s="919"/>
      <c r="AW264" s="919"/>
      <c r="AX264" s="919"/>
      <c r="AY264" s="919"/>
      <c r="AZ264" s="919"/>
      <c r="BA264" s="919"/>
      <c r="BB264" s="919"/>
      <c r="BC264" s="919"/>
      <c r="BD264" s="919"/>
      <c r="BE264" s="920"/>
      <c r="BF264" s="920"/>
      <c r="BG264" s="920"/>
      <c r="BH264" s="920"/>
      <c r="BI264" s="920"/>
      <c r="BJ264" s="920"/>
      <c r="BK264" s="920"/>
      <c r="BL264" s="920"/>
    </row>
    <row r="265">
      <c r="A265" s="901"/>
      <c r="B265" s="854" t="s">
        <v>75</v>
      </c>
      <c r="D265" s="908">
        <f t="shared" ref="D265:O265" si="87">IFERROR(D264/D263,"")</f>
        <v>0.92</v>
      </c>
      <c r="E265" s="910">
        <f t="shared" si="87"/>
        <v>0.92</v>
      </c>
      <c r="F265" s="910">
        <f t="shared" si="87"/>
        <v>0.92</v>
      </c>
      <c r="G265" s="910">
        <f t="shared" si="87"/>
        <v>0.92</v>
      </c>
      <c r="H265" s="910">
        <f t="shared" si="87"/>
        <v>0.92</v>
      </c>
      <c r="I265" s="910">
        <f t="shared" si="87"/>
        <v>0.92</v>
      </c>
      <c r="J265" s="910">
        <f t="shared" si="87"/>
        <v>0.92</v>
      </c>
      <c r="K265" s="910">
        <f t="shared" si="87"/>
        <v>0.92</v>
      </c>
      <c r="L265" s="910">
        <f t="shared" si="87"/>
        <v>0.96</v>
      </c>
      <c r="M265" s="910">
        <f t="shared" si="87"/>
        <v>0.96</v>
      </c>
      <c r="N265" s="910">
        <f t="shared" si="87"/>
        <v>0.96</v>
      </c>
      <c r="O265" s="910">
        <f t="shared" si="87"/>
        <v>0.96</v>
      </c>
      <c r="P265" s="910"/>
      <c r="Q265" s="910">
        <f t="shared" ref="Q265:AE265" si="88">IFERROR(Q264/Q263,"")</f>
        <v>0.96</v>
      </c>
      <c r="R265" s="910">
        <f t="shared" si="88"/>
        <v>0.96</v>
      </c>
      <c r="S265" s="910">
        <f t="shared" si="88"/>
        <v>1</v>
      </c>
      <c r="T265" s="910">
        <f t="shared" si="88"/>
        <v>1</v>
      </c>
      <c r="U265" s="910">
        <f t="shared" si="88"/>
        <v>0.88</v>
      </c>
      <c r="V265" s="910">
        <f t="shared" si="88"/>
        <v>0.88</v>
      </c>
      <c r="W265" s="910">
        <f t="shared" si="88"/>
        <v>0.88</v>
      </c>
      <c r="X265" s="910">
        <f t="shared" si="88"/>
        <v>0.88</v>
      </c>
      <c r="Y265" s="910">
        <f t="shared" si="88"/>
        <v>0.88</v>
      </c>
      <c r="Z265" s="910">
        <f t="shared" si="88"/>
        <v>0.76</v>
      </c>
      <c r="AA265" s="910">
        <f t="shared" si="88"/>
        <v>0.72</v>
      </c>
      <c r="AB265" s="910">
        <f t="shared" si="88"/>
        <v>0.76</v>
      </c>
      <c r="AC265" s="910">
        <f t="shared" si="88"/>
        <v>0.76</v>
      </c>
      <c r="AD265" s="910">
        <f t="shared" si="88"/>
        <v>0.76</v>
      </c>
      <c r="AE265" s="910">
        <f t="shared" si="88"/>
        <v>0.76</v>
      </c>
      <c r="AF265" s="919"/>
      <c r="AG265" s="919"/>
      <c r="AH265" s="919"/>
      <c r="AI265" s="919"/>
      <c r="AJ265" s="919"/>
      <c r="AK265" s="919"/>
      <c r="AL265" s="919"/>
      <c r="AM265" s="919"/>
      <c r="AN265" s="919"/>
      <c r="AO265" s="919"/>
      <c r="AP265" s="919"/>
      <c r="AQ265" s="919"/>
      <c r="AR265" s="919"/>
      <c r="AS265" s="919"/>
      <c r="AT265" s="919"/>
      <c r="AU265" s="919"/>
      <c r="AV265" s="919"/>
      <c r="AW265" s="919"/>
      <c r="AX265" s="919"/>
      <c r="AY265" s="919"/>
      <c r="AZ265" s="919"/>
      <c r="BA265" s="919"/>
      <c r="BB265" s="919"/>
      <c r="BC265" s="919" t="str">
        <f t="shared" ref="BC265:BD265" si="89">IFERROR(BC264/BC263,"")</f>
        <v/>
      </c>
      <c r="BD265" s="919" t="str">
        <f t="shared" si="89"/>
        <v/>
      </c>
      <c r="BE265" s="920"/>
      <c r="BF265" s="920"/>
      <c r="BG265" s="920"/>
      <c r="BH265" s="920"/>
      <c r="BI265" s="920"/>
      <c r="BJ265" s="920"/>
      <c r="BK265" s="920"/>
      <c r="BL265" s="920"/>
    </row>
    <row r="266">
      <c r="A266" s="912"/>
      <c r="D266" s="913"/>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4"/>
      <c r="AN266" s="914"/>
      <c r="AO266" s="914"/>
      <c r="AP266" s="914"/>
      <c r="AQ266" s="914"/>
      <c r="AR266" s="914"/>
      <c r="AS266" s="914"/>
      <c r="AT266" s="914"/>
      <c r="AU266" s="914"/>
      <c r="AV266" s="914"/>
      <c r="AW266" s="914"/>
      <c r="AX266" s="914"/>
      <c r="AY266" s="914"/>
      <c r="AZ266" s="914"/>
      <c r="BA266" s="914"/>
      <c r="BB266" s="914"/>
      <c r="BC266" s="914"/>
      <c r="BD266" s="915"/>
      <c r="BE266" s="730"/>
      <c r="BF266" s="730"/>
      <c r="BG266" s="730"/>
      <c r="BH266" s="730"/>
      <c r="BI266" s="730"/>
      <c r="BJ266" s="730"/>
      <c r="BK266" s="730"/>
      <c r="BL266" s="730"/>
    </row>
    <row r="267">
      <c r="A267" s="731"/>
      <c r="B267" s="732" t="s">
        <v>1170</v>
      </c>
      <c r="C267" s="732" t="s">
        <v>7</v>
      </c>
      <c r="D267" s="918"/>
      <c r="AO267" s="1040"/>
      <c r="AP267" s="1040"/>
      <c r="AQ267" s="1040"/>
      <c r="AR267" s="1040"/>
      <c r="AS267" s="1040"/>
      <c r="AT267" s="1040"/>
      <c r="AU267" s="1040"/>
      <c r="AV267" s="1040"/>
      <c r="AW267" s="1040"/>
      <c r="AX267" s="1040"/>
      <c r="AY267" s="1040"/>
      <c r="AZ267" s="1040"/>
      <c r="BA267" s="1040"/>
      <c r="BB267" s="1040"/>
      <c r="BC267" s="1040"/>
      <c r="BD267" s="1040"/>
      <c r="BE267" s="730"/>
      <c r="BF267" s="730"/>
      <c r="BG267" s="730"/>
      <c r="BH267" s="730"/>
      <c r="BI267" s="730"/>
      <c r="BJ267" s="730"/>
      <c r="BK267" s="730"/>
      <c r="BL267" s="730"/>
    </row>
    <row r="268">
      <c r="A268" s="735" t="s">
        <v>389</v>
      </c>
      <c r="D268" s="992" t="s">
        <v>390</v>
      </c>
      <c r="E268" s="993" t="s">
        <v>391</v>
      </c>
      <c r="F268" s="993" t="s">
        <v>394</v>
      </c>
      <c r="G268" s="993" t="s">
        <v>395</v>
      </c>
      <c r="H268" s="993" t="s">
        <v>396</v>
      </c>
      <c r="I268" s="993" t="s">
        <v>397</v>
      </c>
      <c r="J268" s="993" t="s">
        <v>398</v>
      </c>
      <c r="K268" s="993" t="s">
        <v>1240</v>
      </c>
      <c r="L268" s="993" t="s">
        <v>726</v>
      </c>
      <c r="M268" s="993" t="s">
        <v>727</v>
      </c>
      <c r="N268" s="406" t="s">
        <v>399</v>
      </c>
      <c r="O268" s="993" t="s">
        <v>400</v>
      </c>
      <c r="P268" s="993"/>
      <c r="Q268" s="993" t="s">
        <v>401</v>
      </c>
      <c r="R268" s="993" t="s">
        <v>402</v>
      </c>
      <c r="S268" s="993" t="s">
        <v>403</v>
      </c>
      <c r="T268" s="993" t="s">
        <v>404</v>
      </c>
      <c r="U268" s="993" t="s">
        <v>730</v>
      </c>
      <c r="V268" s="993" t="s">
        <v>405</v>
      </c>
      <c r="W268" s="993" t="s">
        <v>406</v>
      </c>
      <c r="X268" s="993" t="s">
        <v>407</v>
      </c>
      <c r="Y268" s="993" t="s">
        <v>408</v>
      </c>
      <c r="Z268" s="993" t="s">
        <v>732</v>
      </c>
      <c r="AA268" s="993" t="s">
        <v>733</v>
      </c>
      <c r="AB268" s="993" t="s">
        <v>729</v>
      </c>
      <c r="AC268" s="406" t="s">
        <v>415</v>
      </c>
      <c r="AD268" s="993" t="s">
        <v>416</v>
      </c>
      <c r="AE268" s="406" t="s">
        <v>417</v>
      </c>
      <c r="AF268" s="406" t="s">
        <v>418</v>
      </c>
      <c r="AG268" s="993" t="s">
        <v>1241</v>
      </c>
      <c r="AH268" s="993" t="s">
        <v>734</v>
      </c>
      <c r="AI268" s="993" t="s">
        <v>419</v>
      </c>
      <c r="AJ268" s="993" t="s">
        <v>420</v>
      </c>
      <c r="AK268" s="993" t="s">
        <v>421</v>
      </c>
      <c r="AL268" s="993" t="s">
        <v>422</v>
      </c>
      <c r="AM268" s="993" t="s">
        <v>423</v>
      </c>
      <c r="AN268" s="993" t="s">
        <v>735</v>
      </c>
      <c r="AO268" s="1040"/>
      <c r="AP268" s="1040"/>
      <c r="AQ268" s="1040"/>
      <c r="AR268" s="1040"/>
      <c r="AS268" s="1040"/>
      <c r="AT268" s="1040"/>
      <c r="AU268" s="1040"/>
      <c r="AV268" s="1040"/>
      <c r="AW268" s="1040"/>
      <c r="AX268" s="1040"/>
      <c r="AY268" s="1040"/>
      <c r="AZ268" s="1040"/>
      <c r="BA268" s="1040"/>
      <c r="BB268" s="1040"/>
      <c r="BC268" s="1040"/>
      <c r="BD268" s="1040"/>
      <c r="BE268" s="730"/>
      <c r="BF268" s="730"/>
      <c r="BG268" s="730"/>
      <c r="BH268" s="730"/>
      <c r="BI268" s="730"/>
      <c r="BJ268" s="730"/>
      <c r="BK268" s="730"/>
      <c r="BL268" s="730"/>
    </row>
    <row r="269">
      <c r="A269" s="994" t="s">
        <v>1171</v>
      </c>
      <c r="B269" s="926" t="s">
        <v>132</v>
      </c>
      <c r="C269" s="927" t="s">
        <v>21</v>
      </c>
      <c r="D269" s="957" t="s">
        <v>69</v>
      </c>
      <c r="E269" s="957" t="s">
        <v>70</v>
      </c>
      <c r="F269" s="957" t="s">
        <v>70</v>
      </c>
      <c r="G269" s="957" t="s">
        <v>70</v>
      </c>
      <c r="H269" s="957" t="s">
        <v>70</v>
      </c>
      <c r="I269" s="957" t="s">
        <v>70</v>
      </c>
      <c r="J269" s="957" t="s">
        <v>69</v>
      </c>
      <c r="K269" s="957" t="s">
        <v>69</v>
      </c>
      <c r="L269" s="957" t="s">
        <v>69</v>
      </c>
      <c r="M269" s="957" t="s">
        <v>69</v>
      </c>
      <c r="N269" s="957" t="s">
        <v>70</v>
      </c>
      <c r="O269" s="957" t="s">
        <v>69</v>
      </c>
      <c r="P269" s="957"/>
      <c r="Q269" s="957" t="s">
        <v>70</v>
      </c>
      <c r="R269" s="957" t="s">
        <v>69</v>
      </c>
      <c r="S269" s="957" t="s">
        <v>70</v>
      </c>
      <c r="T269" s="957" t="s">
        <v>70</v>
      </c>
      <c r="U269" s="957" t="s">
        <v>69</v>
      </c>
      <c r="V269" s="957" t="s">
        <v>70</v>
      </c>
      <c r="W269" s="957" t="s">
        <v>69</v>
      </c>
      <c r="X269" s="957" t="s">
        <v>70</v>
      </c>
      <c r="Y269" s="957" t="s">
        <v>69</v>
      </c>
      <c r="Z269" s="957" t="s">
        <v>69</v>
      </c>
      <c r="AA269" s="957" t="s">
        <v>69</v>
      </c>
      <c r="AB269" s="957" t="s">
        <v>69</v>
      </c>
      <c r="AC269" s="957" t="s">
        <v>70</v>
      </c>
      <c r="AD269" s="957" t="s">
        <v>70</v>
      </c>
      <c r="AE269" s="957" t="s">
        <v>69</v>
      </c>
      <c r="AF269" s="957" t="s">
        <v>69</v>
      </c>
      <c r="AG269" s="957" t="s">
        <v>69</v>
      </c>
      <c r="AH269" s="957" t="s">
        <v>69</v>
      </c>
      <c r="AI269" s="957" t="s">
        <v>69</v>
      </c>
      <c r="AJ269" s="957" t="s">
        <v>70</v>
      </c>
      <c r="AK269" s="957" t="s">
        <v>70</v>
      </c>
      <c r="AL269" s="957" t="s">
        <v>69</v>
      </c>
      <c r="AM269" s="957" t="s">
        <v>69</v>
      </c>
      <c r="AN269" s="957" t="s">
        <v>70</v>
      </c>
      <c r="AO269" s="1040"/>
      <c r="AP269" s="1040"/>
      <c r="AQ269" s="1040"/>
      <c r="AR269" s="1040"/>
      <c r="AS269" s="1040"/>
      <c r="AT269" s="1040"/>
      <c r="AU269" s="1040"/>
      <c r="AV269" s="1040"/>
      <c r="AW269" s="1040"/>
      <c r="AX269" s="1040"/>
      <c r="AY269" s="1040"/>
      <c r="AZ269" s="1040"/>
      <c r="BA269" s="1040"/>
      <c r="BB269" s="1040"/>
      <c r="BC269" s="1040"/>
      <c r="BD269" s="1040"/>
      <c r="BE269" s="730"/>
      <c r="BF269" s="730"/>
      <c r="BG269" s="730"/>
      <c r="BH269" s="730"/>
      <c r="BI269" s="730"/>
      <c r="BJ269" s="730"/>
      <c r="BK269" s="730"/>
      <c r="BL269" s="730"/>
    </row>
    <row r="270">
      <c r="A270" s="901"/>
      <c r="B270" s="928" t="s">
        <v>1219</v>
      </c>
      <c r="C270" s="929" t="s">
        <v>21</v>
      </c>
      <c r="D270" s="957" t="s">
        <v>69</v>
      </c>
      <c r="E270" s="957" t="s">
        <v>70</v>
      </c>
      <c r="F270" s="957" t="s">
        <v>70</v>
      </c>
      <c r="G270" s="957" t="s">
        <v>70</v>
      </c>
      <c r="H270" s="957" t="s">
        <v>70</v>
      </c>
      <c r="I270" s="957" t="s">
        <v>70</v>
      </c>
      <c r="J270" s="957" t="s">
        <v>69</v>
      </c>
      <c r="K270" s="957" t="s">
        <v>69</v>
      </c>
      <c r="L270" s="957" t="s">
        <v>69</v>
      </c>
      <c r="M270" s="957" t="s">
        <v>69</v>
      </c>
      <c r="N270" s="957" t="s">
        <v>70</v>
      </c>
      <c r="O270" s="957" t="s">
        <v>69</v>
      </c>
      <c r="P270" s="957"/>
      <c r="Q270" s="957" t="s">
        <v>70</v>
      </c>
      <c r="R270" s="957" t="s">
        <v>69</v>
      </c>
      <c r="S270" s="957" t="s">
        <v>70</v>
      </c>
      <c r="T270" s="957" t="s">
        <v>70</v>
      </c>
      <c r="U270" s="957" t="s">
        <v>69</v>
      </c>
      <c r="V270" s="957" t="s">
        <v>100</v>
      </c>
      <c r="W270" s="957" t="s">
        <v>100</v>
      </c>
      <c r="X270" s="957" t="s">
        <v>100</v>
      </c>
      <c r="Y270" s="957" t="s">
        <v>100</v>
      </c>
      <c r="Z270" s="957" t="s">
        <v>100</v>
      </c>
      <c r="AA270" s="957" t="s">
        <v>100</v>
      </c>
      <c r="AB270" s="957" t="s">
        <v>69</v>
      </c>
      <c r="AC270" s="957" t="s">
        <v>70</v>
      </c>
      <c r="AD270" s="957" t="s">
        <v>70</v>
      </c>
      <c r="AE270" s="957" t="s">
        <v>69</v>
      </c>
      <c r="AF270" s="957" t="s">
        <v>69</v>
      </c>
      <c r="AG270" s="957" t="s">
        <v>69</v>
      </c>
      <c r="AH270" s="957" t="s">
        <v>69</v>
      </c>
      <c r="AI270" s="957" t="s">
        <v>69</v>
      </c>
      <c r="AJ270" s="957" t="s">
        <v>70</v>
      </c>
      <c r="AK270" s="957" t="s">
        <v>70</v>
      </c>
      <c r="AL270" s="957" t="s">
        <v>99</v>
      </c>
      <c r="AM270" s="957" t="s">
        <v>69</v>
      </c>
      <c r="AN270" s="957" t="s">
        <v>70</v>
      </c>
      <c r="AO270" s="1040"/>
      <c r="AP270" s="1040"/>
      <c r="AQ270" s="1040"/>
      <c r="AR270" s="1040"/>
      <c r="AS270" s="1040"/>
      <c r="AT270" s="1040"/>
      <c r="AU270" s="1040"/>
      <c r="AV270" s="1040"/>
      <c r="AW270" s="1040"/>
      <c r="AX270" s="1040"/>
      <c r="AY270" s="1040"/>
      <c r="AZ270" s="1040"/>
      <c r="BA270" s="1040"/>
      <c r="BB270" s="1040"/>
      <c r="BC270" s="1040"/>
      <c r="BD270" s="1040"/>
      <c r="BE270" s="730"/>
      <c r="BF270" s="730"/>
      <c r="BG270" s="730"/>
      <c r="BH270" s="730"/>
      <c r="BI270" s="730"/>
      <c r="BJ270" s="730"/>
      <c r="BK270" s="730"/>
      <c r="BL270" s="730"/>
    </row>
    <row r="271">
      <c r="A271" s="901"/>
      <c r="B271" s="928" t="s">
        <v>1216</v>
      </c>
      <c r="C271" s="929" t="s">
        <v>21</v>
      </c>
      <c r="D271" s="957" t="s">
        <v>69</v>
      </c>
      <c r="E271" s="957" t="s">
        <v>69</v>
      </c>
      <c r="F271" s="957" t="s">
        <v>69</v>
      </c>
      <c r="G271" s="957" t="s">
        <v>70</v>
      </c>
      <c r="H271" s="957" t="s">
        <v>69</v>
      </c>
      <c r="I271" s="957" t="s">
        <v>70</v>
      </c>
      <c r="J271" s="957" t="s">
        <v>70</v>
      </c>
      <c r="K271" s="957" t="s">
        <v>69</v>
      </c>
      <c r="L271" s="957" t="s">
        <v>69</v>
      </c>
      <c r="M271" s="957" t="s">
        <v>69</v>
      </c>
      <c r="N271" s="957" t="s">
        <v>70</v>
      </c>
      <c r="O271" s="957" t="s">
        <v>69</v>
      </c>
      <c r="P271" s="957"/>
      <c r="Q271" s="957" t="s">
        <v>70</v>
      </c>
      <c r="R271" s="957" t="s">
        <v>69</v>
      </c>
      <c r="S271" s="957" t="s">
        <v>70</v>
      </c>
      <c r="T271" s="957" t="s">
        <v>70</v>
      </c>
      <c r="U271" s="957" t="s">
        <v>69</v>
      </c>
      <c r="V271" s="957" t="s">
        <v>100</v>
      </c>
      <c r="W271" s="957" t="s">
        <v>100</v>
      </c>
      <c r="X271" s="957" t="s">
        <v>100</v>
      </c>
      <c r="Y271" s="957" t="s">
        <v>100</v>
      </c>
      <c r="Z271" s="957" t="s">
        <v>100</v>
      </c>
      <c r="AA271" s="957" t="s">
        <v>100</v>
      </c>
      <c r="AB271" s="957" t="s">
        <v>69</v>
      </c>
      <c r="AC271" s="957" t="s">
        <v>70</v>
      </c>
      <c r="AD271" s="957" t="s">
        <v>70</v>
      </c>
      <c r="AE271" s="957" t="s">
        <v>69</v>
      </c>
      <c r="AF271" s="957" t="s">
        <v>69</v>
      </c>
      <c r="AG271" s="957" t="s">
        <v>69</v>
      </c>
      <c r="AH271" s="957" t="s">
        <v>69</v>
      </c>
      <c r="AI271" s="957" t="s">
        <v>69</v>
      </c>
      <c r="AJ271" s="957" t="s">
        <v>70</v>
      </c>
      <c r="AK271" s="957" t="s">
        <v>70</v>
      </c>
      <c r="AL271" s="957" t="s">
        <v>70</v>
      </c>
      <c r="AM271" s="957" t="s">
        <v>69</v>
      </c>
      <c r="AN271" s="957" t="s">
        <v>70</v>
      </c>
      <c r="AO271" s="1040"/>
      <c r="AP271" s="919"/>
      <c r="AQ271" s="1040"/>
      <c r="AR271" s="1040"/>
      <c r="AS271" s="1040"/>
      <c r="AT271" s="1040"/>
      <c r="AU271" s="1040"/>
      <c r="AV271" s="1040"/>
      <c r="AW271" s="1040"/>
      <c r="AX271" s="1040"/>
      <c r="AY271" s="1040"/>
      <c r="AZ271" s="1040"/>
      <c r="BA271" s="1040"/>
      <c r="BB271" s="1040"/>
      <c r="BC271" s="1040"/>
      <c r="BD271" s="1040"/>
      <c r="BE271" s="730"/>
      <c r="BF271" s="730"/>
      <c r="BG271" s="730"/>
      <c r="BH271" s="730"/>
      <c r="BI271" s="730"/>
      <c r="BJ271" s="730"/>
      <c r="BK271" s="730"/>
      <c r="BL271" s="730"/>
    </row>
    <row r="272">
      <c r="A272" s="901"/>
      <c r="B272" s="928" t="s">
        <v>1217</v>
      </c>
      <c r="C272" s="929" t="s">
        <v>21</v>
      </c>
      <c r="D272" s="957" t="s">
        <v>69</v>
      </c>
      <c r="E272" s="957" t="s">
        <v>70</v>
      </c>
      <c r="F272" s="957" t="s">
        <v>70</v>
      </c>
      <c r="G272" s="957" t="s">
        <v>70</v>
      </c>
      <c r="H272" s="957" t="s">
        <v>70</v>
      </c>
      <c r="I272" s="957" t="s">
        <v>70</v>
      </c>
      <c r="J272" s="957" t="s">
        <v>70</v>
      </c>
      <c r="K272" s="957" t="s">
        <v>69</v>
      </c>
      <c r="L272" s="957" t="s">
        <v>69</v>
      </c>
      <c r="M272" s="957" t="s">
        <v>69</v>
      </c>
      <c r="N272" s="957" t="s">
        <v>70</v>
      </c>
      <c r="O272" s="957" t="s">
        <v>69</v>
      </c>
      <c r="P272" s="957"/>
      <c r="Q272" s="957" t="s">
        <v>70</v>
      </c>
      <c r="R272" s="957" t="s">
        <v>69</v>
      </c>
      <c r="S272" s="957" t="s">
        <v>70</v>
      </c>
      <c r="T272" s="957" t="s">
        <v>70</v>
      </c>
      <c r="U272" s="957" t="s">
        <v>69</v>
      </c>
      <c r="V272" s="957" t="s">
        <v>70</v>
      </c>
      <c r="W272" s="957" t="s">
        <v>70</v>
      </c>
      <c r="X272" s="957" t="s">
        <v>70</v>
      </c>
      <c r="Y272" s="957" t="s">
        <v>69</v>
      </c>
      <c r="Z272" s="957" t="s">
        <v>69</v>
      </c>
      <c r="AA272" s="957" t="s">
        <v>69</v>
      </c>
      <c r="AB272" s="957" t="s">
        <v>69</v>
      </c>
      <c r="AC272" s="957" t="s">
        <v>70</v>
      </c>
      <c r="AD272" s="957" t="s">
        <v>70</v>
      </c>
      <c r="AE272" s="957" t="s">
        <v>69</v>
      </c>
      <c r="AF272" s="957" t="s">
        <v>69</v>
      </c>
      <c r="AG272" s="957" t="s">
        <v>69</v>
      </c>
      <c r="AH272" s="957" t="s">
        <v>69</v>
      </c>
      <c r="AI272" s="957" t="s">
        <v>69</v>
      </c>
      <c r="AJ272" s="957" t="s">
        <v>70</v>
      </c>
      <c r="AK272" s="957" t="s">
        <v>70</v>
      </c>
      <c r="AL272" s="957" t="s">
        <v>70</v>
      </c>
      <c r="AM272" s="957" t="s">
        <v>69</v>
      </c>
      <c r="AN272" s="957" t="s">
        <v>70</v>
      </c>
      <c r="AO272" s="1040"/>
      <c r="AP272" s="1040"/>
      <c r="AQ272" s="1040"/>
      <c r="AR272" s="1040"/>
      <c r="AS272" s="1040"/>
      <c r="AT272" s="1040"/>
      <c r="AU272" s="1040"/>
      <c r="AV272" s="1040"/>
      <c r="AW272" s="1040"/>
      <c r="AX272" s="1040"/>
      <c r="AY272" s="1040"/>
      <c r="AZ272" s="1040"/>
      <c r="BA272" s="1040"/>
      <c r="BB272" s="1040"/>
      <c r="BC272" s="1040"/>
      <c r="BD272" s="1040"/>
      <c r="BE272" s="730"/>
      <c r="BF272" s="730"/>
      <c r="BG272" s="730"/>
      <c r="BH272" s="730"/>
      <c r="BI272" s="730"/>
      <c r="BJ272" s="730"/>
      <c r="BK272" s="730"/>
      <c r="BL272" s="730"/>
    </row>
    <row r="273">
      <c r="A273" s="901"/>
      <c r="B273" s="928" t="s">
        <v>1218</v>
      </c>
      <c r="C273" s="928" t="s">
        <v>21</v>
      </c>
      <c r="D273" s="1041"/>
      <c r="E273" s="1042"/>
      <c r="F273" s="1042"/>
      <c r="G273" s="1042"/>
      <c r="H273" s="1042"/>
      <c r="I273" s="1042"/>
      <c r="J273" s="1042"/>
      <c r="K273" s="1042"/>
      <c r="L273" s="1042"/>
      <c r="M273" s="1042"/>
      <c r="N273" s="1042"/>
      <c r="O273" s="1042"/>
      <c r="P273" s="1042"/>
      <c r="Q273" s="1042"/>
      <c r="R273" s="1042"/>
      <c r="S273" s="1042"/>
      <c r="T273" s="1042"/>
      <c r="U273" s="1042"/>
      <c r="V273" s="1042"/>
      <c r="W273" s="1042"/>
      <c r="X273" s="1042"/>
      <c r="Y273" s="1042"/>
      <c r="Z273" s="1042"/>
      <c r="AA273" s="1043"/>
      <c r="AB273" s="979" t="s">
        <v>69</v>
      </c>
      <c r="AC273" s="979" t="s">
        <v>70</v>
      </c>
      <c r="AD273" s="979" t="s">
        <v>70</v>
      </c>
      <c r="AE273" s="979" t="s">
        <v>70</v>
      </c>
      <c r="AF273" s="979" t="s">
        <v>69</v>
      </c>
      <c r="AG273" s="979" t="s">
        <v>69</v>
      </c>
      <c r="AH273" s="979" t="s">
        <v>69</v>
      </c>
      <c r="AI273" s="957" t="s">
        <v>69</v>
      </c>
      <c r="AJ273" s="957" t="s">
        <v>70</v>
      </c>
      <c r="AK273" s="957" t="s">
        <v>70</v>
      </c>
      <c r="AL273" s="957" t="s">
        <v>70</v>
      </c>
      <c r="AM273" s="957" t="s">
        <v>69</v>
      </c>
      <c r="AN273" s="957" t="s">
        <v>70</v>
      </c>
      <c r="AO273" s="1040"/>
      <c r="AP273" s="1040"/>
      <c r="AQ273" s="1040"/>
      <c r="AR273" s="1040"/>
      <c r="AS273" s="1040"/>
      <c r="AT273" s="1040"/>
      <c r="AU273" s="1040"/>
      <c r="AV273" s="1040"/>
      <c r="AW273" s="1040"/>
      <c r="AX273" s="1040"/>
      <c r="AY273" s="1040"/>
      <c r="AZ273" s="1040"/>
      <c r="BA273" s="1040"/>
      <c r="BB273" s="1040"/>
      <c r="BC273" s="1040"/>
      <c r="BD273" s="1040"/>
      <c r="BE273" s="730"/>
      <c r="BF273" s="730"/>
      <c r="BG273" s="730"/>
      <c r="BH273" s="730"/>
      <c r="BI273" s="730"/>
      <c r="BJ273" s="730"/>
      <c r="BK273" s="730"/>
      <c r="BL273" s="730"/>
    </row>
    <row r="274">
      <c r="A274" s="901"/>
      <c r="B274" s="928" t="s">
        <v>1239</v>
      </c>
      <c r="C274" s="928" t="s">
        <v>21</v>
      </c>
      <c r="D274" s="1041"/>
      <c r="E274" s="1042"/>
      <c r="F274" s="1042"/>
      <c r="G274" s="1042"/>
      <c r="H274" s="1042"/>
      <c r="I274" s="1042"/>
      <c r="J274" s="1042"/>
      <c r="K274" s="1042"/>
      <c r="L274" s="1042"/>
      <c r="M274" s="1042"/>
      <c r="N274" s="1042"/>
      <c r="O274" s="1042"/>
      <c r="P274" s="1042"/>
      <c r="Q274" s="1042"/>
      <c r="R274" s="1042"/>
      <c r="S274" s="1042"/>
      <c r="T274" s="1042"/>
      <c r="U274" s="1042"/>
      <c r="V274" s="1042"/>
      <c r="W274" s="1042"/>
      <c r="X274" s="1042"/>
      <c r="Y274" s="1042"/>
      <c r="Z274" s="1042"/>
      <c r="AA274" s="1042"/>
      <c r="AB274" s="1042"/>
      <c r="AC274" s="957" t="s">
        <v>70</v>
      </c>
      <c r="AD274" s="957" t="s">
        <v>70</v>
      </c>
      <c r="AE274" s="957" t="s">
        <v>69</v>
      </c>
      <c r="AF274" s="957" t="s">
        <v>69</v>
      </c>
      <c r="AG274" s="957" t="s">
        <v>69</v>
      </c>
      <c r="AH274" s="957" t="s">
        <v>69</v>
      </c>
      <c r="AI274" s="957" t="s">
        <v>69</v>
      </c>
      <c r="AJ274" s="957" t="s">
        <v>70</v>
      </c>
      <c r="AK274" s="957" t="s">
        <v>70</v>
      </c>
      <c r="AL274" s="957" t="s">
        <v>70</v>
      </c>
      <c r="AM274" s="957" t="s">
        <v>69</v>
      </c>
      <c r="AN274" s="957" t="s">
        <v>70</v>
      </c>
      <c r="AO274" s="1040"/>
      <c r="AP274" s="1040"/>
      <c r="AQ274" s="1040"/>
      <c r="AR274" s="1040"/>
      <c r="AS274" s="1040"/>
      <c r="AT274" s="1040"/>
      <c r="AU274" s="1040"/>
      <c r="AV274" s="1040"/>
      <c r="AW274" s="1040"/>
      <c r="AX274" s="1040"/>
      <c r="AY274" s="1040"/>
      <c r="AZ274" s="1040"/>
      <c r="BA274" s="1040"/>
      <c r="BB274" s="1040"/>
      <c r="BC274" s="1040"/>
      <c r="BD274" s="1040"/>
      <c r="BE274" s="730"/>
      <c r="BF274" s="730"/>
      <c r="BG274" s="730"/>
      <c r="BH274" s="730"/>
      <c r="BI274" s="730"/>
      <c r="BJ274" s="730"/>
      <c r="BK274" s="730"/>
      <c r="BL274" s="730"/>
    </row>
    <row r="275">
      <c r="A275" s="901"/>
      <c r="B275" s="962" t="s">
        <v>1242</v>
      </c>
      <c r="C275" s="962" t="s">
        <v>21</v>
      </c>
      <c r="D275" s="1041"/>
      <c r="E275" s="1042"/>
      <c r="F275" s="1042"/>
      <c r="G275" s="1042"/>
      <c r="H275" s="1042"/>
      <c r="I275" s="1042"/>
      <c r="J275" s="1042"/>
      <c r="K275" s="1042"/>
      <c r="L275" s="1042"/>
      <c r="M275" s="1042"/>
      <c r="N275" s="1042"/>
      <c r="O275" s="1042"/>
      <c r="P275" s="1042"/>
      <c r="Q275" s="1042"/>
      <c r="R275" s="1042"/>
      <c r="S275" s="1042"/>
      <c r="T275" s="1042"/>
      <c r="U275" s="1043"/>
      <c r="V275" s="957" t="s">
        <v>100</v>
      </c>
      <c r="W275" s="957" t="s">
        <v>100</v>
      </c>
      <c r="X275" s="957" t="s">
        <v>100</v>
      </c>
      <c r="Y275" s="957" t="s">
        <v>100</v>
      </c>
      <c r="Z275" s="957" t="s">
        <v>100</v>
      </c>
      <c r="AA275" s="957" t="s">
        <v>100</v>
      </c>
      <c r="AB275" s="957" t="s">
        <v>100</v>
      </c>
      <c r="AC275" s="1044"/>
      <c r="AD275" s="1045"/>
      <c r="AE275" s="1045"/>
      <c r="AF275" s="1045"/>
      <c r="AG275" s="1045"/>
      <c r="AH275" s="1045"/>
      <c r="AI275" s="1045"/>
      <c r="AJ275" s="1045"/>
      <c r="AK275" s="1045"/>
      <c r="AL275" s="1045"/>
      <c r="AM275" s="1045"/>
      <c r="AN275" s="1046"/>
      <c r="AO275" s="1040"/>
      <c r="AP275" s="1040"/>
      <c r="AQ275" s="1040"/>
      <c r="AR275" s="1040"/>
      <c r="AS275" s="1040"/>
      <c r="AT275" s="1040"/>
      <c r="AU275" s="1040"/>
      <c r="AV275" s="1040"/>
      <c r="AW275" s="1040"/>
      <c r="AX275" s="1040"/>
      <c r="AY275" s="1040"/>
      <c r="AZ275" s="1040"/>
      <c r="BA275" s="1040"/>
      <c r="BB275" s="1040"/>
      <c r="BC275" s="1040"/>
      <c r="BD275" s="1040"/>
      <c r="BE275" s="730"/>
      <c r="BF275" s="730"/>
      <c r="BG275" s="730"/>
      <c r="BH275" s="730"/>
      <c r="BI275" s="730"/>
      <c r="BJ275" s="730"/>
      <c r="BK275" s="730"/>
      <c r="BL275" s="730"/>
    </row>
    <row r="276">
      <c r="A276" s="901"/>
      <c r="B276" s="962" t="s">
        <v>1243</v>
      </c>
      <c r="C276" s="1047" t="s">
        <v>21</v>
      </c>
      <c r="D276" s="1048" t="s">
        <v>100</v>
      </c>
      <c r="E276" s="1049" t="s">
        <v>100</v>
      </c>
      <c r="F276" s="1049" t="s">
        <v>100</v>
      </c>
      <c r="G276" s="1049" t="s">
        <v>100</v>
      </c>
      <c r="H276" s="1049" t="s">
        <v>100</v>
      </c>
      <c r="I276" s="1049" t="s">
        <v>100</v>
      </c>
      <c r="J276" s="1049" t="s">
        <v>100</v>
      </c>
      <c r="K276" s="1049" t="s">
        <v>100</v>
      </c>
      <c r="L276" s="1049" t="s">
        <v>100</v>
      </c>
      <c r="M276" s="1049" t="s">
        <v>100</v>
      </c>
      <c r="N276" s="957" t="s">
        <v>100</v>
      </c>
      <c r="O276" s="957" t="s">
        <v>100</v>
      </c>
      <c r="P276" s="957"/>
      <c r="Q276" s="957" t="s">
        <v>100</v>
      </c>
      <c r="R276" s="957" t="s">
        <v>100</v>
      </c>
      <c r="S276" s="957" t="s">
        <v>100</v>
      </c>
      <c r="T276" s="957" t="s">
        <v>100</v>
      </c>
      <c r="U276" s="957" t="s">
        <v>100</v>
      </c>
      <c r="V276" s="957" t="s">
        <v>100</v>
      </c>
      <c r="W276" s="957" t="s">
        <v>100</v>
      </c>
      <c r="X276" s="957" t="s">
        <v>100</v>
      </c>
      <c r="Y276" s="957" t="s">
        <v>100</v>
      </c>
      <c r="Z276" s="957" t="s">
        <v>100</v>
      </c>
      <c r="AA276" s="957" t="s">
        <v>100</v>
      </c>
      <c r="AB276" s="1050"/>
      <c r="AC276" s="1051"/>
      <c r="AN276" s="1052"/>
      <c r="AO276" s="1040"/>
      <c r="AP276" s="1040"/>
      <c r="AQ276" s="1040"/>
      <c r="AR276" s="1040"/>
      <c r="AS276" s="1040"/>
      <c r="AT276" s="1040"/>
      <c r="AU276" s="1040"/>
      <c r="AV276" s="1040"/>
      <c r="AW276" s="1040"/>
      <c r="AX276" s="1040"/>
      <c r="AY276" s="1040"/>
      <c r="AZ276" s="1040"/>
      <c r="BA276" s="1040"/>
      <c r="BB276" s="1040"/>
      <c r="BC276" s="1040"/>
      <c r="BD276" s="1040"/>
      <c r="BE276" s="730"/>
      <c r="BF276" s="730"/>
      <c r="BG276" s="730"/>
      <c r="BH276" s="730"/>
      <c r="BI276" s="730"/>
      <c r="BJ276" s="730"/>
      <c r="BK276" s="730"/>
      <c r="BL276" s="730"/>
    </row>
    <row r="277" customHeight="1">
      <c r="A277" s="901"/>
      <c r="B277" s="1053" t="s">
        <v>1244</v>
      </c>
      <c r="C277" s="1054" t="s">
        <v>21</v>
      </c>
      <c r="D277" s="957" t="s">
        <v>100</v>
      </c>
      <c r="E277" s="957" t="s">
        <v>100</v>
      </c>
      <c r="F277" s="957" t="s">
        <v>100</v>
      </c>
      <c r="G277" s="957" t="s">
        <v>100</v>
      </c>
      <c r="H277" s="957" t="s">
        <v>100</v>
      </c>
      <c r="I277" s="957" t="s">
        <v>100</v>
      </c>
      <c r="J277" s="957" t="s">
        <v>100</v>
      </c>
      <c r="K277" s="957" t="s">
        <v>100</v>
      </c>
      <c r="L277" s="957" t="s">
        <v>100</v>
      </c>
      <c r="M277" s="957" t="s">
        <v>100</v>
      </c>
      <c r="N277" s="957" t="s">
        <v>100</v>
      </c>
      <c r="O277" s="957" t="s">
        <v>100</v>
      </c>
      <c r="P277" s="957"/>
      <c r="Q277" s="957" t="s">
        <v>100</v>
      </c>
      <c r="R277" s="957" t="s">
        <v>100</v>
      </c>
      <c r="S277" s="957" t="s">
        <v>100</v>
      </c>
      <c r="T277" s="957" t="s">
        <v>100</v>
      </c>
      <c r="U277" s="957" t="s">
        <v>100</v>
      </c>
      <c r="V277" s="957" t="s">
        <v>100</v>
      </c>
      <c r="W277" s="957" t="s">
        <v>100</v>
      </c>
      <c r="X277" s="957" t="s">
        <v>100</v>
      </c>
      <c r="Y277" s="957" t="s">
        <v>100</v>
      </c>
      <c r="Z277" s="957" t="s">
        <v>100</v>
      </c>
      <c r="AA277" s="957" t="s">
        <v>100</v>
      </c>
      <c r="AC277" s="1051"/>
      <c r="AN277" s="1052"/>
      <c r="AO277" s="1040"/>
      <c r="AP277" s="1040"/>
      <c r="AQ277" s="1040"/>
      <c r="AR277" s="1040"/>
      <c r="AS277" s="1040"/>
      <c r="AT277" s="1040"/>
      <c r="AU277" s="1040"/>
      <c r="AV277" s="1040"/>
      <c r="AW277" s="1040"/>
      <c r="AX277" s="1040"/>
      <c r="AY277" s="1040"/>
      <c r="AZ277" s="1040"/>
      <c r="BA277" s="1040"/>
      <c r="BB277" s="1040"/>
      <c r="BC277" s="1040"/>
      <c r="BD277" s="1040"/>
      <c r="BE277" s="730"/>
      <c r="BF277" s="730"/>
      <c r="BG277" s="730"/>
      <c r="BH277" s="730"/>
      <c r="BI277" s="730"/>
      <c r="BJ277" s="730"/>
      <c r="BK277" s="730"/>
      <c r="BL277" s="730"/>
    </row>
    <row r="278" customHeight="1">
      <c r="A278" s="901"/>
      <c r="B278" s="962" t="s">
        <v>1245</v>
      </c>
      <c r="C278" s="1047" t="s">
        <v>21</v>
      </c>
      <c r="D278" s="1048" t="s">
        <v>100</v>
      </c>
      <c r="E278" s="1049" t="s">
        <v>100</v>
      </c>
      <c r="F278" s="1049" t="s">
        <v>100</v>
      </c>
      <c r="G278" s="1049" t="s">
        <v>100</v>
      </c>
      <c r="H278" s="1049" t="s">
        <v>100</v>
      </c>
      <c r="I278" s="1049" t="s">
        <v>100</v>
      </c>
      <c r="J278" s="1049" t="s">
        <v>100</v>
      </c>
      <c r="K278" s="1049" t="s">
        <v>100</v>
      </c>
      <c r="L278" s="1049" t="s">
        <v>100</v>
      </c>
      <c r="M278" s="1049" t="s">
        <v>100</v>
      </c>
      <c r="N278" s="1049" t="s">
        <v>100</v>
      </c>
      <c r="O278" s="1049" t="s">
        <v>100</v>
      </c>
      <c r="P278" s="1049"/>
      <c r="Q278" s="1049" t="s">
        <v>100</v>
      </c>
      <c r="R278" s="1049" t="s">
        <v>100</v>
      </c>
      <c r="S278" s="1049" t="s">
        <v>100</v>
      </c>
      <c r="T278" s="1049" t="s">
        <v>100</v>
      </c>
      <c r="U278" s="1049" t="s">
        <v>100</v>
      </c>
      <c r="V278" s="1055"/>
      <c r="W278" s="914"/>
      <c r="X278" s="914"/>
      <c r="Y278" s="914"/>
      <c r="Z278" s="914"/>
      <c r="AA278" s="915"/>
      <c r="AB278" s="1056"/>
      <c r="AC278" s="1057"/>
      <c r="AD278" s="1056"/>
      <c r="AE278" s="1056"/>
      <c r="AF278" s="1056"/>
      <c r="AG278" s="1056"/>
      <c r="AH278" s="1056"/>
      <c r="AI278" s="1056"/>
      <c r="AJ278" s="1056"/>
      <c r="AK278" s="1056"/>
      <c r="AL278" s="1056"/>
      <c r="AM278" s="1056"/>
      <c r="AN278" s="1058"/>
      <c r="AO278" s="1040"/>
      <c r="AP278" s="1040"/>
      <c r="AQ278" s="1040"/>
      <c r="AR278" s="1040"/>
      <c r="AS278" s="1040"/>
      <c r="AT278" s="1040"/>
      <c r="AU278" s="1040"/>
      <c r="AV278" s="1040"/>
      <c r="AW278" s="1040"/>
      <c r="AX278" s="1040"/>
      <c r="AY278" s="1040"/>
      <c r="AZ278" s="1040"/>
      <c r="BA278" s="1040"/>
      <c r="BB278" s="1040"/>
      <c r="BC278" s="1040"/>
      <c r="BD278" s="1040"/>
      <c r="BE278" s="730"/>
      <c r="BF278" s="730"/>
      <c r="BG278" s="730"/>
      <c r="BH278" s="730"/>
      <c r="BI278" s="730"/>
      <c r="BJ278" s="730"/>
      <c r="BK278" s="730"/>
      <c r="BL278" s="730"/>
    </row>
    <row r="279">
      <c r="A279" s="901"/>
      <c r="B279" s="872" t="s">
        <v>1211</v>
      </c>
      <c r="C279" s="1016" t="s">
        <v>107</v>
      </c>
      <c r="D279" s="957" t="s">
        <v>69</v>
      </c>
      <c r="E279" s="957" t="s">
        <v>69</v>
      </c>
      <c r="F279" s="957" t="s">
        <v>70</v>
      </c>
      <c r="G279" s="957" t="s">
        <v>70</v>
      </c>
      <c r="H279" s="957" t="s">
        <v>70</v>
      </c>
      <c r="I279" s="957" t="s">
        <v>70</v>
      </c>
      <c r="J279" s="957" t="s">
        <v>70</v>
      </c>
      <c r="K279" s="957" t="s">
        <v>69</v>
      </c>
      <c r="L279" s="957" t="s">
        <v>69</v>
      </c>
      <c r="M279" s="957" t="s">
        <v>69</v>
      </c>
      <c r="N279" s="957" t="s">
        <v>70</v>
      </c>
      <c r="O279" s="957" t="s">
        <v>69</v>
      </c>
      <c r="P279" s="957"/>
      <c r="Q279" s="957" t="s">
        <v>69</v>
      </c>
      <c r="R279" s="957" t="s">
        <v>70</v>
      </c>
      <c r="S279" s="957" t="s">
        <v>69</v>
      </c>
      <c r="T279" s="957" t="s">
        <v>69</v>
      </c>
      <c r="U279" s="957" t="s">
        <v>69</v>
      </c>
      <c r="V279" s="957" t="s">
        <v>69</v>
      </c>
      <c r="W279" s="957" t="s">
        <v>69</v>
      </c>
      <c r="X279" s="957" t="s">
        <v>69</v>
      </c>
      <c r="Y279" s="957" t="s">
        <v>69</v>
      </c>
      <c r="Z279" s="957" t="s">
        <v>69</v>
      </c>
      <c r="AA279" s="957" t="s">
        <v>69</v>
      </c>
      <c r="AB279" s="957" t="s">
        <v>69</v>
      </c>
      <c r="AC279" s="957" t="s">
        <v>100</v>
      </c>
      <c r="AD279" s="957" t="s">
        <v>100</v>
      </c>
      <c r="AE279" s="957" t="s">
        <v>100</v>
      </c>
      <c r="AF279" s="957" t="s">
        <v>100</v>
      </c>
      <c r="AG279" s="957" t="s">
        <v>100</v>
      </c>
      <c r="AH279" s="957" t="s">
        <v>100</v>
      </c>
      <c r="AI279" s="957" t="s">
        <v>69</v>
      </c>
      <c r="AJ279" s="957" t="s">
        <v>69</v>
      </c>
      <c r="AK279" s="957" t="s">
        <v>69</v>
      </c>
      <c r="AL279" s="957" t="s">
        <v>70</v>
      </c>
      <c r="AM279" s="957" t="s">
        <v>70</v>
      </c>
      <c r="AN279" s="957" t="s">
        <v>70</v>
      </c>
      <c r="AO279" s="1040"/>
      <c r="AP279" s="1040"/>
      <c r="AQ279" s="1040"/>
      <c r="AR279" s="1040"/>
      <c r="AS279" s="1040"/>
      <c r="AT279" s="1040"/>
      <c r="AU279" s="1040"/>
      <c r="AV279" s="1040"/>
      <c r="AW279" s="1040"/>
      <c r="AX279" s="1040"/>
      <c r="AY279" s="1040"/>
      <c r="AZ279" s="1040"/>
      <c r="BA279" s="1040"/>
      <c r="BB279" s="1040"/>
      <c r="BC279" s="1040"/>
      <c r="BD279" s="1040"/>
      <c r="BE279" s="730"/>
      <c r="BF279" s="730"/>
      <c r="BG279" s="730"/>
      <c r="BH279" s="730"/>
      <c r="BI279" s="730"/>
      <c r="BJ279" s="730"/>
      <c r="BK279" s="730"/>
      <c r="BL279" s="730"/>
    </row>
    <row r="280">
      <c r="A280" s="901"/>
      <c r="B280" s="1018" t="s">
        <v>1231</v>
      </c>
      <c r="C280" s="1023" t="s">
        <v>107</v>
      </c>
      <c r="D280" s="957" t="s">
        <v>70</v>
      </c>
      <c r="E280" s="957" t="s">
        <v>69</v>
      </c>
      <c r="F280" s="957" t="s">
        <v>70</v>
      </c>
      <c r="G280" s="957" t="s">
        <v>70</v>
      </c>
      <c r="H280" s="957" t="s">
        <v>70</v>
      </c>
      <c r="I280" s="957" t="s">
        <v>70</v>
      </c>
      <c r="J280" s="957" t="s">
        <v>70</v>
      </c>
      <c r="K280" s="957" t="s">
        <v>69</v>
      </c>
      <c r="L280" s="957" t="s">
        <v>69</v>
      </c>
      <c r="M280" s="957" t="s">
        <v>69</v>
      </c>
      <c r="N280" s="957" t="s">
        <v>70</v>
      </c>
      <c r="O280" s="957" t="s">
        <v>69</v>
      </c>
      <c r="P280" s="957"/>
      <c r="Q280" s="957" t="s">
        <v>69</v>
      </c>
      <c r="R280" s="957" t="s">
        <v>70</v>
      </c>
      <c r="S280" s="957" t="s">
        <v>69</v>
      </c>
      <c r="T280" s="957" t="s">
        <v>69</v>
      </c>
      <c r="U280" s="957" t="s">
        <v>69</v>
      </c>
      <c r="V280" s="957" t="s">
        <v>70</v>
      </c>
      <c r="W280" s="957" t="s">
        <v>69</v>
      </c>
      <c r="X280" s="957" t="s">
        <v>70</v>
      </c>
      <c r="Y280" s="957" t="s">
        <v>69</v>
      </c>
      <c r="Z280" s="957" t="s">
        <v>69</v>
      </c>
      <c r="AA280" s="957" t="s">
        <v>69</v>
      </c>
      <c r="AB280" s="957" t="s">
        <v>69</v>
      </c>
      <c r="AC280" s="957" t="s">
        <v>70</v>
      </c>
      <c r="AD280" s="957" t="s">
        <v>99</v>
      </c>
      <c r="AE280" s="957" t="s">
        <v>69</v>
      </c>
      <c r="AF280" s="957" t="s">
        <v>69</v>
      </c>
      <c r="AG280" s="957" t="s">
        <v>69</v>
      </c>
      <c r="AH280" s="957" t="s">
        <v>69</v>
      </c>
      <c r="AI280" s="957" t="s">
        <v>69</v>
      </c>
      <c r="AJ280" s="957" t="s">
        <v>69</v>
      </c>
      <c r="AK280" s="957" t="s">
        <v>69</v>
      </c>
      <c r="AL280" s="957" t="s">
        <v>70</v>
      </c>
      <c r="AM280" s="957" t="s">
        <v>70</v>
      </c>
      <c r="AN280" s="957" t="s">
        <v>70</v>
      </c>
      <c r="AO280" s="1040"/>
      <c r="AP280" s="1040"/>
      <c r="AQ280" s="1040"/>
      <c r="AR280" s="1040"/>
      <c r="AS280" s="1040"/>
      <c r="AT280" s="1040"/>
      <c r="AU280" s="1040"/>
      <c r="AV280" s="1040"/>
      <c r="AW280" s="1040"/>
      <c r="AX280" s="1040"/>
      <c r="AY280" s="1040"/>
      <c r="AZ280" s="1040"/>
      <c r="BA280" s="1040"/>
      <c r="BB280" s="1040"/>
      <c r="BC280" s="1040"/>
      <c r="BD280" s="1040"/>
      <c r="BE280" s="730"/>
      <c r="BF280" s="730"/>
      <c r="BG280" s="730"/>
      <c r="BH280" s="730"/>
      <c r="BI280" s="730"/>
      <c r="BJ280" s="730"/>
      <c r="BK280" s="730"/>
      <c r="BL280" s="730"/>
    </row>
    <row r="281">
      <c r="A281" s="901"/>
      <c r="B281" s="1026" t="s">
        <v>1232</v>
      </c>
      <c r="C281" s="1023" t="s">
        <v>107</v>
      </c>
      <c r="D281" s="957" t="s">
        <v>69</v>
      </c>
      <c r="E281" s="957" t="s">
        <v>69</v>
      </c>
      <c r="F281" s="957" t="s">
        <v>70</v>
      </c>
      <c r="G281" s="957" t="s">
        <v>70</v>
      </c>
      <c r="H281" s="957" t="s">
        <v>70</v>
      </c>
      <c r="I281" s="957" t="s">
        <v>70</v>
      </c>
      <c r="J281" s="957" t="s">
        <v>70</v>
      </c>
      <c r="K281" s="957" t="s">
        <v>69</v>
      </c>
      <c r="L281" s="957" t="s">
        <v>69</v>
      </c>
      <c r="M281" s="957" t="s">
        <v>69</v>
      </c>
      <c r="N281" s="957" t="s">
        <v>70</v>
      </c>
      <c r="O281" s="957" t="s">
        <v>69</v>
      </c>
      <c r="P281" s="957"/>
      <c r="Q281" s="957" t="s">
        <v>69</v>
      </c>
      <c r="R281" s="957" t="s">
        <v>70</v>
      </c>
      <c r="S281" s="957" t="s">
        <v>69</v>
      </c>
      <c r="T281" s="957" t="s">
        <v>69</v>
      </c>
      <c r="U281" s="957" t="s">
        <v>69</v>
      </c>
      <c r="V281" s="957" t="s">
        <v>69</v>
      </c>
      <c r="W281" s="957" t="s">
        <v>69</v>
      </c>
      <c r="X281" s="957" t="s">
        <v>69</v>
      </c>
      <c r="Y281" s="957" t="s">
        <v>69</v>
      </c>
      <c r="Z281" s="957" t="s">
        <v>69</v>
      </c>
      <c r="AA281" s="957" t="s">
        <v>69</v>
      </c>
      <c r="AB281" s="957" t="s">
        <v>69</v>
      </c>
      <c r="AC281" s="957" t="s">
        <v>100</v>
      </c>
      <c r="AD281" s="957" t="s">
        <v>100</v>
      </c>
      <c r="AE281" s="957" t="s">
        <v>100</v>
      </c>
      <c r="AF281" s="957" t="s">
        <v>100</v>
      </c>
      <c r="AG281" s="957" t="s">
        <v>100</v>
      </c>
      <c r="AH281" s="957" t="s">
        <v>100</v>
      </c>
      <c r="AI281" s="957" t="s">
        <v>69</v>
      </c>
      <c r="AJ281" s="957" t="s">
        <v>69</v>
      </c>
      <c r="AK281" s="957" t="s">
        <v>69</v>
      </c>
      <c r="AL281" s="957" t="s">
        <v>70</v>
      </c>
      <c r="AM281" s="957" t="s">
        <v>70</v>
      </c>
      <c r="AN281" s="957" t="s">
        <v>70</v>
      </c>
      <c r="AO281" s="1040"/>
      <c r="AP281" s="1040"/>
      <c r="AQ281" s="1040"/>
      <c r="AR281" s="1040"/>
      <c r="AS281" s="1040"/>
      <c r="AT281" s="1040"/>
      <c r="AU281" s="1040"/>
      <c r="AV281" s="1040"/>
      <c r="AW281" s="1040"/>
      <c r="AX281" s="1040"/>
      <c r="AY281" s="1040"/>
      <c r="AZ281" s="1040"/>
      <c r="BA281" s="1040"/>
      <c r="BB281" s="1040"/>
      <c r="BC281" s="1040"/>
      <c r="BD281" s="1040"/>
      <c r="BE281" s="730"/>
      <c r="BF281" s="730"/>
      <c r="BG281" s="730"/>
      <c r="BH281" s="730"/>
      <c r="BI281" s="730"/>
      <c r="BJ281" s="730"/>
      <c r="BK281" s="730"/>
      <c r="BL281" s="730"/>
    </row>
    <row r="282">
      <c r="A282" s="901"/>
      <c r="B282" s="874" t="s">
        <v>135</v>
      </c>
      <c r="C282" s="1023" t="s">
        <v>107</v>
      </c>
      <c r="D282" s="957" t="s">
        <v>69</v>
      </c>
      <c r="E282" s="957" t="s">
        <v>70</v>
      </c>
      <c r="F282" s="957" t="s">
        <v>69</v>
      </c>
      <c r="G282" s="957" t="s">
        <v>69</v>
      </c>
      <c r="H282" s="957" t="s">
        <v>69</v>
      </c>
      <c r="I282" s="957" t="s">
        <v>69</v>
      </c>
      <c r="J282" s="957" t="s">
        <v>69</v>
      </c>
      <c r="K282" s="957" t="s">
        <v>70</v>
      </c>
      <c r="L282" s="957" t="s">
        <v>70</v>
      </c>
      <c r="M282" s="957" t="s">
        <v>69</v>
      </c>
      <c r="N282" s="957" t="s">
        <v>70</v>
      </c>
      <c r="O282" s="957" t="s">
        <v>69</v>
      </c>
      <c r="P282" s="957"/>
      <c r="Q282" s="957" t="s">
        <v>69</v>
      </c>
      <c r="R282" s="957" t="s">
        <v>69</v>
      </c>
      <c r="S282" s="957" t="s">
        <v>70</v>
      </c>
      <c r="T282" s="957" t="s">
        <v>69</v>
      </c>
      <c r="U282" s="957" t="s">
        <v>69</v>
      </c>
      <c r="V282" s="957" t="s">
        <v>70</v>
      </c>
      <c r="W282" s="957" t="s">
        <v>69</v>
      </c>
      <c r="X282" s="957" t="s">
        <v>70</v>
      </c>
      <c r="Y282" s="957" t="s">
        <v>69</v>
      </c>
      <c r="Z282" s="957" t="s">
        <v>69</v>
      </c>
      <c r="AA282" s="957" t="s">
        <v>70</v>
      </c>
      <c r="AB282" s="957" t="s">
        <v>69</v>
      </c>
      <c r="AC282" s="957" t="s">
        <v>69</v>
      </c>
      <c r="AD282" s="957" t="s">
        <v>69</v>
      </c>
      <c r="AE282" s="957" t="s">
        <v>69</v>
      </c>
      <c r="AF282" s="957" t="s">
        <v>69</v>
      </c>
      <c r="AG282" s="957" t="s">
        <v>69</v>
      </c>
      <c r="AH282" s="957" t="s">
        <v>69</v>
      </c>
      <c r="AI282" s="957" t="s">
        <v>69</v>
      </c>
      <c r="AJ282" s="957" t="s">
        <v>69</v>
      </c>
      <c r="AK282" s="957" t="s">
        <v>69</v>
      </c>
      <c r="AL282" s="957" t="s">
        <v>70</v>
      </c>
      <c r="AM282" s="957" t="s">
        <v>69</v>
      </c>
      <c r="AN282" s="957" t="s">
        <v>70</v>
      </c>
      <c r="AO282" s="1040"/>
      <c r="AP282" s="1040"/>
      <c r="AQ282" s="1040"/>
      <c r="AR282" s="1040"/>
      <c r="AS282" s="1040"/>
      <c r="AT282" s="1040"/>
      <c r="AU282" s="1040"/>
      <c r="AV282" s="1040"/>
      <c r="AW282" s="1040"/>
      <c r="AX282" s="1040"/>
      <c r="AY282" s="1040"/>
      <c r="AZ282" s="1040"/>
      <c r="BA282" s="1040"/>
      <c r="BB282" s="1040"/>
      <c r="BC282" s="1040"/>
      <c r="BD282" s="1040"/>
      <c r="BE282" s="730"/>
      <c r="BF282" s="730"/>
      <c r="BG282" s="730"/>
      <c r="BH282" s="730"/>
      <c r="BI282" s="730"/>
      <c r="BJ282" s="730"/>
      <c r="BK282" s="730"/>
      <c r="BL282" s="730"/>
    </row>
    <row r="283">
      <c r="A283" s="901"/>
      <c r="B283" s="874" t="s">
        <v>1181</v>
      </c>
      <c r="C283" s="1023" t="s">
        <v>107</v>
      </c>
      <c r="D283" s="957" t="s">
        <v>69</v>
      </c>
      <c r="E283" s="957" t="s">
        <v>69</v>
      </c>
      <c r="F283" s="957" t="s">
        <v>70</v>
      </c>
      <c r="G283" s="957" t="s">
        <v>70</v>
      </c>
      <c r="H283" s="957" t="s">
        <v>70</v>
      </c>
      <c r="I283" s="957" t="s">
        <v>70</v>
      </c>
      <c r="J283" s="957" t="s">
        <v>70</v>
      </c>
      <c r="K283" s="957" t="s">
        <v>69</v>
      </c>
      <c r="L283" s="957" t="s">
        <v>69</v>
      </c>
      <c r="M283" s="957" t="s">
        <v>69</v>
      </c>
      <c r="N283" s="957" t="s">
        <v>70</v>
      </c>
      <c r="O283" s="957" t="s">
        <v>69</v>
      </c>
      <c r="P283" s="957"/>
      <c r="Q283" s="957" t="s">
        <v>69</v>
      </c>
      <c r="R283" s="957" t="s">
        <v>70</v>
      </c>
      <c r="S283" s="957" t="s">
        <v>69</v>
      </c>
      <c r="T283" s="957" t="s">
        <v>69</v>
      </c>
      <c r="U283" s="957" t="s">
        <v>69</v>
      </c>
      <c r="V283" s="957" t="s">
        <v>70</v>
      </c>
      <c r="W283" s="957" t="s">
        <v>69</v>
      </c>
      <c r="X283" s="957" t="s">
        <v>69</v>
      </c>
      <c r="Y283" s="957" t="s">
        <v>69</v>
      </c>
      <c r="Z283" s="957" t="s">
        <v>69</v>
      </c>
      <c r="AA283" s="957" t="s">
        <v>69</v>
      </c>
      <c r="AB283" s="957" t="s">
        <v>69</v>
      </c>
      <c r="AC283" s="957" t="s">
        <v>70</v>
      </c>
      <c r="AD283" s="957" t="s">
        <v>69</v>
      </c>
      <c r="AE283" s="957" t="s">
        <v>69</v>
      </c>
      <c r="AF283" s="957" t="s">
        <v>69</v>
      </c>
      <c r="AG283" s="957" t="s">
        <v>69</v>
      </c>
      <c r="AH283" s="957" t="s">
        <v>69</v>
      </c>
      <c r="AI283" s="957" t="s">
        <v>69</v>
      </c>
      <c r="AJ283" s="957" t="s">
        <v>69</v>
      </c>
      <c r="AK283" s="957" t="s">
        <v>69</v>
      </c>
      <c r="AL283" s="957" t="s">
        <v>70</v>
      </c>
      <c r="AM283" s="957" t="s">
        <v>69</v>
      </c>
      <c r="AN283" s="957" t="s">
        <v>70</v>
      </c>
      <c r="AO283" s="1059"/>
      <c r="AP283" s="1040"/>
      <c r="AQ283" s="1040"/>
      <c r="AR283" s="1040"/>
      <c r="AS283" s="1040"/>
      <c r="AT283" s="1040"/>
      <c r="AU283" s="1040"/>
      <c r="AV283" s="1040"/>
      <c r="AW283" s="1040"/>
      <c r="AX283" s="1040"/>
      <c r="AY283" s="1040"/>
      <c r="AZ283" s="1040"/>
      <c r="BA283" s="1040"/>
      <c r="BB283" s="1040"/>
      <c r="BC283" s="1040"/>
      <c r="BD283" s="1040"/>
      <c r="BE283" s="730"/>
      <c r="BF283" s="730"/>
      <c r="BG283" s="730"/>
      <c r="BH283" s="730"/>
      <c r="BI283" s="730"/>
      <c r="BJ283" s="730"/>
      <c r="BK283" s="730"/>
      <c r="BL283" s="730"/>
    </row>
    <row r="284">
      <c r="A284" s="901"/>
      <c r="B284" s="1060" t="s">
        <v>1246</v>
      </c>
      <c r="C284" s="874" t="s">
        <v>107</v>
      </c>
      <c r="D284" s="1041"/>
      <c r="E284" s="1042"/>
      <c r="F284" s="1042"/>
      <c r="G284" s="1042"/>
      <c r="H284" s="1042"/>
      <c r="I284" s="1042"/>
      <c r="J284" s="1042"/>
      <c r="K284" s="1042"/>
      <c r="L284" s="1042"/>
      <c r="M284" s="1042"/>
      <c r="N284" s="1042"/>
      <c r="O284" s="1042"/>
      <c r="P284" s="1042"/>
      <c r="Q284" s="1042"/>
      <c r="R284" s="1042"/>
      <c r="S284" s="1042"/>
      <c r="T284" s="1042"/>
      <c r="U284" s="1042"/>
      <c r="V284" s="1042"/>
      <c r="W284" s="1042"/>
      <c r="X284" s="1042"/>
      <c r="Y284" s="1042"/>
      <c r="Z284" s="1042"/>
      <c r="AA284" s="1042"/>
      <c r="AB284" s="1043"/>
      <c r="AC284" s="957" t="s">
        <v>100</v>
      </c>
      <c r="AD284" s="957" t="s">
        <v>100</v>
      </c>
      <c r="AE284" s="957" t="s">
        <v>100</v>
      </c>
      <c r="AF284" s="957" t="s">
        <v>100</v>
      </c>
      <c r="AG284" s="957" t="s">
        <v>100</v>
      </c>
      <c r="AH284" s="957" t="s">
        <v>100</v>
      </c>
      <c r="AI284" s="957" t="s">
        <v>69</v>
      </c>
      <c r="AJ284" s="957" t="s">
        <v>69</v>
      </c>
      <c r="AK284" s="957" t="s">
        <v>69</v>
      </c>
      <c r="AL284" s="957" t="s">
        <v>70</v>
      </c>
      <c r="AM284" s="957" t="s">
        <v>70</v>
      </c>
      <c r="AN284" s="957" t="s">
        <v>70</v>
      </c>
      <c r="AO284" s="1040"/>
      <c r="AP284" s="1040"/>
      <c r="AQ284" s="1040"/>
      <c r="AR284" s="1040"/>
      <c r="AS284" s="1040"/>
      <c r="AT284" s="1040"/>
      <c r="AU284" s="1040"/>
      <c r="AV284" s="1040"/>
      <c r="AW284" s="1040"/>
      <c r="AX284" s="1040"/>
      <c r="AY284" s="1040"/>
      <c r="AZ284" s="1040"/>
      <c r="BA284" s="1040"/>
      <c r="BB284" s="1040"/>
      <c r="BC284" s="1040"/>
      <c r="BD284" s="1040"/>
      <c r="BE284" s="730"/>
      <c r="BF284" s="730"/>
      <c r="BG284" s="730"/>
      <c r="BH284" s="730"/>
      <c r="BI284" s="730"/>
      <c r="BJ284" s="730"/>
      <c r="BK284" s="730"/>
      <c r="BL284" s="730"/>
    </row>
    <row r="285">
      <c r="A285" s="901"/>
      <c r="B285" s="1060" t="s">
        <v>1247</v>
      </c>
      <c r="C285" s="874" t="s">
        <v>107</v>
      </c>
      <c r="D285" s="1041"/>
      <c r="E285" s="1042"/>
      <c r="F285" s="1042"/>
      <c r="G285" s="1042"/>
      <c r="H285" s="1042"/>
      <c r="I285" s="1042"/>
      <c r="J285" s="1042"/>
      <c r="K285" s="1042"/>
      <c r="L285" s="1042"/>
      <c r="M285" s="1042"/>
      <c r="N285" s="1042"/>
      <c r="O285" s="1042"/>
      <c r="P285" s="1042"/>
      <c r="Q285" s="1042"/>
      <c r="R285" s="1042"/>
      <c r="S285" s="1042"/>
      <c r="T285" s="1042"/>
      <c r="U285" s="1042"/>
      <c r="V285" s="1042"/>
      <c r="W285" s="1042"/>
      <c r="X285" s="1042"/>
      <c r="Y285" s="1042"/>
      <c r="Z285" s="1042"/>
      <c r="AA285" s="1042"/>
      <c r="AB285" s="1042"/>
      <c r="AC285" s="1042"/>
      <c r="AD285" s="1042"/>
      <c r="AE285" s="1042"/>
      <c r="AF285" s="1042"/>
      <c r="AG285" s="1042"/>
      <c r="AH285" s="1043"/>
      <c r="AI285" s="957" t="s">
        <v>69</v>
      </c>
      <c r="AJ285" s="957" t="s">
        <v>69</v>
      </c>
      <c r="AK285" s="957" t="s">
        <v>69</v>
      </c>
      <c r="AL285" s="957" t="s">
        <v>70</v>
      </c>
      <c r="AM285" s="957" t="s">
        <v>70</v>
      </c>
      <c r="AN285" s="957" t="s">
        <v>70</v>
      </c>
      <c r="AO285" s="1040"/>
      <c r="AP285" s="1040"/>
      <c r="AQ285" s="1040"/>
      <c r="AR285" s="1040"/>
      <c r="AS285" s="1040"/>
      <c r="AT285" s="1040"/>
      <c r="AU285" s="1040"/>
      <c r="AV285" s="1040"/>
      <c r="AW285" s="1040"/>
      <c r="AX285" s="1040"/>
      <c r="AY285" s="1040"/>
      <c r="AZ285" s="1040"/>
      <c r="BA285" s="1040"/>
      <c r="BB285" s="1040"/>
      <c r="BC285" s="1040"/>
      <c r="BD285" s="1040"/>
      <c r="BE285" s="730"/>
      <c r="BF285" s="730"/>
      <c r="BG285" s="730"/>
      <c r="BH285" s="730"/>
      <c r="BI285" s="730"/>
      <c r="BJ285" s="730"/>
      <c r="BK285" s="730"/>
      <c r="BL285" s="730"/>
    </row>
    <row r="286">
      <c r="A286" s="901"/>
      <c r="B286" s="1061" t="s">
        <v>1233</v>
      </c>
      <c r="C286" s="1062" t="s">
        <v>107</v>
      </c>
      <c r="D286" s="957" t="s">
        <v>69</v>
      </c>
      <c r="E286" s="957" t="s">
        <v>69</v>
      </c>
      <c r="F286" s="957" t="s">
        <v>70</v>
      </c>
      <c r="G286" s="957" t="s">
        <v>70</v>
      </c>
      <c r="H286" s="957" t="s">
        <v>70</v>
      </c>
      <c r="I286" s="957" t="s">
        <v>70</v>
      </c>
      <c r="J286" s="957" t="s">
        <v>70</v>
      </c>
      <c r="K286" s="957" t="s">
        <v>69</v>
      </c>
      <c r="L286" s="957" t="s">
        <v>69</v>
      </c>
      <c r="M286" s="957" t="s">
        <v>69</v>
      </c>
      <c r="N286" s="957" t="s">
        <v>70</v>
      </c>
      <c r="O286" s="957" t="s">
        <v>69</v>
      </c>
      <c r="P286" s="957"/>
      <c r="Q286" s="957" t="s">
        <v>69</v>
      </c>
      <c r="R286" s="957" t="s">
        <v>70</v>
      </c>
      <c r="S286" s="957" t="s">
        <v>69</v>
      </c>
      <c r="T286" s="957" t="s">
        <v>69</v>
      </c>
      <c r="U286" s="957" t="s">
        <v>70</v>
      </c>
      <c r="V286" s="957" t="s">
        <v>69</v>
      </c>
      <c r="W286" s="957" t="s">
        <v>69</v>
      </c>
      <c r="X286" s="957" t="s">
        <v>70</v>
      </c>
      <c r="Y286" s="957" t="s">
        <v>69</v>
      </c>
      <c r="Z286" s="957" t="s">
        <v>69</v>
      </c>
      <c r="AA286" s="957" t="s">
        <v>69</v>
      </c>
      <c r="AB286" s="957" t="s">
        <v>100</v>
      </c>
      <c r="AC286" s="957" t="s">
        <v>100</v>
      </c>
      <c r="AD286" s="957" t="s">
        <v>100</v>
      </c>
      <c r="AE286" s="957" t="s">
        <v>100</v>
      </c>
      <c r="AF286" s="957" t="s">
        <v>100</v>
      </c>
      <c r="AG286" s="957" t="s">
        <v>100</v>
      </c>
      <c r="AH286" s="957" t="s">
        <v>100</v>
      </c>
      <c r="AI286" s="957" t="s">
        <v>69</v>
      </c>
      <c r="AJ286" s="957" t="s">
        <v>69</v>
      </c>
      <c r="AK286" s="957" t="s">
        <v>69</v>
      </c>
      <c r="AL286" s="957" t="s">
        <v>70</v>
      </c>
      <c r="AM286" s="957" t="s">
        <v>70</v>
      </c>
      <c r="AN286" s="957" t="s">
        <v>70</v>
      </c>
      <c r="AO286" s="1040"/>
      <c r="AP286" s="1040"/>
      <c r="AQ286" s="1040"/>
      <c r="AR286" s="1040"/>
      <c r="AS286" s="1040"/>
      <c r="AT286" s="1040"/>
      <c r="AU286" s="1040"/>
      <c r="AV286" s="1040"/>
      <c r="AW286" s="1040"/>
      <c r="AX286" s="1040"/>
      <c r="AY286" s="1040"/>
      <c r="AZ286" s="1040"/>
      <c r="BA286" s="1040"/>
      <c r="BB286" s="1040"/>
      <c r="BC286" s="1040"/>
      <c r="BD286" s="1040"/>
      <c r="BE286" s="730"/>
      <c r="BF286" s="730"/>
      <c r="BG286" s="730"/>
      <c r="BH286" s="730"/>
      <c r="BI286" s="730"/>
      <c r="BJ286" s="730"/>
      <c r="BK286" s="730"/>
      <c r="BL286" s="730"/>
    </row>
    <row r="287">
      <c r="A287" s="901"/>
      <c r="B287" s="1061" t="s">
        <v>1248</v>
      </c>
      <c r="C287" s="1062" t="s">
        <v>107</v>
      </c>
      <c r="D287" s="957" t="s">
        <v>69</v>
      </c>
      <c r="E287" s="957" t="s">
        <v>69</v>
      </c>
      <c r="F287" s="957" t="s">
        <v>70</v>
      </c>
      <c r="G287" s="957" t="s">
        <v>70</v>
      </c>
      <c r="H287" s="957" t="s">
        <v>70</v>
      </c>
      <c r="I287" s="957" t="s">
        <v>70</v>
      </c>
      <c r="J287" s="957" t="s">
        <v>70</v>
      </c>
      <c r="K287" s="957" t="s">
        <v>69</v>
      </c>
      <c r="L287" s="957" t="s">
        <v>69</v>
      </c>
      <c r="M287" s="957" t="s">
        <v>69</v>
      </c>
      <c r="N287" s="957" t="s">
        <v>70</v>
      </c>
      <c r="O287" s="957" t="s">
        <v>69</v>
      </c>
      <c r="P287" s="957"/>
      <c r="Q287" s="957" t="s">
        <v>69</v>
      </c>
      <c r="R287" s="957" t="s">
        <v>70</v>
      </c>
      <c r="S287" s="957" t="s">
        <v>69</v>
      </c>
      <c r="T287" s="957" t="s">
        <v>69</v>
      </c>
      <c r="U287" s="957" t="s">
        <v>69</v>
      </c>
      <c r="V287" s="1049" t="s">
        <v>100</v>
      </c>
      <c r="W287" s="1049" t="s">
        <v>100</v>
      </c>
      <c r="X287" s="1049" t="s">
        <v>100</v>
      </c>
      <c r="Y287" s="1049" t="s">
        <v>100</v>
      </c>
      <c r="Z287" s="1049" t="s">
        <v>100</v>
      </c>
      <c r="AA287" s="1049" t="s">
        <v>100</v>
      </c>
      <c r="AB287" s="957" t="s">
        <v>100</v>
      </c>
      <c r="AC287" s="1050"/>
      <c r="BE287" s="1050"/>
      <c r="BF287" s="1050"/>
      <c r="BG287" s="1050"/>
      <c r="BH287" s="1050"/>
      <c r="BI287" s="1050"/>
      <c r="BJ287" s="1050"/>
      <c r="BK287" s="1050"/>
      <c r="BL287" s="1050"/>
    </row>
    <row r="288">
      <c r="A288" s="901"/>
      <c r="B288" s="1063" t="s">
        <v>1202</v>
      </c>
      <c r="C288" s="999" t="s">
        <v>12</v>
      </c>
      <c r="D288" s="957" t="s">
        <v>69</v>
      </c>
      <c r="E288" s="957" t="s">
        <v>70</v>
      </c>
      <c r="F288" s="957" t="s">
        <v>70</v>
      </c>
      <c r="G288" s="957" t="s">
        <v>70</v>
      </c>
      <c r="H288" s="957" t="s">
        <v>70</v>
      </c>
      <c r="I288" s="957" t="s">
        <v>69</v>
      </c>
      <c r="J288" s="957" t="s">
        <v>69</v>
      </c>
      <c r="K288" s="957" t="s">
        <v>69</v>
      </c>
      <c r="L288" s="957" t="s">
        <v>70</v>
      </c>
      <c r="M288" s="957" t="s">
        <v>99</v>
      </c>
      <c r="N288" s="957" t="s">
        <v>69</v>
      </c>
      <c r="O288" s="957" t="s">
        <v>69</v>
      </c>
      <c r="P288" s="957"/>
      <c r="Q288" s="957" t="s">
        <v>69</v>
      </c>
      <c r="R288" s="957" t="s">
        <v>69</v>
      </c>
      <c r="S288" s="957" t="s">
        <v>70</v>
      </c>
      <c r="T288" s="957" t="s">
        <v>70</v>
      </c>
      <c r="U288" s="957" t="s">
        <v>69</v>
      </c>
      <c r="V288" s="957" t="s">
        <v>70</v>
      </c>
      <c r="W288" s="957" t="s">
        <v>70</v>
      </c>
      <c r="X288" s="957" t="s">
        <v>70</v>
      </c>
      <c r="Y288" s="957" t="s">
        <v>70</v>
      </c>
      <c r="Z288" s="957" t="s">
        <v>69</v>
      </c>
      <c r="AA288" s="957" t="s">
        <v>69</v>
      </c>
      <c r="AB288" s="957" t="s">
        <v>69</v>
      </c>
      <c r="AC288" s="957" t="s">
        <v>70</v>
      </c>
      <c r="AD288" s="957" t="s">
        <v>69</v>
      </c>
      <c r="AE288" s="957" t="s">
        <v>70</v>
      </c>
      <c r="AF288" s="957" t="s">
        <v>69</v>
      </c>
      <c r="AG288" s="957" t="s">
        <v>69</v>
      </c>
      <c r="AH288" s="957" t="s">
        <v>69</v>
      </c>
      <c r="AI288" s="957" t="s">
        <v>100</v>
      </c>
      <c r="AJ288" s="957" t="s">
        <v>100</v>
      </c>
      <c r="AK288" s="957" t="s">
        <v>100</v>
      </c>
      <c r="AL288" s="957" t="s">
        <v>100</v>
      </c>
      <c r="AM288" s="957" t="s">
        <v>100</v>
      </c>
      <c r="AN288" s="957" t="s">
        <v>100</v>
      </c>
      <c r="AO288" s="1040"/>
      <c r="AP288" s="1040"/>
      <c r="AQ288" s="1040"/>
      <c r="AR288" s="1040"/>
      <c r="AS288" s="1040"/>
      <c r="AT288" s="1040"/>
      <c r="AU288" s="1040"/>
      <c r="AV288" s="1040"/>
      <c r="AW288" s="1040"/>
      <c r="AX288" s="1040"/>
      <c r="AY288" s="1040"/>
      <c r="AZ288" s="1040"/>
      <c r="BA288" s="1040"/>
      <c r="BB288" s="1040"/>
      <c r="BC288" s="1040"/>
      <c r="BD288" s="1040"/>
      <c r="BE288" s="730"/>
      <c r="BF288" s="730"/>
      <c r="BG288" s="730"/>
      <c r="BH288" s="730"/>
      <c r="BI288" s="730"/>
      <c r="BJ288" s="730"/>
      <c r="BK288" s="730"/>
      <c r="BL288" s="730"/>
    </row>
    <row r="289">
      <c r="A289" s="901"/>
      <c r="B289" s="952" t="s">
        <v>41</v>
      </c>
      <c r="C289" s="952" t="s">
        <v>12</v>
      </c>
      <c r="D289" s="957" t="s">
        <v>69</v>
      </c>
      <c r="E289" s="957" t="s">
        <v>70</v>
      </c>
      <c r="F289" s="957" t="s">
        <v>70</v>
      </c>
      <c r="G289" s="957" t="s">
        <v>70</v>
      </c>
      <c r="H289" s="957" t="s">
        <v>70</v>
      </c>
      <c r="I289" s="957" t="s">
        <v>69</v>
      </c>
      <c r="J289" s="957" t="s">
        <v>69</v>
      </c>
      <c r="K289" s="957" t="s">
        <v>69</v>
      </c>
      <c r="L289" s="957" t="s">
        <v>70</v>
      </c>
      <c r="M289" s="957" t="s">
        <v>69</v>
      </c>
      <c r="N289" s="957" t="s">
        <v>69</v>
      </c>
      <c r="O289" s="957" t="s">
        <v>69</v>
      </c>
      <c r="P289" s="957"/>
      <c r="Q289" s="957" t="s">
        <v>69</v>
      </c>
      <c r="R289" s="957" t="s">
        <v>69</v>
      </c>
      <c r="S289" s="957" t="s">
        <v>70</v>
      </c>
      <c r="T289" s="957" t="s">
        <v>70</v>
      </c>
      <c r="U289" s="957" t="s">
        <v>69</v>
      </c>
      <c r="V289" s="957" t="s">
        <v>70</v>
      </c>
      <c r="W289" s="957" t="s">
        <v>70</v>
      </c>
      <c r="X289" s="957" t="s">
        <v>70</v>
      </c>
      <c r="Y289" s="957" t="s">
        <v>70</v>
      </c>
      <c r="Z289" s="957" t="s">
        <v>69</v>
      </c>
      <c r="AA289" s="957" t="s">
        <v>69</v>
      </c>
      <c r="AB289" s="957" t="s">
        <v>69</v>
      </c>
      <c r="AC289" s="957" t="s">
        <v>70</v>
      </c>
      <c r="AD289" s="957" t="s">
        <v>69</v>
      </c>
      <c r="AE289" s="957" t="s">
        <v>70</v>
      </c>
      <c r="AF289" s="957" t="s">
        <v>69</v>
      </c>
      <c r="AG289" s="957" t="s">
        <v>70</v>
      </c>
      <c r="AH289" s="957" t="s">
        <v>69</v>
      </c>
      <c r="AI289" s="957" t="s">
        <v>100</v>
      </c>
      <c r="AJ289" s="957" t="s">
        <v>100</v>
      </c>
      <c r="AK289" s="957" t="s">
        <v>100</v>
      </c>
      <c r="AL289" s="957" t="s">
        <v>100</v>
      </c>
      <c r="AM289" s="957" t="s">
        <v>100</v>
      </c>
      <c r="AN289" s="957" t="s">
        <v>100</v>
      </c>
      <c r="AO289" s="1064"/>
      <c r="AP289" s="1064"/>
      <c r="AQ289" s="1064"/>
      <c r="AR289" s="1064"/>
      <c r="AS289" s="1064"/>
      <c r="AT289" s="1064"/>
      <c r="AU289" s="1064"/>
      <c r="AV289" s="1064"/>
      <c r="AW289" s="1064"/>
      <c r="AX289" s="1064"/>
      <c r="AY289" s="1064"/>
      <c r="AZ289" s="1064"/>
      <c r="BA289" s="1064"/>
      <c r="BB289" s="1064"/>
      <c r="BC289" s="1064"/>
      <c r="BD289" s="1064"/>
      <c r="BE289" s="730"/>
      <c r="BF289" s="730"/>
      <c r="BG289" s="730"/>
      <c r="BH289" s="730"/>
      <c r="BI289" s="730"/>
      <c r="BJ289" s="730"/>
      <c r="BK289" s="730"/>
      <c r="BL289" s="730"/>
    </row>
    <row r="290">
      <c r="A290" s="901"/>
      <c r="B290" s="951" t="s">
        <v>1249</v>
      </c>
      <c r="C290" s="951" t="s">
        <v>12</v>
      </c>
      <c r="D290" s="1065"/>
      <c r="E290" s="108"/>
      <c r="F290" s="108"/>
      <c r="G290" s="108"/>
      <c r="H290" s="108"/>
      <c r="I290" s="108"/>
      <c r="J290" s="108"/>
      <c r="K290" s="108"/>
      <c r="L290" s="108"/>
      <c r="M290" s="108"/>
      <c r="N290" s="108"/>
      <c r="O290" s="108"/>
      <c r="P290" s="108"/>
      <c r="Q290" s="108"/>
      <c r="R290" s="108"/>
      <c r="S290" s="108"/>
      <c r="T290" s="108"/>
      <c r="U290" s="109"/>
      <c r="V290" s="957" t="s">
        <v>70</v>
      </c>
      <c r="W290" s="957" t="s">
        <v>70</v>
      </c>
      <c r="X290" s="957" t="s">
        <v>70</v>
      </c>
      <c r="Y290" s="957" t="s">
        <v>70</v>
      </c>
      <c r="Z290" s="957" t="s">
        <v>69</v>
      </c>
      <c r="AA290" s="957" t="s">
        <v>69</v>
      </c>
      <c r="AB290" s="957" t="s">
        <v>69</v>
      </c>
      <c r="AC290" s="957" t="s">
        <v>70</v>
      </c>
      <c r="AD290" s="957" t="s">
        <v>69</v>
      </c>
      <c r="AE290" s="957" t="s">
        <v>70</v>
      </c>
      <c r="AF290" s="957" t="s">
        <v>69</v>
      </c>
      <c r="AG290" s="957" t="s">
        <v>70</v>
      </c>
      <c r="AH290" s="957" t="s">
        <v>69</v>
      </c>
      <c r="AI290" s="957" t="s">
        <v>69</v>
      </c>
      <c r="AJ290" s="957" t="s">
        <v>70</v>
      </c>
      <c r="AK290" s="957" t="s">
        <v>70</v>
      </c>
      <c r="AL290" s="957" t="s">
        <v>70</v>
      </c>
      <c r="AM290" s="957" t="s">
        <v>69</v>
      </c>
      <c r="AN290" s="957" t="s">
        <v>70</v>
      </c>
      <c r="AO290" s="1064"/>
      <c r="AP290" s="1064"/>
      <c r="AQ290" s="1064"/>
      <c r="AR290" s="1064"/>
      <c r="AS290" s="1064"/>
      <c r="AT290" s="1064"/>
      <c r="AU290" s="1064"/>
      <c r="AV290" s="1064"/>
      <c r="AW290" s="1064"/>
      <c r="AX290" s="1064"/>
      <c r="AY290" s="1064"/>
      <c r="AZ290" s="1064"/>
      <c r="BA290" s="1064"/>
      <c r="BB290" s="1064"/>
      <c r="BC290" s="1064"/>
      <c r="BD290" s="1064"/>
      <c r="BE290" s="730"/>
      <c r="BF290" s="730"/>
      <c r="BG290" s="730"/>
      <c r="BH290" s="730"/>
      <c r="BI290" s="730"/>
      <c r="BJ290" s="730"/>
      <c r="BK290" s="730"/>
      <c r="BL290" s="730"/>
    </row>
    <row r="291">
      <c r="A291" s="901"/>
      <c r="B291" s="1034" t="s">
        <v>1250</v>
      </c>
      <c r="C291" s="1034" t="s">
        <v>12</v>
      </c>
      <c r="D291" s="957" t="s">
        <v>100</v>
      </c>
      <c r="E291" s="957" t="s">
        <v>100</v>
      </c>
      <c r="F291" s="957" t="s">
        <v>100</v>
      </c>
      <c r="G291" s="957" t="s">
        <v>100</v>
      </c>
      <c r="H291" s="957" t="s">
        <v>100</v>
      </c>
      <c r="I291" s="957" t="s">
        <v>100</v>
      </c>
      <c r="J291" s="957" t="s">
        <v>100</v>
      </c>
      <c r="K291" s="957" t="s">
        <v>100</v>
      </c>
      <c r="L291" s="957" t="s">
        <v>100</v>
      </c>
      <c r="M291" s="957" t="s">
        <v>100</v>
      </c>
      <c r="N291" s="957" t="s">
        <v>69</v>
      </c>
      <c r="O291" s="957" t="s">
        <v>69</v>
      </c>
      <c r="P291" s="957"/>
      <c r="Q291" s="957" t="s">
        <v>69</v>
      </c>
      <c r="R291" s="957" t="s">
        <v>69</v>
      </c>
      <c r="S291" s="957" t="s">
        <v>70</v>
      </c>
      <c r="T291" s="957" t="s">
        <v>70</v>
      </c>
      <c r="U291" s="957" t="s">
        <v>69</v>
      </c>
      <c r="V291" s="1066"/>
      <c r="W291" s="1067"/>
      <c r="X291" s="1067"/>
      <c r="Y291" s="1067"/>
      <c r="Z291" s="1067"/>
      <c r="AA291" s="1067"/>
      <c r="AB291" s="1067"/>
      <c r="AC291" s="1067"/>
      <c r="AD291" s="1067"/>
      <c r="AE291" s="1067"/>
      <c r="AF291" s="1067"/>
      <c r="AG291" s="1067"/>
      <c r="AH291" s="1067"/>
      <c r="AI291" s="1067"/>
      <c r="AJ291" s="1067"/>
      <c r="AK291" s="1067"/>
      <c r="AL291" s="1067"/>
      <c r="AM291" s="1067"/>
      <c r="AN291" s="1067"/>
      <c r="AO291" s="1064"/>
      <c r="AP291" s="1064"/>
      <c r="AQ291" s="1064"/>
      <c r="AR291" s="1064"/>
      <c r="AS291" s="1064"/>
      <c r="AT291" s="1064"/>
      <c r="AU291" s="1064"/>
      <c r="AV291" s="1064"/>
      <c r="AW291" s="1064"/>
      <c r="AX291" s="1064"/>
      <c r="AY291" s="1064"/>
      <c r="AZ291" s="1064"/>
      <c r="BA291" s="1064"/>
      <c r="BB291" s="1064"/>
      <c r="BC291" s="1064"/>
      <c r="BD291" s="1064"/>
      <c r="BE291" s="730"/>
      <c r="BF291" s="730"/>
      <c r="BG291" s="730"/>
      <c r="BH291" s="730"/>
      <c r="BI291" s="730"/>
      <c r="BJ291" s="730"/>
      <c r="BK291" s="730"/>
      <c r="BL291" s="730"/>
    </row>
    <row r="292">
      <c r="A292" s="1007" t="s">
        <v>1200</v>
      </c>
      <c r="B292" s="1068" t="s">
        <v>1212</v>
      </c>
      <c r="C292" s="1069" t="s">
        <v>177</v>
      </c>
      <c r="D292" s="957" t="s">
        <v>100</v>
      </c>
      <c r="E292" s="957" t="s">
        <v>100</v>
      </c>
      <c r="F292" s="957" t="s">
        <v>100</v>
      </c>
      <c r="G292" s="957" t="s">
        <v>100</v>
      </c>
      <c r="H292" s="957" t="s">
        <v>100</v>
      </c>
      <c r="I292" s="957" t="s">
        <v>100</v>
      </c>
      <c r="J292" s="957" t="s">
        <v>100</v>
      </c>
      <c r="K292" s="957" t="s">
        <v>100</v>
      </c>
      <c r="L292" s="957" t="s">
        <v>100</v>
      </c>
      <c r="M292" s="957" t="s">
        <v>100</v>
      </c>
      <c r="N292" s="957" t="s">
        <v>70</v>
      </c>
      <c r="O292" s="957" t="s">
        <v>69</v>
      </c>
      <c r="P292" s="957"/>
      <c r="Q292" s="957" t="s">
        <v>70</v>
      </c>
      <c r="R292" s="957" t="s">
        <v>69</v>
      </c>
      <c r="S292" s="957" t="s">
        <v>69</v>
      </c>
      <c r="T292" s="957" t="s">
        <v>69</v>
      </c>
      <c r="U292" s="957" t="s">
        <v>69</v>
      </c>
      <c r="V292" s="957" t="s">
        <v>69</v>
      </c>
      <c r="W292" s="957" t="s">
        <v>69</v>
      </c>
      <c r="X292" s="957" t="s">
        <v>69</v>
      </c>
      <c r="Y292" s="957" t="s">
        <v>69</v>
      </c>
      <c r="Z292" s="957" t="s">
        <v>69</v>
      </c>
      <c r="AA292" s="957" t="s">
        <v>69</v>
      </c>
      <c r="AB292" s="957" t="s">
        <v>69</v>
      </c>
      <c r="AC292" s="957" t="s">
        <v>70</v>
      </c>
      <c r="AD292" s="957" t="s">
        <v>69</v>
      </c>
      <c r="AE292" s="957" t="s">
        <v>69</v>
      </c>
      <c r="AF292" s="957" t="s">
        <v>69</v>
      </c>
      <c r="AG292" s="957" t="s">
        <v>69</v>
      </c>
      <c r="AH292" s="957" t="s">
        <v>70</v>
      </c>
      <c r="AI292" s="957" t="s">
        <v>100</v>
      </c>
      <c r="AJ292" s="957" t="s">
        <v>100</v>
      </c>
      <c r="AK292" s="957" t="s">
        <v>100</v>
      </c>
      <c r="AL292" s="957" t="s">
        <v>100</v>
      </c>
      <c r="AM292" s="957" t="s">
        <v>100</v>
      </c>
      <c r="AN292" s="957" t="s">
        <v>100</v>
      </c>
      <c r="AO292" s="1064"/>
      <c r="AP292" s="1064"/>
      <c r="AQ292" s="1064"/>
      <c r="AR292" s="1064"/>
      <c r="AS292" s="1064"/>
      <c r="AT292" s="1064"/>
      <c r="AU292" s="1064"/>
      <c r="AV292" s="1064"/>
      <c r="AW292" s="1064"/>
      <c r="AX292" s="1064"/>
      <c r="AY292" s="1064"/>
      <c r="AZ292" s="1064"/>
      <c r="BA292" s="1064"/>
      <c r="BB292" s="1064"/>
      <c r="BC292" s="1064"/>
      <c r="BD292" s="1064"/>
      <c r="BE292" s="730"/>
      <c r="BF292" s="730"/>
      <c r="BG292" s="730"/>
      <c r="BH292" s="730"/>
      <c r="BI292" s="730"/>
      <c r="BJ292" s="730"/>
      <c r="BK292" s="730"/>
      <c r="BL292" s="730"/>
    </row>
    <row r="293">
      <c r="A293" s="901"/>
      <c r="B293" s="1070" t="s">
        <v>106</v>
      </c>
      <c r="C293" s="1070" t="s">
        <v>177</v>
      </c>
      <c r="D293" s="1071"/>
      <c r="E293" s="108"/>
      <c r="F293" s="108"/>
      <c r="G293" s="108"/>
      <c r="H293" s="108"/>
      <c r="I293" s="108"/>
      <c r="J293" s="108"/>
      <c r="K293" s="108"/>
      <c r="L293" s="108"/>
      <c r="M293" s="108"/>
      <c r="N293" s="108"/>
      <c r="O293" s="108"/>
      <c r="P293" s="108"/>
      <c r="Q293" s="108"/>
      <c r="R293" s="108"/>
      <c r="S293" s="108"/>
      <c r="T293" s="108"/>
      <c r="U293" s="109"/>
      <c r="V293" s="957" t="s">
        <v>69</v>
      </c>
      <c r="W293" s="957" t="s">
        <v>69</v>
      </c>
      <c r="X293" s="957" t="s">
        <v>69</v>
      </c>
      <c r="Y293" s="957" t="s">
        <v>69</v>
      </c>
      <c r="Z293" s="957" t="s">
        <v>69</v>
      </c>
      <c r="AA293" s="957" t="s">
        <v>69</v>
      </c>
      <c r="AB293" s="957" t="s">
        <v>100</v>
      </c>
      <c r="AC293" s="957" t="s">
        <v>70</v>
      </c>
      <c r="AD293" s="957" t="s">
        <v>69</v>
      </c>
      <c r="AE293" s="957" t="s">
        <v>69</v>
      </c>
      <c r="AF293" s="957" t="s">
        <v>69</v>
      </c>
      <c r="AG293" s="957" t="s">
        <v>69</v>
      </c>
      <c r="AH293" s="957" t="s">
        <v>70</v>
      </c>
      <c r="AI293" s="957" t="s">
        <v>69</v>
      </c>
      <c r="AJ293" s="957" t="s">
        <v>69</v>
      </c>
      <c r="AK293" s="957" t="s">
        <v>69</v>
      </c>
      <c r="AL293" s="957" t="s">
        <v>70</v>
      </c>
      <c r="AM293" s="957" t="s">
        <v>70</v>
      </c>
      <c r="AN293" s="957" t="s">
        <v>70</v>
      </c>
      <c r="AO293" s="1064"/>
      <c r="AP293" s="1064"/>
      <c r="AQ293" s="1064"/>
      <c r="AR293" s="1064"/>
      <c r="AS293" s="1064"/>
      <c r="AT293" s="1064"/>
      <c r="AU293" s="1064"/>
      <c r="AV293" s="1064"/>
      <c r="AW293" s="1064"/>
      <c r="AX293" s="1064"/>
      <c r="AY293" s="1064"/>
      <c r="AZ293" s="1064"/>
      <c r="BA293" s="1064"/>
      <c r="BB293" s="1064"/>
      <c r="BC293" s="1064"/>
      <c r="BD293" s="1064"/>
      <c r="BE293" s="730"/>
      <c r="BF293" s="730"/>
      <c r="BG293" s="730"/>
      <c r="BH293" s="730"/>
      <c r="BI293" s="730"/>
      <c r="BJ293" s="730"/>
      <c r="BK293" s="730"/>
      <c r="BL293" s="730"/>
    </row>
    <row r="294">
      <c r="A294" s="901"/>
      <c r="B294" s="1072" t="s">
        <v>1234</v>
      </c>
      <c r="C294" s="1072" t="s">
        <v>177</v>
      </c>
      <c r="D294" s="957" t="s">
        <v>100</v>
      </c>
      <c r="E294" s="957" t="s">
        <v>100</v>
      </c>
      <c r="F294" s="957" t="s">
        <v>100</v>
      </c>
      <c r="G294" s="957" t="s">
        <v>100</v>
      </c>
      <c r="H294" s="957" t="s">
        <v>100</v>
      </c>
      <c r="I294" s="957" t="s">
        <v>100</v>
      </c>
      <c r="J294" s="957" t="s">
        <v>100</v>
      </c>
      <c r="K294" s="957" t="s">
        <v>100</v>
      </c>
      <c r="L294" s="957" t="s">
        <v>100</v>
      </c>
      <c r="M294" s="957" t="s">
        <v>100</v>
      </c>
      <c r="N294" s="957" t="s">
        <v>70</v>
      </c>
      <c r="O294" s="957" t="s">
        <v>69</v>
      </c>
      <c r="P294" s="957"/>
      <c r="Q294" s="957" t="s">
        <v>70</v>
      </c>
      <c r="R294" s="957" t="s">
        <v>70</v>
      </c>
      <c r="S294" s="957" t="s">
        <v>69</v>
      </c>
      <c r="T294" s="957" t="s">
        <v>69</v>
      </c>
      <c r="U294" s="957" t="s">
        <v>69</v>
      </c>
      <c r="V294" s="1066"/>
      <c r="W294" s="108"/>
      <c r="X294" s="108"/>
      <c r="Y294" s="108"/>
      <c r="Z294" s="108"/>
      <c r="AA294" s="108"/>
      <c r="AB294" s="108"/>
      <c r="AC294" s="108"/>
      <c r="AD294" s="108"/>
      <c r="AE294" s="108"/>
      <c r="AF294" s="108"/>
      <c r="AG294" s="108"/>
      <c r="AH294" s="108"/>
      <c r="AI294" s="108"/>
      <c r="AJ294" s="108"/>
      <c r="AK294" s="108"/>
      <c r="AL294" s="108"/>
      <c r="AM294" s="108"/>
      <c r="AN294" s="108"/>
      <c r="AO294" s="1064"/>
      <c r="AP294" s="1064"/>
      <c r="AQ294" s="1064"/>
      <c r="AR294" s="1064"/>
      <c r="AS294" s="1064"/>
      <c r="AT294" s="1064"/>
      <c r="AU294" s="1064"/>
      <c r="AV294" s="1064"/>
      <c r="AW294" s="1064"/>
      <c r="AX294" s="1064"/>
      <c r="AY294" s="1064"/>
      <c r="AZ294" s="1064"/>
      <c r="BA294" s="1064"/>
      <c r="BB294" s="1064"/>
      <c r="BC294" s="1064"/>
      <c r="BD294" s="1064"/>
      <c r="BE294" s="730"/>
      <c r="BF294" s="730"/>
      <c r="BG294" s="730"/>
      <c r="BH294" s="730"/>
      <c r="BI294" s="730"/>
      <c r="BJ294" s="730"/>
      <c r="BK294" s="730"/>
      <c r="BL294" s="730"/>
    </row>
    <row r="295">
      <c r="A295" s="901"/>
      <c r="B295" s="945" t="s">
        <v>1190</v>
      </c>
      <c r="C295" s="1027" t="s">
        <v>23</v>
      </c>
      <c r="D295" s="957" t="s">
        <v>69</v>
      </c>
      <c r="E295" s="957" t="s">
        <v>69</v>
      </c>
      <c r="F295" s="957" t="s">
        <v>69</v>
      </c>
      <c r="G295" s="957" t="s">
        <v>69</v>
      </c>
      <c r="H295" s="957" t="s">
        <v>69</v>
      </c>
      <c r="I295" s="957" t="s">
        <v>69</v>
      </c>
      <c r="J295" s="957" t="s">
        <v>69</v>
      </c>
      <c r="K295" s="957" t="s">
        <v>70</v>
      </c>
      <c r="L295" s="957" t="s">
        <v>70</v>
      </c>
      <c r="M295" s="957" t="s">
        <v>70</v>
      </c>
      <c r="N295" s="957" t="s">
        <v>69</v>
      </c>
      <c r="O295" s="957" t="s">
        <v>69</v>
      </c>
      <c r="P295" s="957"/>
      <c r="Q295" s="957" t="s">
        <v>69</v>
      </c>
      <c r="R295" s="957" t="s">
        <v>69</v>
      </c>
      <c r="S295" s="957" t="s">
        <v>70</v>
      </c>
      <c r="T295" s="957" t="s">
        <v>70</v>
      </c>
      <c r="U295" s="957" t="s">
        <v>69</v>
      </c>
      <c r="V295" s="957" t="s">
        <v>70</v>
      </c>
      <c r="W295" s="957" t="s">
        <v>70</v>
      </c>
      <c r="X295" s="957" t="s">
        <v>70</v>
      </c>
      <c r="Y295" s="957" t="s">
        <v>70</v>
      </c>
      <c r="Z295" s="957" t="s">
        <v>70</v>
      </c>
      <c r="AA295" s="957" t="s">
        <v>69</v>
      </c>
      <c r="AB295" s="957" t="s">
        <v>69</v>
      </c>
      <c r="AC295" s="957" t="s">
        <v>69</v>
      </c>
      <c r="AD295" s="957" t="s">
        <v>69</v>
      </c>
      <c r="AE295" s="957" t="s">
        <v>69</v>
      </c>
      <c r="AF295" s="957" t="s">
        <v>69</v>
      </c>
      <c r="AG295" s="957" t="s">
        <v>69</v>
      </c>
      <c r="AH295" s="957" t="s">
        <v>69</v>
      </c>
      <c r="AI295" s="957" t="s">
        <v>69</v>
      </c>
      <c r="AJ295" s="957" t="s">
        <v>70</v>
      </c>
      <c r="AK295" s="957" t="s">
        <v>69</v>
      </c>
      <c r="AL295" s="957" t="s">
        <v>69</v>
      </c>
      <c r="AM295" s="957" t="s">
        <v>69</v>
      </c>
      <c r="AN295" s="957" t="s">
        <v>69</v>
      </c>
      <c r="AO295" s="1064"/>
      <c r="AP295" s="1064"/>
      <c r="AQ295" s="1064"/>
      <c r="AR295" s="1064"/>
      <c r="AS295" s="1064"/>
      <c r="AT295" s="1064"/>
      <c r="AU295" s="1064"/>
      <c r="AV295" s="1064"/>
      <c r="AW295" s="1064"/>
      <c r="AX295" s="1064"/>
      <c r="AY295" s="1064"/>
      <c r="AZ295" s="1064"/>
      <c r="BA295" s="1064"/>
      <c r="BB295" s="1064"/>
      <c r="BC295" s="1064"/>
      <c r="BD295" s="1064"/>
      <c r="BE295" s="730"/>
      <c r="BF295" s="730"/>
      <c r="BG295" s="730"/>
      <c r="BH295" s="730"/>
      <c r="BI295" s="730"/>
      <c r="BJ295" s="730"/>
      <c r="BK295" s="730"/>
      <c r="BL295" s="730"/>
    </row>
    <row r="296">
      <c r="A296" s="901"/>
      <c r="B296" s="948" t="s">
        <v>1251</v>
      </c>
      <c r="C296" s="948" t="s">
        <v>23</v>
      </c>
      <c r="D296" s="957" t="s">
        <v>69</v>
      </c>
      <c r="E296" s="957" t="s">
        <v>69</v>
      </c>
      <c r="F296" s="957" t="s">
        <v>69</v>
      </c>
      <c r="G296" s="957" t="s">
        <v>69</v>
      </c>
      <c r="H296" s="957" t="s">
        <v>69</v>
      </c>
      <c r="I296" s="957" t="s">
        <v>69</v>
      </c>
      <c r="J296" s="957" t="s">
        <v>69</v>
      </c>
      <c r="K296" s="957" t="s">
        <v>70</v>
      </c>
      <c r="L296" s="957" t="s">
        <v>70</v>
      </c>
      <c r="M296" s="957" t="s">
        <v>70</v>
      </c>
      <c r="N296" s="957" t="s">
        <v>69</v>
      </c>
      <c r="O296" s="957" t="s">
        <v>69</v>
      </c>
      <c r="P296" s="957"/>
      <c r="Q296" s="957" t="s">
        <v>69</v>
      </c>
      <c r="R296" s="957" t="s">
        <v>69</v>
      </c>
      <c r="S296" s="957" t="s">
        <v>70</v>
      </c>
      <c r="T296" s="957" t="s">
        <v>70</v>
      </c>
      <c r="U296" s="957" t="s">
        <v>69</v>
      </c>
      <c r="V296" s="957" t="s">
        <v>70</v>
      </c>
      <c r="W296" s="957" t="s">
        <v>70</v>
      </c>
      <c r="X296" s="957" t="s">
        <v>70</v>
      </c>
      <c r="Y296" s="957" t="s">
        <v>70</v>
      </c>
      <c r="Z296" s="957" t="s">
        <v>70</v>
      </c>
      <c r="AA296" s="957" t="s">
        <v>69</v>
      </c>
      <c r="AB296" s="957" t="s">
        <v>69</v>
      </c>
      <c r="AC296" s="957" t="s">
        <v>69</v>
      </c>
      <c r="AD296" s="957" t="s">
        <v>69</v>
      </c>
      <c r="AE296" s="957" t="s">
        <v>69</v>
      </c>
      <c r="AF296" s="957" t="s">
        <v>69</v>
      </c>
      <c r="AG296" s="957" t="s">
        <v>69</v>
      </c>
      <c r="AH296" s="957" t="s">
        <v>69</v>
      </c>
      <c r="AI296" s="957" t="s">
        <v>69</v>
      </c>
      <c r="AJ296" s="957" t="s">
        <v>70</v>
      </c>
      <c r="AK296" s="957" t="s">
        <v>69</v>
      </c>
      <c r="AL296" s="957" t="s">
        <v>69</v>
      </c>
      <c r="AM296" s="957" t="s">
        <v>69</v>
      </c>
      <c r="AN296" s="957" t="s">
        <v>69</v>
      </c>
      <c r="AO296" s="1064"/>
      <c r="AP296" s="1064"/>
      <c r="AQ296" s="1064"/>
      <c r="AR296" s="1064"/>
      <c r="AS296" s="1064"/>
      <c r="AT296" s="1064"/>
      <c r="AU296" s="1064"/>
      <c r="AV296" s="1064"/>
      <c r="AW296" s="1064"/>
      <c r="AX296" s="1064"/>
      <c r="AY296" s="1064"/>
      <c r="AZ296" s="1064"/>
      <c r="BA296" s="1064"/>
      <c r="BB296" s="1064"/>
      <c r="BC296" s="1064"/>
      <c r="BD296" s="1064"/>
      <c r="BE296" s="730"/>
      <c r="BF296" s="730"/>
      <c r="BG296" s="730"/>
      <c r="BH296" s="730"/>
      <c r="BI296" s="730"/>
      <c r="BJ296" s="730"/>
      <c r="BK296" s="730"/>
      <c r="BL296" s="730"/>
    </row>
    <row r="297">
      <c r="A297" s="901"/>
      <c r="B297" s="1073" t="s">
        <v>61</v>
      </c>
      <c r="C297" s="1074" t="s">
        <v>290</v>
      </c>
      <c r="D297" s="1048" t="s">
        <v>100</v>
      </c>
      <c r="E297" s="1049" t="s">
        <v>100</v>
      </c>
      <c r="F297" s="1049" t="s">
        <v>100</v>
      </c>
      <c r="G297" s="1049" t="s">
        <v>100</v>
      </c>
      <c r="H297" s="1049" t="s">
        <v>100</v>
      </c>
      <c r="I297" s="1049" t="s">
        <v>100</v>
      </c>
      <c r="J297" s="1049" t="s">
        <v>100</v>
      </c>
      <c r="K297" s="1049" t="s">
        <v>100</v>
      </c>
      <c r="L297" s="1049" t="s">
        <v>100</v>
      </c>
      <c r="M297" s="1049" t="s">
        <v>100</v>
      </c>
      <c r="N297" s="957" t="s">
        <v>70</v>
      </c>
      <c r="O297" s="957" t="s">
        <v>69</v>
      </c>
      <c r="P297" s="957"/>
      <c r="Q297" s="957" t="s">
        <v>70</v>
      </c>
      <c r="R297" s="957" t="s">
        <v>70</v>
      </c>
      <c r="S297" s="957" t="s">
        <v>69</v>
      </c>
      <c r="T297" s="957" t="s">
        <v>69</v>
      </c>
      <c r="U297" s="957" t="s">
        <v>69</v>
      </c>
      <c r="V297" s="957" t="s">
        <v>69</v>
      </c>
      <c r="W297" s="957" t="s">
        <v>69</v>
      </c>
      <c r="X297" s="957" t="s">
        <v>69</v>
      </c>
      <c r="Y297" s="957" t="s">
        <v>69</v>
      </c>
      <c r="Z297" s="957" t="s">
        <v>69</v>
      </c>
      <c r="AA297" s="957" t="s">
        <v>69</v>
      </c>
      <c r="AB297" s="957" t="s">
        <v>100</v>
      </c>
      <c r="AC297" s="957" t="s">
        <v>70</v>
      </c>
      <c r="AD297" s="957" t="s">
        <v>69</v>
      </c>
      <c r="AE297" s="957" t="s">
        <v>70</v>
      </c>
      <c r="AF297" s="957" t="s">
        <v>69</v>
      </c>
      <c r="AG297" s="957" t="s">
        <v>69</v>
      </c>
      <c r="AH297" s="957" t="s">
        <v>70</v>
      </c>
      <c r="AI297" s="957" t="s">
        <v>69</v>
      </c>
      <c r="AJ297" s="957" t="s">
        <v>69</v>
      </c>
      <c r="AK297" s="957" t="s">
        <v>70</v>
      </c>
      <c r="AL297" s="957" t="s">
        <v>70</v>
      </c>
      <c r="AM297" s="957" t="s">
        <v>70</v>
      </c>
      <c r="AN297" s="957" t="s">
        <v>70</v>
      </c>
      <c r="AO297" s="1064"/>
      <c r="AP297" s="1064"/>
      <c r="AQ297" s="1064"/>
      <c r="AR297" s="1064"/>
      <c r="AS297" s="1064"/>
      <c r="AT297" s="1064"/>
      <c r="AU297" s="1064"/>
      <c r="AV297" s="1064"/>
      <c r="AW297" s="1064"/>
      <c r="AX297" s="1064"/>
      <c r="AY297" s="1064"/>
      <c r="AZ297" s="1064"/>
      <c r="BA297" s="1064"/>
      <c r="BB297" s="1064"/>
      <c r="BC297" s="1064"/>
      <c r="BD297" s="1064"/>
      <c r="BE297" s="730"/>
      <c r="BF297" s="730"/>
      <c r="BG297" s="730"/>
      <c r="BH297" s="730"/>
      <c r="BI297" s="730"/>
      <c r="BJ297" s="730"/>
      <c r="BK297" s="730"/>
      <c r="BL297" s="730"/>
    </row>
    <row r="298">
      <c r="A298" s="901"/>
      <c r="B298" s="1075" t="s">
        <v>1252</v>
      </c>
      <c r="C298" s="1075" t="s">
        <v>290</v>
      </c>
      <c r="D298" s="1076"/>
      <c r="E298" s="1077"/>
      <c r="F298" s="1077"/>
      <c r="G298" s="1077"/>
      <c r="H298" s="1077"/>
      <c r="I298" s="1077"/>
      <c r="J298" s="1077"/>
      <c r="K298" s="1077"/>
      <c r="L298" s="1077"/>
      <c r="M298" s="1078"/>
      <c r="N298" s="957" t="s">
        <v>70</v>
      </c>
      <c r="O298" s="957" t="s">
        <v>69</v>
      </c>
      <c r="P298" s="957"/>
      <c r="Q298" s="957" t="s">
        <v>70</v>
      </c>
      <c r="R298" s="957" t="s">
        <v>70</v>
      </c>
      <c r="S298" s="957" t="s">
        <v>69</v>
      </c>
      <c r="T298" s="957" t="s">
        <v>69</v>
      </c>
      <c r="U298" s="957" t="s">
        <v>70</v>
      </c>
      <c r="V298" s="957" t="s">
        <v>69</v>
      </c>
      <c r="W298" s="957" t="s">
        <v>69</v>
      </c>
      <c r="X298" s="957" t="s">
        <v>69</v>
      </c>
      <c r="Y298" s="957" t="s">
        <v>69</v>
      </c>
      <c r="Z298" s="957" t="s">
        <v>69</v>
      </c>
      <c r="AA298" s="957" t="s">
        <v>69</v>
      </c>
      <c r="AB298" s="957" t="s">
        <v>69</v>
      </c>
      <c r="AC298" s="957" t="s">
        <v>100</v>
      </c>
      <c r="AD298" s="957" t="s">
        <v>100</v>
      </c>
      <c r="AE298" s="957" t="s">
        <v>100</v>
      </c>
      <c r="AF298" s="957" t="s">
        <v>100</v>
      </c>
      <c r="AG298" s="957" t="s">
        <v>100</v>
      </c>
      <c r="AH298" s="957" t="s">
        <v>100</v>
      </c>
      <c r="AI298" s="957" t="s">
        <v>100</v>
      </c>
      <c r="AJ298" s="957" t="s">
        <v>100</v>
      </c>
      <c r="AK298" s="957" t="s">
        <v>100</v>
      </c>
      <c r="AL298" s="957" t="s">
        <v>100</v>
      </c>
      <c r="AM298" s="957" t="s">
        <v>100</v>
      </c>
      <c r="AN298" s="957" t="s">
        <v>100</v>
      </c>
      <c r="AO298" s="1064"/>
      <c r="AP298" s="1064"/>
      <c r="AQ298" s="1064"/>
      <c r="AR298" s="1064"/>
      <c r="AS298" s="1064"/>
      <c r="AT298" s="1064"/>
      <c r="AU298" s="1064"/>
      <c r="AV298" s="1064"/>
      <c r="AW298" s="1064"/>
      <c r="AX298" s="1064"/>
      <c r="AY298" s="1064"/>
      <c r="AZ298" s="1064"/>
      <c r="BA298" s="1064"/>
      <c r="BB298" s="1064"/>
      <c r="BC298" s="1064"/>
      <c r="BD298" s="1064"/>
      <c r="BE298" s="730"/>
      <c r="BF298" s="730"/>
      <c r="BG298" s="730"/>
      <c r="BH298" s="730"/>
      <c r="BI298" s="730"/>
      <c r="BJ298" s="730"/>
      <c r="BK298" s="730"/>
      <c r="BL298" s="730"/>
    </row>
    <row r="299">
      <c r="A299" s="901"/>
      <c r="B299" s="1075" t="s">
        <v>1234</v>
      </c>
      <c r="C299" s="1075" t="s">
        <v>290</v>
      </c>
      <c r="D299" s="1079"/>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6"/>
      <c r="AC299" s="957" t="s">
        <v>70</v>
      </c>
      <c r="AD299" s="957" t="s">
        <v>69</v>
      </c>
      <c r="AE299" s="957" t="s">
        <v>69</v>
      </c>
      <c r="AF299" s="957" t="s">
        <v>69</v>
      </c>
      <c r="AG299" s="957" t="s">
        <v>69</v>
      </c>
      <c r="AH299" s="957" t="s">
        <v>70</v>
      </c>
      <c r="AI299" s="957" t="s">
        <v>100</v>
      </c>
      <c r="AJ299" s="957" t="s">
        <v>100</v>
      </c>
      <c r="AK299" s="957" t="s">
        <v>100</v>
      </c>
      <c r="AL299" s="957" t="s">
        <v>100</v>
      </c>
      <c r="AM299" s="957" t="s">
        <v>100</v>
      </c>
      <c r="AN299" s="957" t="s">
        <v>100</v>
      </c>
      <c r="AO299" s="1064"/>
      <c r="AP299" s="1064"/>
      <c r="AQ299" s="1064"/>
      <c r="AR299" s="1064"/>
      <c r="AS299" s="1064"/>
      <c r="AT299" s="1064"/>
      <c r="AU299" s="1064"/>
      <c r="AV299" s="1064"/>
      <c r="AW299" s="1064"/>
      <c r="AX299" s="1064"/>
      <c r="AY299" s="1064"/>
      <c r="AZ299" s="1064"/>
      <c r="BA299" s="1064"/>
      <c r="BB299" s="1064"/>
      <c r="BC299" s="1064"/>
      <c r="BD299" s="1064"/>
      <c r="BE299" s="730"/>
      <c r="BF299" s="730"/>
      <c r="BG299" s="730"/>
      <c r="BH299" s="730"/>
      <c r="BI299" s="730"/>
      <c r="BJ299" s="730"/>
      <c r="BK299" s="730"/>
      <c r="BL299" s="730"/>
    </row>
    <row r="300">
      <c r="A300" s="901"/>
      <c r="B300" s="1080" t="s">
        <v>1253</v>
      </c>
      <c r="C300" s="1080" t="s">
        <v>290</v>
      </c>
      <c r="D300" s="957" t="s">
        <v>69</v>
      </c>
      <c r="E300" s="957" t="s">
        <v>69</v>
      </c>
      <c r="F300" s="957" t="s">
        <v>70</v>
      </c>
      <c r="G300" s="957" t="s">
        <v>70</v>
      </c>
      <c r="H300" s="957" t="s">
        <v>70</v>
      </c>
      <c r="I300" s="957" t="s">
        <v>70</v>
      </c>
      <c r="J300" s="957" t="s">
        <v>69</v>
      </c>
      <c r="K300" s="957" t="s">
        <v>69</v>
      </c>
      <c r="L300" s="957" t="s">
        <v>69</v>
      </c>
      <c r="M300" s="957" t="s">
        <v>70</v>
      </c>
      <c r="N300" s="957" t="s">
        <v>70</v>
      </c>
      <c r="O300" s="957" t="s">
        <v>69</v>
      </c>
      <c r="P300" s="957"/>
      <c r="Q300" s="957" t="s">
        <v>70</v>
      </c>
      <c r="R300" s="957" t="s">
        <v>70</v>
      </c>
      <c r="S300" s="957" t="s">
        <v>69</v>
      </c>
      <c r="T300" s="957" t="s">
        <v>69</v>
      </c>
      <c r="U300" s="957" t="s">
        <v>70</v>
      </c>
      <c r="V300" s="957" t="s">
        <v>69</v>
      </c>
      <c r="W300" s="957" t="s">
        <v>69</v>
      </c>
      <c r="X300" s="957" t="s">
        <v>69</v>
      </c>
      <c r="Y300" s="957" t="s">
        <v>69</v>
      </c>
      <c r="Z300" s="957" t="s">
        <v>69</v>
      </c>
      <c r="AA300" s="957" t="s">
        <v>69</v>
      </c>
      <c r="AB300" s="957" t="s">
        <v>100</v>
      </c>
      <c r="AC300" s="1064"/>
      <c r="AD300" s="1064"/>
      <c r="AE300" s="1064"/>
      <c r="AF300" s="1064"/>
      <c r="AG300" s="1064"/>
      <c r="AH300" s="1064"/>
      <c r="AI300" s="1064"/>
      <c r="AJ300" s="1064"/>
      <c r="AK300" s="1064"/>
      <c r="AL300" s="1064"/>
      <c r="AM300" s="1064"/>
      <c r="AN300" s="1064"/>
      <c r="AO300" s="1064"/>
      <c r="AP300" s="1064"/>
      <c r="AQ300" s="1064"/>
      <c r="AR300" s="1064"/>
      <c r="AS300" s="1064"/>
      <c r="AT300" s="1064"/>
      <c r="AU300" s="1064"/>
      <c r="AV300" s="1064"/>
      <c r="AW300" s="1064"/>
      <c r="AX300" s="1064"/>
      <c r="AY300" s="1064"/>
      <c r="AZ300" s="1064"/>
      <c r="BA300" s="1064"/>
      <c r="BB300" s="1064"/>
      <c r="BC300" s="1064"/>
      <c r="BD300" s="1064"/>
      <c r="BE300" s="730"/>
      <c r="BF300" s="730"/>
      <c r="BG300" s="730"/>
      <c r="BH300" s="730"/>
      <c r="BI300" s="730"/>
      <c r="BJ300" s="730"/>
      <c r="BK300" s="730"/>
      <c r="BL300" s="730"/>
    </row>
    <row r="301">
      <c r="A301" s="901"/>
      <c r="B301" s="1081" t="s">
        <v>1254</v>
      </c>
      <c r="C301" s="1080" t="s">
        <v>290</v>
      </c>
      <c r="D301" s="1048" t="s">
        <v>100</v>
      </c>
      <c r="E301" s="1049" t="s">
        <v>100</v>
      </c>
      <c r="F301" s="1049" t="s">
        <v>100</v>
      </c>
      <c r="G301" s="1049" t="s">
        <v>100</v>
      </c>
      <c r="H301" s="1049" t="s">
        <v>100</v>
      </c>
      <c r="I301" s="1049" t="s">
        <v>100</v>
      </c>
      <c r="J301" s="1049" t="s">
        <v>100</v>
      </c>
      <c r="K301" s="1049" t="s">
        <v>100</v>
      </c>
      <c r="L301" s="1049" t="s">
        <v>100</v>
      </c>
      <c r="M301" s="1049" t="s">
        <v>100</v>
      </c>
      <c r="N301" s="1079"/>
      <c r="O301" s="65"/>
      <c r="P301" s="65"/>
      <c r="Q301" s="65"/>
      <c r="R301" s="65"/>
      <c r="S301" s="65"/>
      <c r="T301" s="65"/>
      <c r="U301" s="65"/>
      <c r="V301" s="65"/>
      <c r="W301" s="65"/>
      <c r="X301" s="65"/>
      <c r="Y301" s="65"/>
      <c r="Z301" s="65"/>
      <c r="AA301" s="65"/>
      <c r="AB301" s="65"/>
      <c r="AC301" s="1064"/>
      <c r="AD301" s="1064"/>
      <c r="AE301" s="1064"/>
      <c r="AF301" s="1064"/>
      <c r="AG301" s="1064"/>
      <c r="AH301" s="1064"/>
      <c r="AI301" s="1064"/>
      <c r="AJ301" s="1064"/>
      <c r="AK301" s="1064"/>
      <c r="AL301" s="1064"/>
      <c r="AM301" s="1064"/>
      <c r="AN301" s="1064"/>
      <c r="AO301" s="1064"/>
      <c r="AP301" s="1064"/>
      <c r="AQ301" s="1064"/>
      <c r="AR301" s="1064"/>
      <c r="AS301" s="1064"/>
      <c r="AT301" s="1064"/>
      <c r="AU301" s="1064"/>
      <c r="AV301" s="1064"/>
      <c r="AW301" s="1064"/>
      <c r="AX301" s="1064"/>
      <c r="AY301" s="1064"/>
      <c r="AZ301" s="1064"/>
      <c r="BA301" s="1064"/>
      <c r="BB301" s="1064"/>
      <c r="BC301" s="1064"/>
      <c r="BD301" s="1064"/>
      <c r="BE301" s="730"/>
      <c r="BF301" s="730"/>
      <c r="BG301" s="730"/>
      <c r="BH301" s="730"/>
      <c r="BI301" s="730"/>
      <c r="BJ301" s="730"/>
      <c r="BK301" s="730"/>
      <c r="BL301" s="730"/>
    </row>
    <row r="302">
      <c r="A302" s="1013"/>
      <c r="B302" s="1005" t="s">
        <v>1222</v>
      </c>
      <c r="C302" s="1005" t="s">
        <v>410</v>
      </c>
      <c r="D302" s="957" t="s">
        <v>69</v>
      </c>
      <c r="E302" s="957" t="s">
        <v>69</v>
      </c>
      <c r="F302" s="957" t="s">
        <v>70</v>
      </c>
      <c r="G302" s="957" t="s">
        <v>70</v>
      </c>
      <c r="H302" s="957" t="s">
        <v>69</v>
      </c>
      <c r="I302" s="957" t="s">
        <v>69</v>
      </c>
      <c r="J302" s="957" t="s">
        <v>69</v>
      </c>
      <c r="K302" s="957" t="s">
        <v>69</v>
      </c>
      <c r="L302" s="957" t="s">
        <v>69</v>
      </c>
      <c r="M302" s="957" t="s">
        <v>69</v>
      </c>
      <c r="N302" s="957" t="s">
        <v>70</v>
      </c>
      <c r="O302" s="957" t="s">
        <v>70</v>
      </c>
      <c r="P302" s="957"/>
      <c r="Q302" s="957" t="s">
        <v>99</v>
      </c>
      <c r="R302" s="957" t="s">
        <v>69</v>
      </c>
      <c r="S302" s="957" t="s">
        <v>69</v>
      </c>
      <c r="T302" s="957" t="s">
        <v>69</v>
      </c>
      <c r="U302" s="957" t="s">
        <v>69</v>
      </c>
      <c r="V302" s="957" t="s">
        <v>69</v>
      </c>
      <c r="W302" s="957" t="s">
        <v>70</v>
      </c>
      <c r="X302" s="957" t="s">
        <v>70</v>
      </c>
      <c r="Y302" s="957" t="s">
        <v>69</v>
      </c>
      <c r="Z302" s="957" t="s">
        <v>69</v>
      </c>
      <c r="AA302" s="957" t="s">
        <v>69</v>
      </c>
      <c r="AB302" s="957" t="s">
        <v>69</v>
      </c>
      <c r="AC302" s="957" t="s">
        <v>69</v>
      </c>
      <c r="AD302" s="957" t="s">
        <v>69</v>
      </c>
      <c r="AE302" s="957" t="s">
        <v>70</v>
      </c>
      <c r="AF302" s="957" t="s">
        <v>99</v>
      </c>
      <c r="AG302" s="957" t="s">
        <v>69</v>
      </c>
      <c r="AH302" s="957" t="s">
        <v>69</v>
      </c>
      <c r="AI302" s="957" t="s">
        <v>100</v>
      </c>
      <c r="AJ302" s="957" t="s">
        <v>100</v>
      </c>
      <c r="AK302" s="957" t="s">
        <v>100</v>
      </c>
      <c r="AL302" s="957" t="s">
        <v>100</v>
      </c>
      <c r="AM302" s="957" t="s">
        <v>100</v>
      </c>
      <c r="AN302" s="957" t="s">
        <v>100</v>
      </c>
      <c r="AO302" s="1064"/>
      <c r="AP302" s="1064"/>
      <c r="AQ302" s="1064"/>
      <c r="AR302" s="1064"/>
      <c r="AS302" s="1064"/>
      <c r="AT302" s="1064"/>
      <c r="AU302" s="1064"/>
      <c r="AV302" s="1064"/>
      <c r="AW302" s="1064"/>
      <c r="AX302" s="1064"/>
      <c r="AY302" s="1064"/>
      <c r="AZ302" s="1064"/>
      <c r="BA302" s="1064"/>
      <c r="BB302" s="1064"/>
      <c r="BC302" s="1064"/>
      <c r="BD302" s="1064"/>
      <c r="BE302" s="730"/>
      <c r="BF302" s="730"/>
      <c r="BG302" s="730"/>
      <c r="BH302" s="730"/>
      <c r="BI302" s="730"/>
      <c r="BJ302" s="730"/>
      <c r="BK302" s="730"/>
      <c r="BL302" s="730"/>
    </row>
    <row r="303">
      <c r="A303" s="899" t="s">
        <v>68</v>
      </c>
      <c r="B303" s="900"/>
      <c r="D303" s="918"/>
      <c r="AO303" s="1064"/>
      <c r="AP303" s="1064"/>
      <c r="AQ303" s="1064"/>
      <c r="AR303" s="1064"/>
      <c r="AS303" s="1064"/>
      <c r="AT303" s="1064"/>
      <c r="AU303" s="1064"/>
      <c r="AV303" s="1064"/>
      <c r="AW303" s="1064"/>
      <c r="AX303" s="1064"/>
      <c r="AY303" s="1064"/>
      <c r="AZ303" s="1064"/>
      <c r="BA303" s="1064"/>
      <c r="BB303" s="1064"/>
      <c r="BC303" s="1064"/>
      <c r="BD303" s="1064"/>
      <c r="BE303" s="730"/>
      <c r="BF303" s="730"/>
      <c r="BG303" s="730"/>
      <c r="BH303" s="730"/>
      <c r="BI303" s="730"/>
      <c r="BJ303" s="730"/>
      <c r="BK303" s="730"/>
      <c r="BL303" s="730"/>
    </row>
    <row r="304">
      <c r="A304" s="901"/>
      <c r="B304" s="790" t="s">
        <v>69</v>
      </c>
      <c r="D304" s="791">
        <f t="shared" ref="D304:O304" si="90">COUNTIF(D269:D302,"Voor")</f>
        <v>16</v>
      </c>
      <c r="E304" s="902">
        <f t="shared" si="90"/>
        <v>11</v>
      </c>
      <c r="F304" s="902">
        <f t="shared" si="90"/>
        <v>4</v>
      </c>
      <c r="G304" s="902">
        <f t="shared" si="90"/>
        <v>3</v>
      </c>
      <c r="H304" s="902">
        <f t="shared" si="90"/>
        <v>5</v>
      </c>
      <c r="I304" s="902">
        <f t="shared" si="90"/>
        <v>6</v>
      </c>
      <c r="J304" s="902">
        <f t="shared" si="90"/>
        <v>9</v>
      </c>
      <c r="K304" s="902">
        <f t="shared" si="90"/>
        <v>14</v>
      </c>
      <c r="L304" s="902">
        <f t="shared" si="90"/>
        <v>12</v>
      </c>
      <c r="M304" s="902">
        <f t="shared" si="90"/>
        <v>13</v>
      </c>
      <c r="N304" s="902">
        <f t="shared" si="90"/>
        <v>5</v>
      </c>
      <c r="O304" s="902">
        <f t="shared" si="90"/>
        <v>21</v>
      </c>
      <c r="P304" s="902"/>
      <c r="Q304" s="902">
        <f t="shared" ref="Q304:AN304" si="91">COUNTIF(Q269:Q302,"Voor")</f>
        <v>12</v>
      </c>
      <c r="R304" s="902">
        <f t="shared" si="91"/>
        <v>12</v>
      </c>
      <c r="S304" s="902">
        <f t="shared" si="91"/>
        <v>12</v>
      </c>
      <c r="T304" s="902">
        <f t="shared" si="91"/>
        <v>13</v>
      </c>
      <c r="U304" s="902">
        <f t="shared" si="91"/>
        <v>19</v>
      </c>
      <c r="V304" s="902">
        <f t="shared" si="91"/>
        <v>9</v>
      </c>
      <c r="W304" s="902">
        <f t="shared" si="91"/>
        <v>12</v>
      </c>
      <c r="X304" s="902">
        <f t="shared" si="91"/>
        <v>8</v>
      </c>
      <c r="Y304" s="902">
        <f t="shared" si="91"/>
        <v>14</v>
      </c>
      <c r="Z304" s="902">
        <f t="shared" si="91"/>
        <v>17</v>
      </c>
      <c r="AA304" s="902">
        <f t="shared" si="91"/>
        <v>18</v>
      </c>
      <c r="AB304" s="902">
        <f t="shared" si="91"/>
        <v>18</v>
      </c>
      <c r="AC304" s="902">
        <f t="shared" si="91"/>
        <v>4</v>
      </c>
      <c r="AD304" s="902">
        <f t="shared" si="91"/>
        <v>12</v>
      </c>
      <c r="AE304" s="902">
        <f t="shared" si="91"/>
        <v>13</v>
      </c>
      <c r="AF304" s="902">
        <f t="shared" si="91"/>
        <v>18</v>
      </c>
      <c r="AG304" s="902">
        <f t="shared" si="91"/>
        <v>17</v>
      </c>
      <c r="AH304" s="902">
        <f t="shared" si="91"/>
        <v>15</v>
      </c>
      <c r="AI304" s="902">
        <f t="shared" si="91"/>
        <v>19</v>
      </c>
      <c r="AJ304" s="902">
        <f t="shared" si="91"/>
        <v>10</v>
      </c>
      <c r="AK304" s="902">
        <f t="shared" si="91"/>
        <v>11</v>
      </c>
      <c r="AL304" s="902">
        <f t="shared" si="91"/>
        <v>3</v>
      </c>
      <c r="AM304" s="902">
        <f t="shared" si="91"/>
        <v>11</v>
      </c>
      <c r="AN304" s="902">
        <f t="shared" si="91"/>
        <v>2</v>
      </c>
      <c r="AO304" s="1064"/>
      <c r="AP304" s="1064"/>
      <c r="AQ304" s="1064"/>
      <c r="AR304" s="1064"/>
      <c r="AS304" s="1064"/>
      <c r="AT304" s="1064"/>
      <c r="AU304" s="1064"/>
      <c r="AV304" s="1064"/>
      <c r="AW304" s="1064"/>
      <c r="AX304" s="1064"/>
      <c r="AY304" s="1064"/>
      <c r="AZ304" s="1064"/>
      <c r="BA304" s="1064"/>
      <c r="BB304" s="1064"/>
      <c r="BC304" s="1064"/>
      <c r="BD304" s="1064"/>
      <c r="BE304" s="730"/>
      <c r="BF304" s="730"/>
      <c r="BG304" s="730"/>
      <c r="BH304" s="730"/>
      <c r="BI304" s="730"/>
      <c r="BJ304" s="730"/>
      <c r="BK304" s="730"/>
      <c r="BL304" s="730"/>
    </row>
    <row r="305">
      <c r="A305" s="901"/>
      <c r="B305" s="792" t="s">
        <v>70</v>
      </c>
      <c r="D305" s="793">
        <f t="shared" ref="D305:O305" si="92">COUNTIF(D269:D302,"Tegen")</f>
        <v>1</v>
      </c>
      <c r="E305" s="903">
        <f t="shared" si="92"/>
        <v>6</v>
      </c>
      <c r="F305" s="903">
        <f t="shared" si="92"/>
        <v>13</v>
      </c>
      <c r="G305" s="903">
        <f t="shared" si="92"/>
        <v>14</v>
      </c>
      <c r="H305" s="903">
        <f t="shared" si="92"/>
        <v>12</v>
      </c>
      <c r="I305" s="903">
        <f t="shared" si="92"/>
        <v>11</v>
      </c>
      <c r="J305" s="903">
        <f t="shared" si="92"/>
        <v>8</v>
      </c>
      <c r="K305" s="903">
        <f t="shared" si="92"/>
        <v>3</v>
      </c>
      <c r="L305" s="903">
        <f t="shared" si="92"/>
        <v>5</v>
      </c>
      <c r="M305" s="903">
        <f t="shared" si="92"/>
        <v>3</v>
      </c>
      <c r="N305" s="903">
        <f t="shared" si="92"/>
        <v>17</v>
      </c>
      <c r="O305" s="903">
        <f t="shared" si="92"/>
        <v>1</v>
      </c>
      <c r="P305" s="903"/>
      <c r="Q305" s="903">
        <f t="shared" ref="Q305:AN305" si="93">COUNTIF(Q269:Q302,"Tegen")</f>
        <v>9</v>
      </c>
      <c r="R305" s="903">
        <f t="shared" si="93"/>
        <v>10</v>
      </c>
      <c r="S305" s="903">
        <f t="shared" si="93"/>
        <v>10</v>
      </c>
      <c r="T305" s="903">
        <f t="shared" si="93"/>
        <v>9</v>
      </c>
      <c r="U305" s="903">
        <f t="shared" si="93"/>
        <v>3</v>
      </c>
      <c r="V305" s="903">
        <f t="shared" si="93"/>
        <v>10</v>
      </c>
      <c r="W305" s="903">
        <f t="shared" si="93"/>
        <v>7</v>
      </c>
      <c r="X305" s="903">
        <f t="shared" si="93"/>
        <v>11</v>
      </c>
      <c r="Y305" s="903">
        <f t="shared" si="93"/>
        <v>5</v>
      </c>
      <c r="Z305" s="903">
        <f t="shared" si="93"/>
        <v>2</v>
      </c>
      <c r="AA305" s="903">
        <f t="shared" si="93"/>
        <v>1</v>
      </c>
      <c r="AB305" s="903">
        <f t="shared" si="93"/>
        <v>0</v>
      </c>
      <c r="AC305" s="903">
        <f t="shared" si="93"/>
        <v>15</v>
      </c>
      <c r="AD305" s="903">
        <f t="shared" si="93"/>
        <v>6</v>
      </c>
      <c r="AE305" s="903">
        <f t="shared" si="93"/>
        <v>6</v>
      </c>
      <c r="AF305" s="903">
        <f t="shared" si="93"/>
        <v>0</v>
      </c>
      <c r="AG305" s="903">
        <f t="shared" si="93"/>
        <v>2</v>
      </c>
      <c r="AH305" s="903">
        <f t="shared" si="93"/>
        <v>4</v>
      </c>
      <c r="AI305" s="903">
        <f t="shared" si="93"/>
        <v>0</v>
      </c>
      <c r="AJ305" s="903">
        <f t="shared" si="93"/>
        <v>9</v>
      </c>
      <c r="AK305" s="903">
        <f t="shared" si="93"/>
        <v>8</v>
      </c>
      <c r="AL305" s="903">
        <f t="shared" si="93"/>
        <v>15</v>
      </c>
      <c r="AM305" s="903">
        <f t="shared" si="93"/>
        <v>8</v>
      </c>
      <c r="AN305" s="903">
        <f t="shared" si="93"/>
        <v>17</v>
      </c>
      <c r="AO305" s="1040"/>
      <c r="AP305" s="1040"/>
      <c r="AQ305" s="1040"/>
      <c r="AR305" s="1040"/>
      <c r="AS305" s="1040"/>
      <c r="AT305" s="1040"/>
      <c r="AU305" s="1040"/>
      <c r="AV305" s="1040"/>
      <c r="AW305" s="1040"/>
      <c r="AX305" s="1040"/>
      <c r="AY305" s="1040"/>
      <c r="AZ305" s="1040"/>
      <c r="BA305" s="1040"/>
      <c r="BB305" s="1040"/>
      <c r="BC305" s="1040"/>
      <c r="BD305" s="1040"/>
      <c r="BE305" s="730"/>
      <c r="BF305" s="730"/>
      <c r="BG305" s="730"/>
      <c r="BH305" s="730"/>
      <c r="BI305" s="730"/>
      <c r="BJ305" s="730"/>
      <c r="BK305" s="730"/>
      <c r="BL305" s="730"/>
    </row>
    <row r="306">
      <c r="A306" s="901"/>
      <c r="B306" s="794" t="s">
        <v>71</v>
      </c>
      <c r="D306" s="795">
        <f t="shared" ref="D306:O306" si="94">COUNTIF(D269:D302,"SO")</f>
        <v>0</v>
      </c>
      <c r="E306" s="904">
        <f t="shared" si="94"/>
        <v>0</v>
      </c>
      <c r="F306" s="904">
        <f t="shared" si="94"/>
        <v>0</v>
      </c>
      <c r="G306" s="904">
        <f t="shared" si="94"/>
        <v>0</v>
      </c>
      <c r="H306" s="904">
        <f t="shared" si="94"/>
        <v>0</v>
      </c>
      <c r="I306" s="904">
        <f t="shared" si="94"/>
        <v>0</v>
      </c>
      <c r="J306" s="904">
        <f t="shared" si="94"/>
        <v>0</v>
      </c>
      <c r="K306" s="904">
        <f t="shared" si="94"/>
        <v>0</v>
      </c>
      <c r="L306" s="904">
        <f t="shared" si="94"/>
        <v>0</v>
      </c>
      <c r="M306" s="904">
        <f t="shared" si="94"/>
        <v>1</v>
      </c>
      <c r="N306" s="904">
        <f t="shared" si="94"/>
        <v>0</v>
      </c>
      <c r="O306" s="904">
        <f t="shared" si="94"/>
        <v>0</v>
      </c>
      <c r="P306" s="904"/>
      <c r="Q306" s="904">
        <f t="shared" ref="Q306:AN306" si="95">COUNTIF(Q269:Q302,"SO")</f>
        <v>1</v>
      </c>
      <c r="R306" s="904">
        <f t="shared" si="95"/>
        <v>0</v>
      </c>
      <c r="S306" s="904">
        <f t="shared" si="95"/>
        <v>0</v>
      </c>
      <c r="T306" s="904">
        <f t="shared" si="95"/>
        <v>0</v>
      </c>
      <c r="U306" s="904">
        <f t="shared" si="95"/>
        <v>0</v>
      </c>
      <c r="V306" s="904">
        <f t="shared" si="95"/>
        <v>0</v>
      </c>
      <c r="W306" s="904">
        <f t="shared" si="95"/>
        <v>0</v>
      </c>
      <c r="X306" s="904">
        <f t="shared" si="95"/>
        <v>0</v>
      </c>
      <c r="Y306" s="904">
        <f t="shared" si="95"/>
        <v>0</v>
      </c>
      <c r="Z306" s="904">
        <f t="shared" si="95"/>
        <v>0</v>
      </c>
      <c r="AA306" s="904">
        <f t="shared" si="95"/>
        <v>0</v>
      </c>
      <c r="AB306" s="904">
        <f t="shared" si="95"/>
        <v>0</v>
      </c>
      <c r="AC306" s="904">
        <f t="shared" si="95"/>
        <v>0</v>
      </c>
      <c r="AD306" s="904">
        <f t="shared" si="95"/>
        <v>1</v>
      </c>
      <c r="AE306" s="904">
        <f t="shared" si="95"/>
        <v>0</v>
      </c>
      <c r="AF306" s="904">
        <f t="shared" si="95"/>
        <v>1</v>
      </c>
      <c r="AG306" s="904">
        <f t="shared" si="95"/>
        <v>0</v>
      </c>
      <c r="AH306" s="904">
        <f t="shared" si="95"/>
        <v>0</v>
      </c>
      <c r="AI306" s="904">
        <f t="shared" si="95"/>
        <v>0</v>
      </c>
      <c r="AJ306" s="904">
        <f t="shared" si="95"/>
        <v>0</v>
      </c>
      <c r="AK306" s="904">
        <f t="shared" si="95"/>
        <v>0</v>
      </c>
      <c r="AL306" s="904">
        <f t="shared" si="95"/>
        <v>1</v>
      </c>
      <c r="AM306" s="904">
        <f t="shared" si="95"/>
        <v>0</v>
      </c>
      <c r="AN306" s="904">
        <f t="shared" si="95"/>
        <v>0</v>
      </c>
      <c r="AO306" s="1040"/>
      <c r="AP306" s="1040"/>
      <c r="AQ306" s="1040"/>
      <c r="AR306" s="1040"/>
      <c r="AS306" s="1040"/>
      <c r="AT306" s="1040"/>
      <c r="AU306" s="1040"/>
      <c r="AV306" s="1040"/>
      <c r="AW306" s="1040"/>
      <c r="AX306" s="1040"/>
      <c r="AY306" s="1040"/>
      <c r="AZ306" s="1040"/>
      <c r="BA306" s="1040"/>
      <c r="BB306" s="1040"/>
      <c r="BC306" s="1040"/>
      <c r="BD306" s="1040"/>
      <c r="BE306" s="730"/>
      <c r="BF306" s="730"/>
      <c r="BG306" s="730"/>
      <c r="BH306" s="730"/>
      <c r="BI306" s="730"/>
      <c r="BJ306" s="730"/>
      <c r="BK306" s="730"/>
      <c r="BL306" s="730"/>
    </row>
    <row r="307">
      <c r="A307" s="901"/>
      <c r="B307" s="796" t="s">
        <v>72</v>
      </c>
      <c r="D307" s="797">
        <f t="shared" ref="D307:O307" si="96">COUNTIF(D269:D302,"NG")</f>
        <v>8</v>
      </c>
      <c r="E307" s="905">
        <f t="shared" si="96"/>
        <v>8</v>
      </c>
      <c r="F307" s="905">
        <f t="shared" si="96"/>
        <v>8</v>
      </c>
      <c r="G307" s="905">
        <f t="shared" si="96"/>
        <v>8</v>
      </c>
      <c r="H307" s="905">
        <f t="shared" si="96"/>
        <v>8</v>
      </c>
      <c r="I307" s="905">
        <f t="shared" si="96"/>
        <v>8</v>
      </c>
      <c r="J307" s="905">
        <f t="shared" si="96"/>
        <v>8</v>
      </c>
      <c r="K307" s="905">
        <f t="shared" si="96"/>
        <v>8</v>
      </c>
      <c r="L307" s="905">
        <f t="shared" si="96"/>
        <v>8</v>
      </c>
      <c r="M307" s="905">
        <f t="shared" si="96"/>
        <v>8</v>
      </c>
      <c r="N307" s="905">
        <f t="shared" si="96"/>
        <v>3</v>
      </c>
      <c r="O307" s="905">
        <f t="shared" si="96"/>
        <v>3</v>
      </c>
      <c r="P307" s="905"/>
      <c r="Q307" s="905">
        <f t="shared" ref="Q307:AN307" si="97">COUNTIF(Q269:Q302,"NG")</f>
        <v>3</v>
      </c>
      <c r="R307" s="905">
        <f t="shared" si="97"/>
        <v>3</v>
      </c>
      <c r="S307" s="905">
        <f t="shared" si="97"/>
        <v>3</v>
      </c>
      <c r="T307" s="905">
        <f t="shared" si="97"/>
        <v>3</v>
      </c>
      <c r="U307" s="905">
        <f t="shared" si="97"/>
        <v>3</v>
      </c>
      <c r="V307" s="905">
        <f t="shared" si="97"/>
        <v>6</v>
      </c>
      <c r="W307" s="905">
        <f t="shared" si="97"/>
        <v>6</v>
      </c>
      <c r="X307" s="905">
        <f t="shared" si="97"/>
        <v>6</v>
      </c>
      <c r="Y307" s="905">
        <f t="shared" si="97"/>
        <v>6</v>
      </c>
      <c r="Z307" s="905">
        <f t="shared" si="97"/>
        <v>6</v>
      </c>
      <c r="AA307" s="905">
        <f t="shared" si="97"/>
        <v>6</v>
      </c>
      <c r="AB307" s="905">
        <f t="shared" si="97"/>
        <v>6</v>
      </c>
      <c r="AC307" s="905">
        <f t="shared" si="97"/>
        <v>5</v>
      </c>
      <c r="AD307" s="905">
        <f t="shared" si="97"/>
        <v>5</v>
      </c>
      <c r="AE307" s="905">
        <f t="shared" si="97"/>
        <v>5</v>
      </c>
      <c r="AF307" s="905">
        <f t="shared" si="97"/>
        <v>5</v>
      </c>
      <c r="AG307" s="905">
        <f t="shared" si="97"/>
        <v>5</v>
      </c>
      <c r="AH307" s="905">
        <f t="shared" si="97"/>
        <v>5</v>
      </c>
      <c r="AI307" s="905">
        <f t="shared" si="97"/>
        <v>6</v>
      </c>
      <c r="AJ307" s="905">
        <f t="shared" si="97"/>
        <v>6</v>
      </c>
      <c r="AK307" s="905">
        <f t="shared" si="97"/>
        <v>6</v>
      </c>
      <c r="AL307" s="905">
        <f t="shared" si="97"/>
        <v>6</v>
      </c>
      <c r="AM307" s="905">
        <f t="shared" si="97"/>
        <v>6</v>
      </c>
      <c r="AN307" s="905">
        <f t="shared" si="97"/>
        <v>6</v>
      </c>
      <c r="AO307" s="1040"/>
      <c r="AP307" s="1040"/>
      <c r="AQ307" s="1040"/>
      <c r="AR307" s="1040"/>
      <c r="AS307" s="1040"/>
      <c r="AT307" s="1040"/>
      <c r="AU307" s="1040"/>
      <c r="AV307" s="1040"/>
      <c r="AW307" s="1040"/>
      <c r="AX307" s="1040"/>
      <c r="AY307" s="1040"/>
      <c r="AZ307" s="1040"/>
      <c r="BA307" s="1040"/>
      <c r="BB307" s="1040"/>
      <c r="BC307" s="1040"/>
      <c r="BD307" s="1040"/>
      <c r="BE307" s="730"/>
      <c r="BF307" s="730"/>
      <c r="BG307" s="730"/>
      <c r="BH307" s="730"/>
      <c r="BI307" s="730"/>
      <c r="BJ307" s="730"/>
      <c r="BK307" s="730"/>
      <c r="BL307" s="730"/>
    </row>
    <row r="308">
      <c r="A308" s="901"/>
      <c r="B308" s="798" t="s">
        <v>73</v>
      </c>
      <c r="D308" s="799">
        <f t="shared" ref="D308:O308" si="98">SUM(D304:D307)</f>
        <v>25</v>
      </c>
      <c r="E308" s="906">
        <f t="shared" si="98"/>
        <v>25</v>
      </c>
      <c r="F308" s="906">
        <f t="shared" si="98"/>
        <v>25</v>
      </c>
      <c r="G308" s="906">
        <f t="shared" si="98"/>
        <v>25</v>
      </c>
      <c r="H308" s="906">
        <f t="shared" si="98"/>
        <v>25</v>
      </c>
      <c r="I308" s="906">
        <f t="shared" si="98"/>
        <v>25</v>
      </c>
      <c r="J308" s="906">
        <f t="shared" si="98"/>
        <v>25</v>
      </c>
      <c r="K308" s="906">
        <f t="shared" si="98"/>
        <v>25</v>
      </c>
      <c r="L308" s="906">
        <f t="shared" si="98"/>
        <v>25</v>
      </c>
      <c r="M308" s="906">
        <f t="shared" si="98"/>
        <v>25</v>
      </c>
      <c r="N308" s="906">
        <f t="shared" si="98"/>
        <v>25</v>
      </c>
      <c r="O308" s="906">
        <f t="shared" si="98"/>
        <v>25</v>
      </c>
      <c r="P308" s="906"/>
      <c r="Q308" s="906">
        <f t="shared" ref="Q308:AN308" si="99">SUM(Q304:Q307)</f>
        <v>25</v>
      </c>
      <c r="R308" s="906">
        <f t="shared" si="99"/>
        <v>25</v>
      </c>
      <c r="S308" s="906">
        <f t="shared" si="99"/>
        <v>25</v>
      </c>
      <c r="T308" s="906">
        <f t="shared" si="99"/>
        <v>25</v>
      </c>
      <c r="U308" s="906">
        <f t="shared" si="99"/>
        <v>25</v>
      </c>
      <c r="V308" s="906">
        <f t="shared" si="99"/>
        <v>25</v>
      </c>
      <c r="W308" s="906">
        <f t="shared" si="99"/>
        <v>25</v>
      </c>
      <c r="X308" s="906">
        <f t="shared" si="99"/>
        <v>25</v>
      </c>
      <c r="Y308" s="906">
        <f t="shared" si="99"/>
        <v>25</v>
      </c>
      <c r="Z308" s="906">
        <f t="shared" si="99"/>
        <v>25</v>
      </c>
      <c r="AA308" s="906">
        <f t="shared" si="99"/>
        <v>25</v>
      </c>
      <c r="AB308" s="906">
        <f t="shared" si="99"/>
        <v>24</v>
      </c>
      <c r="AC308" s="906">
        <f t="shared" si="99"/>
        <v>24</v>
      </c>
      <c r="AD308" s="906">
        <f t="shared" si="99"/>
        <v>24</v>
      </c>
      <c r="AE308" s="906">
        <f t="shared" si="99"/>
        <v>24</v>
      </c>
      <c r="AF308" s="906">
        <f t="shared" si="99"/>
        <v>24</v>
      </c>
      <c r="AG308" s="906">
        <f t="shared" si="99"/>
        <v>24</v>
      </c>
      <c r="AH308" s="906">
        <f t="shared" si="99"/>
        <v>24</v>
      </c>
      <c r="AI308" s="906">
        <f t="shared" si="99"/>
        <v>25</v>
      </c>
      <c r="AJ308" s="906">
        <f t="shared" si="99"/>
        <v>25</v>
      </c>
      <c r="AK308" s="906">
        <f t="shared" si="99"/>
        <v>25</v>
      </c>
      <c r="AL308" s="906">
        <f t="shared" si="99"/>
        <v>25</v>
      </c>
      <c r="AM308" s="906">
        <f t="shared" si="99"/>
        <v>25</v>
      </c>
      <c r="AN308" s="906">
        <f t="shared" si="99"/>
        <v>25</v>
      </c>
      <c r="AO308" s="1040"/>
      <c r="AP308" s="1040"/>
      <c r="AQ308" s="1040"/>
      <c r="AR308" s="1040"/>
      <c r="AS308" s="1040"/>
      <c r="AT308" s="1040"/>
      <c r="AU308" s="1040"/>
      <c r="AV308" s="1040"/>
      <c r="AW308" s="1040"/>
      <c r="AX308" s="1040"/>
      <c r="AY308" s="1040"/>
      <c r="AZ308" s="1040"/>
      <c r="BA308" s="1040"/>
      <c r="BB308" s="1040"/>
      <c r="BC308" s="1040"/>
      <c r="BD308" s="1040"/>
      <c r="BE308" s="730"/>
      <c r="BF308" s="730"/>
      <c r="BG308" s="730"/>
      <c r="BH308" s="730"/>
      <c r="BI308" s="730"/>
      <c r="BJ308" s="730"/>
      <c r="BK308" s="730"/>
      <c r="BL308" s="730"/>
    </row>
    <row r="309">
      <c r="A309" s="901"/>
      <c r="B309" s="800" t="s">
        <v>74</v>
      </c>
      <c r="D309" s="801">
        <f t="shared" ref="D309:O309" si="100">D304+D305+D306</f>
        <v>17</v>
      </c>
      <c r="E309" s="907">
        <f t="shared" si="100"/>
        <v>17</v>
      </c>
      <c r="F309" s="907">
        <f t="shared" si="100"/>
        <v>17</v>
      </c>
      <c r="G309" s="907">
        <f t="shared" si="100"/>
        <v>17</v>
      </c>
      <c r="H309" s="907">
        <f t="shared" si="100"/>
        <v>17</v>
      </c>
      <c r="I309" s="907">
        <f t="shared" si="100"/>
        <v>17</v>
      </c>
      <c r="J309" s="907">
        <f t="shared" si="100"/>
        <v>17</v>
      </c>
      <c r="K309" s="907">
        <f t="shared" si="100"/>
        <v>17</v>
      </c>
      <c r="L309" s="907">
        <f t="shared" si="100"/>
        <v>17</v>
      </c>
      <c r="M309" s="907">
        <f t="shared" si="100"/>
        <v>17</v>
      </c>
      <c r="N309" s="907">
        <f t="shared" si="100"/>
        <v>22</v>
      </c>
      <c r="O309" s="907">
        <f t="shared" si="100"/>
        <v>22</v>
      </c>
      <c r="P309" s="907"/>
      <c r="Q309" s="907">
        <f t="shared" ref="Q309:AN309" si="101">Q304+Q305+Q306</f>
        <v>22</v>
      </c>
      <c r="R309" s="907">
        <f t="shared" si="101"/>
        <v>22</v>
      </c>
      <c r="S309" s="907">
        <f t="shared" si="101"/>
        <v>22</v>
      </c>
      <c r="T309" s="907">
        <f t="shared" si="101"/>
        <v>22</v>
      </c>
      <c r="U309" s="907">
        <f t="shared" si="101"/>
        <v>22</v>
      </c>
      <c r="V309" s="907">
        <f t="shared" si="101"/>
        <v>19</v>
      </c>
      <c r="W309" s="907">
        <f t="shared" si="101"/>
        <v>19</v>
      </c>
      <c r="X309" s="907">
        <f t="shared" si="101"/>
        <v>19</v>
      </c>
      <c r="Y309" s="907">
        <f t="shared" si="101"/>
        <v>19</v>
      </c>
      <c r="Z309" s="907">
        <f t="shared" si="101"/>
        <v>19</v>
      </c>
      <c r="AA309" s="907">
        <f t="shared" si="101"/>
        <v>19</v>
      </c>
      <c r="AB309" s="907">
        <f t="shared" si="101"/>
        <v>18</v>
      </c>
      <c r="AC309" s="907">
        <f t="shared" si="101"/>
        <v>19</v>
      </c>
      <c r="AD309" s="907">
        <f t="shared" si="101"/>
        <v>19</v>
      </c>
      <c r="AE309" s="907">
        <f t="shared" si="101"/>
        <v>19</v>
      </c>
      <c r="AF309" s="907">
        <f t="shared" si="101"/>
        <v>19</v>
      </c>
      <c r="AG309" s="907">
        <f t="shared" si="101"/>
        <v>19</v>
      </c>
      <c r="AH309" s="907">
        <f t="shared" si="101"/>
        <v>19</v>
      </c>
      <c r="AI309" s="907">
        <f t="shared" si="101"/>
        <v>19</v>
      </c>
      <c r="AJ309" s="907">
        <f t="shared" si="101"/>
        <v>19</v>
      </c>
      <c r="AK309" s="907">
        <f t="shared" si="101"/>
        <v>19</v>
      </c>
      <c r="AL309" s="907">
        <f t="shared" si="101"/>
        <v>19</v>
      </c>
      <c r="AM309" s="907">
        <f t="shared" si="101"/>
        <v>19</v>
      </c>
      <c r="AN309" s="907">
        <f t="shared" si="101"/>
        <v>19</v>
      </c>
      <c r="AO309" s="1040"/>
      <c r="AP309" s="1040"/>
      <c r="AQ309" s="1040"/>
      <c r="AR309" s="1040"/>
      <c r="AS309" s="1040"/>
      <c r="AT309" s="1040"/>
      <c r="AU309" s="1040"/>
      <c r="AV309" s="1040"/>
      <c r="AW309" s="1040"/>
      <c r="AX309" s="1040"/>
      <c r="AY309" s="1040"/>
      <c r="AZ309" s="1040"/>
      <c r="BA309" s="1040"/>
      <c r="BB309" s="1040"/>
      <c r="BC309" s="1040"/>
      <c r="BD309" s="1040"/>
      <c r="BE309" s="730"/>
      <c r="BF309" s="730"/>
      <c r="BG309" s="730"/>
      <c r="BH309" s="730"/>
      <c r="BI309" s="730"/>
      <c r="BJ309" s="730"/>
      <c r="BK309" s="730"/>
      <c r="BL309" s="730"/>
    </row>
    <row r="310">
      <c r="A310" s="901"/>
      <c r="B310" s="854" t="s">
        <v>75</v>
      </c>
      <c r="D310" s="908">
        <f t="shared" ref="D310:O310" si="102">IFERROR(D309/D308,"")</f>
        <v>0.68</v>
      </c>
      <c r="E310" s="910">
        <f t="shared" si="102"/>
        <v>0.68</v>
      </c>
      <c r="F310" s="910">
        <f t="shared" si="102"/>
        <v>0.68</v>
      </c>
      <c r="G310" s="910">
        <f t="shared" si="102"/>
        <v>0.68</v>
      </c>
      <c r="H310" s="910">
        <f t="shared" si="102"/>
        <v>0.68</v>
      </c>
      <c r="I310" s="910">
        <f t="shared" si="102"/>
        <v>0.68</v>
      </c>
      <c r="J310" s="910">
        <f t="shared" si="102"/>
        <v>0.68</v>
      </c>
      <c r="K310" s="910">
        <f t="shared" si="102"/>
        <v>0.68</v>
      </c>
      <c r="L310" s="910">
        <f t="shared" si="102"/>
        <v>0.68</v>
      </c>
      <c r="M310" s="910">
        <f t="shared" si="102"/>
        <v>0.68</v>
      </c>
      <c r="N310" s="910">
        <f t="shared" si="102"/>
        <v>0.88</v>
      </c>
      <c r="O310" s="910">
        <f t="shared" si="102"/>
        <v>0.88</v>
      </c>
      <c r="P310" s="910"/>
      <c r="Q310" s="910">
        <f t="shared" ref="Q310:AN310" si="103">IFERROR(Q309/Q308,"")</f>
        <v>0.88</v>
      </c>
      <c r="R310" s="910">
        <f t="shared" si="103"/>
        <v>0.88</v>
      </c>
      <c r="S310" s="910">
        <f t="shared" si="103"/>
        <v>0.88</v>
      </c>
      <c r="T310" s="910">
        <f t="shared" si="103"/>
        <v>0.88</v>
      </c>
      <c r="U310" s="910">
        <f t="shared" si="103"/>
        <v>0.88</v>
      </c>
      <c r="V310" s="910">
        <f t="shared" si="103"/>
        <v>0.76</v>
      </c>
      <c r="W310" s="910">
        <f t="shared" si="103"/>
        <v>0.76</v>
      </c>
      <c r="X310" s="910">
        <f t="shared" si="103"/>
        <v>0.76</v>
      </c>
      <c r="Y310" s="910">
        <f t="shared" si="103"/>
        <v>0.76</v>
      </c>
      <c r="Z310" s="910">
        <f t="shared" si="103"/>
        <v>0.76</v>
      </c>
      <c r="AA310" s="910">
        <f t="shared" si="103"/>
        <v>0.76</v>
      </c>
      <c r="AB310" s="910">
        <f t="shared" si="103"/>
        <v>0.75</v>
      </c>
      <c r="AC310" s="910">
        <f t="shared" si="103"/>
        <v>0.7916666667</v>
      </c>
      <c r="AD310" s="910">
        <f t="shared" si="103"/>
        <v>0.7916666667</v>
      </c>
      <c r="AE310" s="910">
        <f t="shared" si="103"/>
        <v>0.7916666667</v>
      </c>
      <c r="AF310" s="910">
        <f t="shared" si="103"/>
        <v>0.7916666667</v>
      </c>
      <c r="AG310" s="910">
        <f t="shared" si="103"/>
        <v>0.7916666667</v>
      </c>
      <c r="AH310" s="910">
        <f t="shared" si="103"/>
        <v>0.7916666667</v>
      </c>
      <c r="AI310" s="910">
        <f t="shared" si="103"/>
        <v>0.76</v>
      </c>
      <c r="AJ310" s="910">
        <f t="shared" si="103"/>
        <v>0.76</v>
      </c>
      <c r="AK310" s="910">
        <f t="shared" si="103"/>
        <v>0.76</v>
      </c>
      <c r="AL310" s="910">
        <f t="shared" si="103"/>
        <v>0.76</v>
      </c>
      <c r="AM310" s="910">
        <f t="shared" si="103"/>
        <v>0.76</v>
      </c>
      <c r="AN310" s="910">
        <f t="shared" si="103"/>
        <v>0.76</v>
      </c>
      <c r="AO310" s="1040"/>
      <c r="AP310" s="1040"/>
      <c r="AQ310" s="1040"/>
      <c r="AR310" s="1040"/>
      <c r="AS310" s="1040"/>
      <c r="AT310" s="1040"/>
      <c r="AU310" s="1040"/>
      <c r="AV310" s="1040"/>
      <c r="AW310" s="1040"/>
      <c r="AX310" s="1040"/>
      <c r="AY310" s="1040"/>
      <c r="AZ310" s="1040"/>
      <c r="BA310" s="1040"/>
      <c r="BB310" s="1040"/>
      <c r="BC310" s="1040"/>
      <c r="BD310" s="1040"/>
      <c r="BE310" s="730"/>
      <c r="BF310" s="730"/>
      <c r="BG310" s="730"/>
      <c r="BH310" s="730"/>
      <c r="BI310" s="730"/>
      <c r="BJ310" s="730"/>
      <c r="BK310" s="730"/>
      <c r="BL310" s="730"/>
    </row>
    <row r="311">
      <c r="A311" s="912"/>
      <c r="D311" s="913"/>
      <c r="E311" s="914"/>
      <c r="F311" s="914"/>
      <c r="G311" s="914"/>
      <c r="H311" s="914"/>
      <c r="I311" s="914"/>
      <c r="J311" s="914"/>
      <c r="K311" s="914"/>
      <c r="L311" s="914"/>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4"/>
      <c r="AJ311" s="914"/>
      <c r="AK311" s="914"/>
      <c r="AL311" s="914"/>
      <c r="AM311" s="914"/>
      <c r="AN311" s="914"/>
      <c r="AO311" s="914"/>
      <c r="AP311" s="914"/>
      <c r="AQ311" s="914"/>
      <c r="AR311" s="914"/>
      <c r="AS311" s="914"/>
      <c r="AT311" s="914"/>
      <c r="AU311" s="914"/>
      <c r="AV311" s="914"/>
      <c r="AW311" s="914"/>
      <c r="AX311" s="914"/>
      <c r="AY311" s="914"/>
      <c r="AZ311" s="914"/>
      <c r="BA311" s="914"/>
      <c r="BB311" s="914"/>
      <c r="BC311" s="914"/>
      <c r="BD311" s="915"/>
      <c r="BE311" s="730"/>
      <c r="BF311" s="730"/>
      <c r="BG311" s="730"/>
      <c r="BH311" s="730"/>
      <c r="BI311" s="730"/>
      <c r="BJ311" s="730"/>
      <c r="BK311" s="730"/>
      <c r="BL311" s="730"/>
    </row>
    <row r="312">
      <c r="A312" s="900"/>
      <c r="B312" s="900" t="s">
        <v>1170</v>
      </c>
      <c r="C312" s="900" t="s">
        <v>7</v>
      </c>
      <c r="D312" s="918"/>
      <c r="AM312" s="671"/>
      <c r="AN312" s="671"/>
      <c r="AO312" s="671"/>
      <c r="AP312" s="671"/>
      <c r="AQ312" s="671"/>
      <c r="AR312" s="671"/>
      <c r="AS312" s="671"/>
      <c r="AT312" s="671"/>
      <c r="AU312" s="671"/>
      <c r="AV312" s="671"/>
      <c r="AW312" s="671"/>
      <c r="AX312" s="671"/>
      <c r="AY312" s="671"/>
      <c r="AZ312" s="1082"/>
      <c r="BA312" s="1082"/>
      <c r="BB312" s="1082"/>
      <c r="BC312" s="1082"/>
      <c r="BD312" s="1082"/>
      <c r="BE312" s="1082"/>
      <c r="BF312" s="1082"/>
      <c r="BG312" s="1082"/>
      <c r="BH312" s="1082"/>
      <c r="BI312" s="1082"/>
      <c r="BJ312" s="1082"/>
      <c r="BK312" s="1082"/>
      <c r="BL312" s="1082"/>
    </row>
    <row r="313">
      <c r="A313" s="1083" t="s">
        <v>359</v>
      </c>
      <c r="B313" s="390"/>
      <c r="C313" s="390"/>
      <c r="D313" s="1084" t="s">
        <v>358</v>
      </c>
      <c r="E313" s="105" t="s">
        <v>360</v>
      </c>
      <c r="F313" s="105" t="s">
        <v>698</v>
      </c>
      <c r="G313" s="105" t="s">
        <v>699</v>
      </c>
      <c r="H313" s="105" t="s">
        <v>361</v>
      </c>
      <c r="I313" s="105" t="s">
        <v>362</v>
      </c>
      <c r="J313" s="105" t="s">
        <v>363</v>
      </c>
      <c r="K313" s="105" t="s">
        <v>700</v>
      </c>
      <c r="L313" s="105" t="s">
        <v>701</v>
      </c>
      <c r="M313" s="105" t="s">
        <v>702</v>
      </c>
      <c r="N313" s="105" t="s">
        <v>703</v>
      </c>
      <c r="O313" s="105" t="s">
        <v>704</v>
      </c>
      <c r="P313" s="105"/>
      <c r="Q313" s="105" t="s">
        <v>705</v>
      </c>
      <c r="R313" s="105" t="s">
        <v>706</v>
      </c>
      <c r="S313" s="105" t="s">
        <v>707</v>
      </c>
      <c r="T313" s="105" t="s">
        <v>708</v>
      </c>
      <c r="U313" s="105" t="s">
        <v>364</v>
      </c>
      <c r="V313" s="105" t="s">
        <v>365</v>
      </c>
      <c r="W313" s="105" t="s">
        <v>366</v>
      </c>
      <c r="X313" s="105" t="s">
        <v>367</v>
      </c>
      <c r="Y313" s="105" t="s">
        <v>368</v>
      </c>
      <c r="Z313" s="105" t="s">
        <v>1255</v>
      </c>
      <c r="AA313" s="105" t="s">
        <v>369</v>
      </c>
      <c r="AB313" s="105" t="s">
        <v>372</v>
      </c>
      <c r="AC313" s="105" t="s">
        <v>373</v>
      </c>
      <c r="AD313" s="105" t="s">
        <v>374</v>
      </c>
      <c r="AE313" s="105" t="s">
        <v>712</v>
      </c>
      <c r="AF313" s="105" t="s">
        <v>714</v>
      </c>
      <c r="AG313" s="105" t="s">
        <v>715</v>
      </c>
      <c r="AH313" s="105" t="s">
        <v>716</v>
      </c>
      <c r="AI313" s="105" t="s">
        <v>717</v>
      </c>
      <c r="AJ313" s="105" t="s">
        <v>718</v>
      </c>
      <c r="AK313" s="105" t="s">
        <v>720</v>
      </c>
      <c r="AL313" s="105" t="s">
        <v>721</v>
      </c>
      <c r="AM313" s="105" t="s">
        <v>375</v>
      </c>
      <c r="AN313" s="105" t="s">
        <v>376</v>
      </c>
      <c r="AO313" s="105" t="s">
        <v>710</v>
      </c>
      <c r="AP313" s="105" t="s">
        <v>722</v>
      </c>
      <c r="AQ313" s="105" t="s">
        <v>377</v>
      </c>
      <c r="AR313" s="105" t="s">
        <v>378</v>
      </c>
      <c r="AS313" s="105" t="s">
        <v>379</v>
      </c>
      <c r="AT313" s="105" t="s">
        <v>380</v>
      </c>
      <c r="AU313" s="105" t="s">
        <v>381</v>
      </c>
      <c r="AV313" s="105" t="s">
        <v>382</v>
      </c>
      <c r="AW313" s="105" t="s">
        <v>383</v>
      </c>
      <c r="AX313" s="105" t="s">
        <v>384</v>
      </c>
      <c r="AY313" s="105" t="s">
        <v>723</v>
      </c>
      <c r="AZ313" s="105" t="s">
        <v>385</v>
      </c>
      <c r="BA313" s="105" t="s">
        <v>386</v>
      </c>
      <c r="BB313" s="105" t="s">
        <v>387</v>
      </c>
      <c r="BC313" s="105" t="s">
        <v>388</v>
      </c>
      <c r="BD313" s="105" t="s">
        <v>724</v>
      </c>
      <c r="BE313" s="105"/>
      <c r="BF313" s="105"/>
      <c r="BG313" s="105"/>
      <c r="BH313" s="105"/>
      <c r="BI313" s="105"/>
      <c r="BJ313" s="105"/>
      <c r="BK313" s="105"/>
      <c r="BL313" s="105"/>
    </row>
    <row r="314">
      <c r="A314" s="1085" t="s">
        <v>1230</v>
      </c>
      <c r="B314" s="1063" t="s">
        <v>1249</v>
      </c>
      <c r="C314" s="999" t="s">
        <v>12</v>
      </c>
      <c r="D314" s="1086" t="s">
        <v>70</v>
      </c>
      <c r="E314" s="1086" t="s">
        <v>70</v>
      </c>
      <c r="F314" s="1086" t="s">
        <v>69</v>
      </c>
      <c r="G314" s="1086" t="s">
        <v>69</v>
      </c>
      <c r="H314" s="1086" t="s">
        <v>70</v>
      </c>
      <c r="I314" s="1086" t="s">
        <v>69</v>
      </c>
      <c r="J314" s="1086" t="s">
        <v>70</v>
      </c>
      <c r="K314" s="1086" t="s">
        <v>70</v>
      </c>
      <c r="L314" s="1086" t="s">
        <v>69</v>
      </c>
      <c r="M314" s="1086" t="s">
        <v>69</v>
      </c>
      <c r="N314" s="1086" t="s">
        <v>70</v>
      </c>
      <c r="O314" s="1086" t="s">
        <v>70</v>
      </c>
      <c r="P314" s="1086"/>
      <c r="Q314" s="1086" t="s">
        <v>70</v>
      </c>
      <c r="R314" s="1086" t="s">
        <v>70</v>
      </c>
      <c r="S314" s="1086" t="s">
        <v>99</v>
      </c>
      <c r="T314" s="1086" t="s">
        <v>70</v>
      </c>
      <c r="U314" s="1086" t="s">
        <v>99</v>
      </c>
      <c r="V314" s="1086" t="s">
        <v>69</v>
      </c>
      <c r="W314" s="1086" t="s">
        <v>70</v>
      </c>
      <c r="X314" s="1086" t="s">
        <v>70</v>
      </c>
      <c r="Y314" s="1086" t="s">
        <v>70</v>
      </c>
      <c r="Z314" s="1086" t="s">
        <v>69</v>
      </c>
      <c r="AA314" s="1086" t="s">
        <v>70</v>
      </c>
      <c r="AB314" s="1086" t="s">
        <v>69</v>
      </c>
      <c r="AC314" s="1086" t="s">
        <v>69</v>
      </c>
      <c r="AD314" s="1086" t="s">
        <v>70</v>
      </c>
      <c r="AE314" s="1086" t="s">
        <v>69</v>
      </c>
      <c r="AF314" s="1086" t="s">
        <v>99</v>
      </c>
      <c r="AG314" s="1086" t="s">
        <v>69</v>
      </c>
      <c r="AH314" s="1086" t="s">
        <v>69</v>
      </c>
      <c r="AI314" s="1086" t="s">
        <v>69</v>
      </c>
      <c r="AJ314" s="1086" t="s">
        <v>70</v>
      </c>
      <c r="AK314" s="1086" t="s">
        <v>70</v>
      </c>
      <c r="AL314" s="1086" t="s">
        <v>70</v>
      </c>
      <c r="AM314" s="1086" t="s">
        <v>70</v>
      </c>
      <c r="AN314" s="1086" t="s">
        <v>69</v>
      </c>
      <c r="AO314" s="1086" t="s">
        <v>69</v>
      </c>
      <c r="AP314" s="1086" t="s">
        <v>69</v>
      </c>
      <c r="AQ314" s="1086" t="s">
        <v>69</v>
      </c>
      <c r="AR314" s="1086" t="s">
        <v>70</v>
      </c>
      <c r="AS314" s="1086" t="s">
        <v>70</v>
      </c>
      <c r="AT314" s="1086" t="s">
        <v>70</v>
      </c>
      <c r="AU314" s="1086" t="s">
        <v>69</v>
      </c>
      <c r="AV314" s="1086" t="s">
        <v>69</v>
      </c>
      <c r="AW314" s="1086" t="s">
        <v>70</v>
      </c>
      <c r="AX314" s="1086" t="s">
        <v>70</v>
      </c>
      <c r="AY314" s="1086" t="s">
        <v>70</v>
      </c>
      <c r="AZ314" s="1039" t="s">
        <v>70</v>
      </c>
      <c r="BA314" s="1039" t="s">
        <v>70</v>
      </c>
      <c r="BB314" s="1039" t="s">
        <v>70</v>
      </c>
      <c r="BC314" s="1039" t="s">
        <v>99</v>
      </c>
      <c r="BD314" s="1039" t="s">
        <v>69</v>
      </c>
      <c r="BE314" s="1087"/>
      <c r="BF314" s="1087"/>
      <c r="BG314" s="1087"/>
      <c r="BH314" s="1087"/>
      <c r="BI314" s="1087"/>
      <c r="BJ314" s="1087"/>
      <c r="BK314" s="1087"/>
      <c r="BL314" s="1087"/>
    </row>
    <row r="315">
      <c r="A315" s="901"/>
      <c r="B315" s="952" t="s">
        <v>37</v>
      </c>
      <c r="C315" s="952" t="s">
        <v>12</v>
      </c>
      <c r="D315" s="1086" t="s">
        <v>70</v>
      </c>
      <c r="E315" s="1086" t="s">
        <v>70</v>
      </c>
      <c r="F315" s="1086" t="s">
        <v>69</v>
      </c>
      <c r="G315" s="1086" t="s">
        <v>69</v>
      </c>
      <c r="H315" s="1086" t="s">
        <v>100</v>
      </c>
      <c r="I315" s="1086" t="s">
        <v>100</v>
      </c>
      <c r="J315" s="1086" t="s">
        <v>100</v>
      </c>
      <c r="K315" s="1086" t="s">
        <v>100</v>
      </c>
      <c r="L315" s="1086" t="s">
        <v>100</v>
      </c>
      <c r="M315" s="1086" t="s">
        <v>100</v>
      </c>
      <c r="N315" s="1086" t="s">
        <v>100</v>
      </c>
      <c r="O315" s="1086" t="s">
        <v>100</v>
      </c>
      <c r="P315" s="1086"/>
      <c r="Q315" s="1086" t="s">
        <v>69</v>
      </c>
      <c r="R315" s="1086" t="s">
        <v>70</v>
      </c>
      <c r="S315" s="1086" t="s">
        <v>69</v>
      </c>
      <c r="T315" s="1086" t="s">
        <v>70</v>
      </c>
      <c r="U315" s="1086" t="s">
        <v>69</v>
      </c>
      <c r="V315" s="1086" t="s">
        <v>69</v>
      </c>
      <c r="W315" s="1086" t="s">
        <v>70</v>
      </c>
      <c r="X315" s="1086" t="s">
        <v>70</v>
      </c>
      <c r="Y315" s="1086" t="s">
        <v>70</v>
      </c>
      <c r="Z315" s="1086" t="s">
        <v>69</v>
      </c>
      <c r="AA315" s="1086" t="s">
        <v>70</v>
      </c>
      <c r="AB315" s="1086" t="s">
        <v>69</v>
      </c>
      <c r="AC315" s="1086" t="s">
        <v>69</v>
      </c>
      <c r="AD315" s="1086" t="s">
        <v>70</v>
      </c>
      <c r="AE315" s="1086" t="s">
        <v>69</v>
      </c>
      <c r="AF315" s="1086" t="s">
        <v>99</v>
      </c>
      <c r="AG315" s="1086" t="s">
        <v>69</v>
      </c>
      <c r="AH315" s="1086" t="s">
        <v>69</v>
      </c>
      <c r="AI315" s="1086" t="s">
        <v>69</v>
      </c>
      <c r="AJ315" s="1086" t="s">
        <v>70</v>
      </c>
      <c r="AK315" s="1086" t="s">
        <v>70</v>
      </c>
      <c r="AL315" s="1086" t="s">
        <v>70</v>
      </c>
      <c r="AM315" s="1086" t="s">
        <v>70</v>
      </c>
      <c r="AN315" s="1086" t="s">
        <v>70</v>
      </c>
      <c r="AO315" s="1086" t="s">
        <v>69</v>
      </c>
      <c r="AP315" s="1086" t="s">
        <v>69</v>
      </c>
      <c r="AQ315" s="1086" t="s">
        <v>69</v>
      </c>
      <c r="AR315" s="1086" t="s">
        <v>70</v>
      </c>
      <c r="AS315" s="1086" t="s">
        <v>70</v>
      </c>
      <c r="AT315" s="1086" t="s">
        <v>69</v>
      </c>
      <c r="AU315" s="1086" t="s">
        <v>69</v>
      </c>
      <c r="AV315" s="1086" t="s">
        <v>69</v>
      </c>
      <c r="AW315" s="1086" t="s">
        <v>70</v>
      </c>
      <c r="AX315" s="1086" t="s">
        <v>70</v>
      </c>
      <c r="AY315" s="1086" t="s">
        <v>70</v>
      </c>
      <c r="AZ315" s="1039" t="s">
        <v>70</v>
      </c>
      <c r="BA315" s="1039" t="s">
        <v>70</v>
      </c>
      <c r="BB315" s="1039" t="s">
        <v>70</v>
      </c>
      <c r="BC315" s="1039" t="s">
        <v>70</v>
      </c>
      <c r="BD315" s="1039" t="s">
        <v>69</v>
      </c>
      <c r="BE315" s="1087"/>
      <c r="BF315" s="1087"/>
      <c r="BG315" s="1087"/>
      <c r="BH315" s="1087"/>
      <c r="BI315" s="1087"/>
      <c r="BJ315" s="1087"/>
      <c r="BK315" s="1087"/>
      <c r="BL315" s="1087"/>
    </row>
    <row r="316">
      <c r="A316" s="901"/>
      <c r="B316" s="952" t="s">
        <v>41</v>
      </c>
      <c r="C316" s="952" t="s">
        <v>12</v>
      </c>
      <c r="D316" s="1086" t="s">
        <v>70</v>
      </c>
      <c r="E316" s="1086" t="s">
        <v>70</v>
      </c>
      <c r="F316" s="1086" t="s">
        <v>69</v>
      </c>
      <c r="G316" s="1086" t="s">
        <v>69</v>
      </c>
      <c r="H316" s="1086" t="s">
        <v>70</v>
      </c>
      <c r="I316" s="1086" t="s">
        <v>69</v>
      </c>
      <c r="J316" s="1086" t="s">
        <v>70</v>
      </c>
      <c r="K316" s="1086" t="s">
        <v>70</v>
      </c>
      <c r="L316" s="1086" t="s">
        <v>69</v>
      </c>
      <c r="M316" s="1086" t="s">
        <v>99</v>
      </c>
      <c r="N316" s="1086" t="s">
        <v>70</v>
      </c>
      <c r="O316" s="1086" t="s">
        <v>70</v>
      </c>
      <c r="P316" s="1086"/>
      <c r="Q316" s="1086" t="s">
        <v>70</v>
      </c>
      <c r="R316" s="1086" t="s">
        <v>70</v>
      </c>
      <c r="S316" s="1086" t="s">
        <v>1256</v>
      </c>
      <c r="T316" s="1086" t="s">
        <v>99</v>
      </c>
      <c r="U316" s="1086" t="s">
        <v>69</v>
      </c>
      <c r="V316" s="1086" t="s">
        <v>69</v>
      </c>
      <c r="W316" s="1086" t="s">
        <v>70</v>
      </c>
      <c r="X316" s="1086" t="s">
        <v>70</v>
      </c>
      <c r="Y316" s="1086" t="s">
        <v>70</v>
      </c>
      <c r="Z316" s="1086" t="s">
        <v>69</v>
      </c>
      <c r="AA316" s="1086" t="s">
        <v>70</v>
      </c>
      <c r="AB316" s="1086" t="s">
        <v>69</v>
      </c>
      <c r="AC316" s="1086" t="s">
        <v>69</v>
      </c>
      <c r="AD316" s="1086" t="s">
        <v>70</v>
      </c>
      <c r="AE316" s="1086" t="s">
        <v>69</v>
      </c>
      <c r="AF316" s="1086" t="s">
        <v>70</v>
      </c>
      <c r="AG316" s="1086" t="s">
        <v>69</v>
      </c>
      <c r="AH316" s="1086" t="s">
        <v>69</v>
      </c>
      <c r="AI316" s="1086" t="s">
        <v>69</v>
      </c>
      <c r="AJ316" s="1086" t="s">
        <v>70</v>
      </c>
      <c r="AK316" s="1086" t="s">
        <v>70</v>
      </c>
      <c r="AL316" s="1086" t="s">
        <v>70</v>
      </c>
      <c r="AM316" s="1086" t="s">
        <v>70</v>
      </c>
      <c r="AN316" s="1086" t="s">
        <v>69</v>
      </c>
      <c r="AO316" s="1086" t="s">
        <v>69</v>
      </c>
      <c r="AP316" s="1086" t="s">
        <v>69</v>
      </c>
      <c r="AQ316" s="1086" t="s">
        <v>69</v>
      </c>
      <c r="AR316" s="1086" t="s">
        <v>70</v>
      </c>
      <c r="AS316" s="1086" t="s">
        <v>70</v>
      </c>
      <c r="AT316" s="1086" t="s">
        <v>69</v>
      </c>
      <c r="AU316" s="1086" t="s">
        <v>69</v>
      </c>
      <c r="AV316" s="1086" t="s">
        <v>69</v>
      </c>
      <c r="AW316" s="1086" t="s">
        <v>70</v>
      </c>
      <c r="AX316" s="1086" t="s">
        <v>70</v>
      </c>
      <c r="AY316" s="1086" t="s">
        <v>70</v>
      </c>
      <c r="AZ316" s="1039" t="s">
        <v>70</v>
      </c>
      <c r="BA316" s="1039" t="s">
        <v>70</v>
      </c>
      <c r="BB316" s="1039" t="s">
        <v>70</v>
      </c>
      <c r="BC316" s="1039" t="s">
        <v>70</v>
      </c>
      <c r="BD316" s="1039" t="s">
        <v>69</v>
      </c>
      <c r="BE316" s="1087"/>
      <c r="BF316" s="1087"/>
      <c r="BG316" s="1087"/>
      <c r="BH316" s="1087"/>
      <c r="BI316" s="1087"/>
      <c r="BJ316" s="1087"/>
      <c r="BK316" s="1087"/>
      <c r="BL316" s="1087"/>
    </row>
    <row r="317">
      <c r="A317" s="901"/>
      <c r="B317" s="952" t="s">
        <v>1182</v>
      </c>
      <c r="C317" s="952" t="s">
        <v>12</v>
      </c>
      <c r="D317" s="1086" t="s">
        <v>70</v>
      </c>
      <c r="E317" s="1086" t="s">
        <v>70</v>
      </c>
      <c r="F317" s="1086" t="s">
        <v>69</v>
      </c>
      <c r="G317" s="1086" t="s">
        <v>69</v>
      </c>
      <c r="H317" s="1086" t="s">
        <v>70</v>
      </c>
      <c r="I317" s="1086" t="s">
        <v>69</v>
      </c>
      <c r="J317" s="1086" t="s">
        <v>70</v>
      </c>
      <c r="K317" s="1086" t="s">
        <v>70</v>
      </c>
      <c r="L317" s="1086" t="s">
        <v>69</v>
      </c>
      <c r="M317" s="1086" t="s">
        <v>99</v>
      </c>
      <c r="N317" s="1086" t="s">
        <v>70</v>
      </c>
      <c r="O317" s="1086" t="s">
        <v>70</v>
      </c>
      <c r="P317" s="1086"/>
      <c r="Q317" s="1086" t="s">
        <v>70</v>
      </c>
      <c r="R317" s="1086" t="s">
        <v>70</v>
      </c>
      <c r="S317" s="1086" t="s">
        <v>99</v>
      </c>
      <c r="T317" s="1086" t="s">
        <v>70</v>
      </c>
      <c r="U317" s="1086" t="s">
        <v>70</v>
      </c>
      <c r="V317" s="1086" t="s">
        <v>69</v>
      </c>
      <c r="W317" s="1086" t="s">
        <v>99</v>
      </c>
      <c r="X317" s="1086" t="s">
        <v>70</v>
      </c>
      <c r="Y317" s="1086" t="s">
        <v>70</v>
      </c>
      <c r="Z317" s="1086" t="s">
        <v>69</v>
      </c>
      <c r="AA317" s="1086" t="s">
        <v>70</v>
      </c>
      <c r="AB317" s="1086" t="s">
        <v>69</v>
      </c>
      <c r="AC317" s="1086" t="s">
        <v>69</v>
      </c>
      <c r="AD317" s="1086" t="s">
        <v>70</v>
      </c>
      <c r="AE317" s="1086" t="s">
        <v>69</v>
      </c>
      <c r="AF317" s="1086" t="s">
        <v>70</v>
      </c>
      <c r="AG317" s="1086" t="s">
        <v>69</v>
      </c>
      <c r="AH317" s="1086" t="s">
        <v>69</v>
      </c>
      <c r="AI317" s="1086" t="s">
        <v>69</v>
      </c>
      <c r="AJ317" s="1086" t="s">
        <v>70</v>
      </c>
      <c r="AK317" s="1086" t="s">
        <v>70</v>
      </c>
      <c r="AL317" s="1086" t="s">
        <v>70</v>
      </c>
      <c r="AM317" s="1086" t="s">
        <v>99</v>
      </c>
      <c r="AN317" s="1086" t="s">
        <v>99</v>
      </c>
      <c r="AO317" s="1086" t="s">
        <v>69</v>
      </c>
      <c r="AP317" s="1086" t="s">
        <v>69</v>
      </c>
      <c r="AQ317" s="1086" t="s">
        <v>69</v>
      </c>
      <c r="AR317" s="1086" t="s">
        <v>69</v>
      </c>
      <c r="AS317" s="1086" t="s">
        <v>70</v>
      </c>
      <c r="AT317" s="1086" t="s">
        <v>70</v>
      </c>
      <c r="AU317" s="1086" t="s">
        <v>69</v>
      </c>
      <c r="AV317" s="1086" t="s">
        <v>69</v>
      </c>
      <c r="AW317" s="1086" t="s">
        <v>70</v>
      </c>
      <c r="AX317" s="1086" t="s">
        <v>70</v>
      </c>
      <c r="AY317" s="1086" t="s">
        <v>70</v>
      </c>
      <c r="AZ317" s="1039" t="s">
        <v>70</v>
      </c>
      <c r="BA317" s="1039" t="s">
        <v>70</v>
      </c>
      <c r="BB317" s="1039" t="s">
        <v>70</v>
      </c>
      <c r="BC317" s="1039" t="s">
        <v>70</v>
      </c>
      <c r="BD317" s="1039" t="s">
        <v>69</v>
      </c>
      <c r="BE317" s="1087"/>
      <c r="BF317" s="1087"/>
      <c r="BG317" s="1087"/>
      <c r="BH317" s="1087"/>
      <c r="BI317" s="1087"/>
      <c r="BJ317" s="1087"/>
      <c r="BK317" s="1087"/>
      <c r="BL317" s="1087"/>
    </row>
    <row r="318">
      <c r="A318" s="901"/>
      <c r="B318" s="1088" t="s">
        <v>1196</v>
      </c>
      <c r="C318" s="1089" t="s">
        <v>177</v>
      </c>
      <c r="D318" s="1086" t="s">
        <v>70</v>
      </c>
      <c r="E318" s="1086" t="s">
        <v>69</v>
      </c>
      <c r="F318" s="1086" t="s">
        <v>69</v>
      </c>
      <c r="G318" s="1086" t="s">
        <v>69</v>
      </c>
      <c r="H318" s="1086" t="s">
        <v>70</v>
      </c>
      <c r="I318" s="1086" t="s">
        <v>70</v>
      </c>
      <c r="J318" s="1086" t="s">
        <v>70</v>
      </c>
      <c r="K318" s="1086" t="s">
        <v>70</v>
      </c>
      <c r="L318" s="1086" t="s">
        <v>69</v>
      </c>
      <c r="M318" s="1086" t="s">
        <v>69</v>
      </c>
      <c r="N318" s="1086" t="s">
        <v>70</v>
      </c>
      <c r="O318" s="1086" t="s">
        <v>70</v>
      </c>
      <c r="P318" s="1086"/>
      <c r="Q318" s="1086" t="s">
        <v>70</v>
      </c>
      <c r="R318" s="1086" t="s">
        <v>70</v>
      </c>
      <c r="S318" s="1086" t="s">
        <v>69</v>
      </c>
      <c r="T318" s="1086" t="s">
        <v>69</v>
      </c>
      <c r="U318" s="1086" t="s">
        <v>70</v>
      </c>
      <c r="V318" s="1086" t="s">
        <v>69</v>
      </c>
      <c r="W318" s="1086" t="s">
        <v>69</v>
      </c>
      <c r="X318" s="1086" t="s">
        <v>70</v>
      </c>
      <c r="Y318" s="1086" t="s">
        <v>69</v>
      </c>
      <c r="Z318" s="1086" t="s">
        <v>69</v>
      </c>
      <c r="AA318" s="1086" t="s">
        <v>69</v>
      </c>
      <c r="AB318" s="1086" t="s">
        <v>70</v>
      </c>
      <c r="AC318" s="1086" t="s">
        <v>69</v>
      </c>
      <c r="AD318" s="1086" t="s">
        <v>69</v>
      </c>
      <c r="AE318" s="1086" t="s">
        <v>70</v>
      </c>
      <c r="AF318" s="1086" t="s">
        <v>69</v>
      </c>
      <c r="AG318" s="1086" t="s">
        <v>70</v>
      </c>
      <c r="AH318" s="1086" t="s">
        <v>70</v>
      </c>
      <c r="AI318" s="1086" t="s">
        <v>69</v>
      </c>
      <c r="AJ318" s="1086" t="s">
        <v>69</v>
      </c>
      <c r="AK318" s="1086" t="s">
        <v>69</v>
      </c>
      <c r="AL318" s="1086" t="s">
        <v>69</v>
      </c>
      <c r="AM318" s="1086" t="s">
        <v>69</v>
      </c>
      <c r="AN318" s="1086" t="s">
        <v>69</v>
      </c>
      <c r="AO318" s="1086" t="s">
        <v>69</v>
      </c>
      <c r="AP318" s="1086" t="s">
        <v>69</v>
      </c>
      <c r="AQ318" s="1086" t="s">
        <v>69</v>
      </c>
      <c r="AR318" s="1086" t="s">
        <v>70</v>
      </c>
      <c r="AS318" s="1086" t="s">
        <v>69</v>
      </c>
      <c r="AT318" s="1086" t="s">
        <v>70</v>
      </c>
      <c r="AU318" s="1086" t="s">
        <v>69</v>
      </c>
      <c r="AV318" s="1086" t="s">
        <v>70</v>
      </c>
      <c r="AW318" s="1086" t="s">
        <v>70</v>
      </c>
      <c r="AX318" s="1086" t="s">
        <v>70</v>
      </c>
      <c r="AY318" s="1086" t="s">
        <v>69</v>
      </c>
      <c r="AZ318" s="1039" t="s">
        <v>69</v>
      </c>
      <c r="BA318" s="1039" t="s">
        <v>69</v>
      </c>
      <c r="BB318" s="1039" t="s">
        <v>69</v>
      </c>
      <c r="BC318" s="1039" t="s">
        <v>69</v>
      </c>
      <c r="BD318" s="1039" t="s">
        <v>69</v>
      </c>
      <c r="BE318" s="1087"/>
      <c r="BF318" s="1087"/>
      <c r="BG318" s="1087"/>
      <c r="BH318" s="1087"/>
      <c r="BI318" s="1087"/>
      <c r="BJ318" s="1087"/>
      <c r="BK318" s="1087"/>
      <c r="BL318" s="1087"/>
    </row>
    <row r="319">
      <c r="A319" s="901"/>
      <c r="B319" s="1090" t="s">
        <v>1222</v>
      </c>
      <c r="C319" s="1090" t="s">
        <v>177</v>
      </c>
      <c r="D319" s="1086" t="s">
        <v>70</v>
      </c>
      <c r="E319" s="1086" t="s">
        <v>69</v>
      </c>
      <c r="F319" s="1086" t="s">
        <v>69</v>
      </c>
      <c r="G319" s="1086" t="s">
        <v>69</v>
      </c>
      <c r="H319" s="1086" t="s">
        <v>70</v>
      </c>
      <c r="I319" s="1086" t="s">
        <v>70</v>
      </c>
      <c r="J319" s="1086" t="s">
        <v>70</v>
      </c>
      <c r="K319" s="1086" t="s">
        <v>99</v>
      </c>
      <c r="L319" s="1086" t="s">
        <v>69</v>
      </c>
      <c r="M319" s="1086" t="s">
        <v>69</v>
      </c>
      <c r="N319" s="1086" t="s">
        <v>99</v>
      </c>
      <c r="O319" s="1086" t="s">
        <v>99</v>
      </c>
      <c r="P319" s="1086"/>
      <c r="Q319" s="1086" t="s">
        <v>70</v>
      </c>
      <c r="R319" s="1086" t="s">
        <v>99</v>
      </c>
      <c r="S319" s="1086" t="s">
        <v>69</v>
      </c>
      <c r="T319" s="1086" t="s">
        <v>69</v>
      </c>
      <c r="U319" s="1086" t="s">
        <v>70</v>
      </c>
      <c r="V319" s="1086" t="s">
        <v>69</v>
      </c>
      <c r="W319" s="1086" t="s">
        <v>69</v>
      </c>
      <c r="X319" s="1086" t="s">
        <v>70</v>
      </c>
      <c r="Y319" s="1086" t="s">
        <v>69</v>
      </c>
      <c r="Z319" s="1086" t="s">
        <v>69</v>
      </c>
      <c r="AA319" s="1086" t="s">
        <v>70</v>
      </c>
      <c r="AB319" s="1086" t="s">
        <v>99</v>
      </c>
      <c r="AC319" s="1086" t="s">
        <v>69</v>
      </c>
      <c r="AD319" s="1086" t="s">
        <v>69</v>
      </c>
      <c r="AE319" s="1086" t="s">
        <v>99</v>
      </c>
      <c r="AF319" s="1086" t="s">
        <v>69</v>
      </c>
      <c r="AG319" s="1086" t="s">
        <v>70</v>
      </c>
      <c r="AH319" s="1086" t="s">
        <v>99</v>
      </c>
      <c r="AI319" s="1086" t="s">
        <v>69</v>
      </c>
      <c r="AJ319" s="1086" t="s">
        <v>69</v>
      </c>
      <c r="AK319" s="1086" t="s">
        <v>69</v>
      </c>
      <c r="AL319" s="1086" t="s">
        <v>69</v>
      </c>
      <c r="AM319" s="1086" t="s">
        <v>69</v>
      </c>
      <c r="AN319" s="1086" t="s">
        <v>69</v>
      </c>
      <c r="AO319" s="1086" t="s">
        <v>69</v>
      </c>
      <c r="AP319" s="1086" t="s">
        <v>69</v>
      </c>
      <c r="AQ319" s="1086" t="s">
        <v>100</v>
      </c>
      <c r="AR319" s="1086" t="s">
        <v>100</v>
      </c>
      <c r="AS319" s="1086" t="s">
        <v>100</v>
      </c>
      <c r="AT319" s="1086" t="s">
        <v>100</v>
      </c>
      <c r="AU319" s="1086" t="s">
        <v>69</v>
      </c>
      <c r="AV319" s="1086" t="s">
        <v>70</v>
      </c>
      <c r="AW319" s="1086" t="s">
        <v>70</v>
      </c>
      <c r="AX319" s="1086" t="s">
        <v>70</v>
      </c>
      <c r="AY319" s="1086" t="s">
        <v>69</v>
      </c>
      <c r="AZ319" s="1039" t="s">
        <v>69</v>
      </c>
      <c r="BA319" s="1039" t="s">
        <v>69</v>
      </c>
      <c r="BB319" s="1039" t="s">
        <v>69</v>
      </c>
      <c r="BC319" s="1039" t="s">
        <v>69</v>
      </c>
      <c r="BD319" s="1039" t="s">
        <v>69</v>
      </c>
      <c r="BE319" s="1087"/>
      <c r="BF319" s="1087"/>
      <c r="BG319" s="1087"/>
      <c r="BH319" s="1087"/>
      <c r="BI319" s="1087"/>
      <c r="BJ319" s="1087"/>
      <c r="BK319" s="1087"/>
      <c r="BL319" s="1087"/>
    </row>
    <row r="320">
      <c r="A320" s="901"/>
      <c r="B320" s="1090" t="s">
        <v>1257</v>
      </c>
      <c r="C320" s="1090" t="s">
        <v>177</v>
      </c>
      <c r="D320" s="1086" t="s">
        <v>70</v>
      </c>
      <c r="E320" s="1086" t="s">
        <v>69</v>
      </c>
      <c r="F320" s="1086" t="s">
        <v>69</v>
      </c>
      <c r="G320" s="1086" t="s">
        <v>69</v>
      </c>
      <c r="H320" s="1086" t="s">
        <v>70</v>
      </c>
      <c r="I320" s="1086" t="s">
        <v>70</v>
      </c>
      <c r="J320" s="1086" t="s">
        <v>70</v>
      </c>
      <c r="K320" s="1086" t="s">
        <v>70</v>
      </c>
      <c r="L320" s="1086" t="s">
        <v>69</v>
      </c>
      <c r="M320" s="1086" t="s">
        <v>69</v>
      </c>
      <c r="N320" s="1086" t="s">
        <v>70</v>
      </c>
      <c r="O320" s="1086" t="s">
        <v>70</v>
      </c>
      <c r="P320" s="1086"/>
      <c r="Q320" s="1086" t="s">
        <v>70</v>
      </c>
      <c r="R320" s="1086" t="s">
        <v>99</v>
      </c>
      <c r="S320" s="1086" t="s">
        <v>69</v>
      </c>
      <c r="T320" s="1086" t="s">
        <v>69</v>
      </c>
      <c r="U320" s="1086" t="s">
        <v>70</v>
      </c>
      <c r="V320" s="1086" t="s">
        <v>69</v>
      </c>
      <c r="W320" s="1086" t="s">
        <v>69</v>
      </c>
      <c r="X320" s="1086" t="s">
        <v>70</v>
      </c>
      <c r="Y320" s="1086" t="s">
        <v>70</v>
      </c>
      <c r="Z320" s="1086" t="s">
        <v>69</v>
      </c>
      <c r="AA320" s="1086" t="s">
        <v>69</v>
      </c>
      <c r="AB320" s="1086" t="s">
        <v>70</v>
      </c>
      <c r="AC320" s="1086" t="s">
        <v>69</v>
      </c>
      <c r="AD320" s="1086" t="s">
        <v>69</v>
      </c>
      <c r="AE320" s="1086" t="s">
        <v>70</v>
      </c>
      <c r="AF320" s="1086" t="s">
        <v>69</v>
      </c>
      <c r="AG320" s="1086" t="s">
        <v>70</v>
      </c>
      <c r="AH320" s="1086" t="s">
        <v>70</v>
      </c>
      <c r="AI320" s="1086" t="s">
        <v>69</v>
      </c>
      <c r="AJ320" s="1086" t="s">
        <v>69</v>
      </c>
      <c r="AK320" s="1086" t="s">
        <v>69</v>
      </c>
      <c r="AL320" s="1086" t="s">
        <v>69</v>
      </c>
      <c r="AM320" s="1086" t="s">
        <v>100</v>
      </c>
      <c r="AN320" s="1086" t="s">
        <v>100</v>
      </c>
      <c r="AO320" s="1086" t="s">
        <v>100</v>
      </c>
      <c r="AP320" s="1086" t="s">
        <v>100</v>
      </c>
      <c r="AQ320" s="1086" t="s">
        <v>69</v>
      </c>
      <c r="AR320" s="1086" t="s">
        <v>70</v>
      </c>
      <c r="AS320" s="1086" t="s">
        <v>69</v>
      </c>
      <c r="AT320" s="1086" t="s">
        <v>70</v>
      </c>
      <c r="AU320" s="1086" t="s">
        <v>100</v>
      </c>
      <c r="AV320" s="1086" t="s">
        <v>100</v>
      </c>
      <c r="AW320" s="1086" t="s">
        <v>100</v>
      </c>
      <c r="AX320" s="1086" t="s">
        <v>100</v>
      </c>
      <c r="AY320" s="1086" t="s">
        <v>100</v>
      </c>
      <c r="AZ320" s="1039" t="s">
        <v>69</v>
      </c>
      <c r="BA320" s="1039" t="s">
        <v>69</v>
      </c>
      <c r="BB320" s="1039" t="s">
        <v>69</v>
      </c>
      <c r="BC320" s="1039" t="s">
        <v>69</v>
      </c>
      <c r="BD320" s="1039" t="s">
        <v>69</v>
      </c>
      <c r="BE320" s="1087"/>
      <c r="BF320" s="1087"/>
      <c r="BG320" s="1087"/>
      <c r="BH320" s="1087"/>
      <c r="BI320" s="1087"/>
      <c r="BJ320" s="1087"/>
      <c r="BK320" s="1087"/>
      <c r="BL320" s="1087"/>
    </row>
    <row r="321">
      <c r="A321" s="901"/>
      <c r="B321" s="1090" t="s">
        <v>1258</v>
      </c>
      <c r="C321" s="1090" t="s">
        <v>177</v>
      </c>
      <c r="D321" s="1065"/>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9"/>
      <c r="AA321" s="1086" t="s">
        <v>69</v>
      </c>
      <c r="AB321" s="1086" t="s">
        <v>70</v>
      </c>
      <c r="AC321" s="1086" t="s">
        <v>69</v>
      </c>
      <c r="AD321" s="1086" t="s">
        <v>69</v>
      </c>
      <c r="AE321" s="1086" t="s">
        <v>70</v>
      </c>
      <c r="AF321" s="1086" t="s">
        <v>69</v>
      </c>
      <c r="AG321" s="1086" t="s">
        <v>70</v>
      </c>
      <c r="AH321" s="1086" t="s">
        <v>70</v>
      </c>
      <c r="AI321" s="1086" t="s">
        <v>69</v>
      </c>
      <c r="AJ321" s="1086" t="s">
        <v>69</v>
      </c>
      <c r="AK321" s="1086" t="s">
        <v>69</v>
      </c>
      <c r="AL321" s="1086" t="s">
        <v>69</v>
      </c>
      <c r="AM321" s="1086" t="s">
        <v>100</v>
      </c>
      <c r="AN321" s="1086" t="s">
        <v>100</v>
      </c>
      <c r="AO321" s="1086" t="s">
        <v>100</v>
      </c>
      <c r="AP321" s="1086" t="s">
        <v>100</v>
      </c>
      <c r="AQ321" s="1086" t="s">
        <v>70</v>
      </c>
      <c r="AR321" s="1086" t="s">
        <v>70</v>
      </c>
      <c r="AS321" s="1086" t="s">
        <v>70</v>
      </c>
      <c r="AT321" s="1086" t="s">
        <v>70</v>
      </c>
      <c r="AU321" s="1086" t="s">
        <v>69</v>
      </c>
      <c r="AV321" s="1086" t="s">
        <v>70</v>
      </c>
      <c r="AW321" s="1086" t="s">
        <v>69</v>
      </c>
      <c r="AX321" s="1086" t="s">
        <v>70</v>
      </c>
      <c r="AY321" s="1086" t="s">
        <v>69</v>
      </c>
      <c r="AZ321" s="1039" t="s">
        <v>69</v>
      </c>
      <c r="BA321" s="1039" t="s">
        <v>69</v>
      </c>
      <c r="BB321" s="1039" t="s">
        <v>69</v>
      </c>
      <c r="BC321" s="1039" t="s">
        <v>69</v>
      </c>
      <c r="BD321" s="1039" t="s">
        <v>69</v>
      </c>
      <c r="BE321" s="1087"/>
      <c r="BF321" s="1087"/>
      <c r="BG321" s="1087"/>
      <c r="BH321" s="1087"/>
      <c r="BI321" s="1087"/>
      <c r="BJ321" s="1087"/>
      <c r="BK321" s="1087"/>
      <c r="BL321" s="1087"/>
    </row>
    <row r="322">
      <c r="A322" s="901"/>
      <c r="B322" s="1091" t="s">
        <v>1253</v>
      </c>
      <c r="C322" s="1074" t="s">
        <v>290</v>
      </c>
      <c r="D322" s="1086" t="s">
        <v>69</v>
      </c>
      <c r="E322" s="1086" t="s">
        <v>69</v>
      </c>
      <c r="F322" s="1086" t="s">
        <v>69</v>
      </c>
      <c r="G322" s="1086" t="s">
        <v>69</v>
      </c>
      <c r="H322" s="1086" t="s">
        <v>69</v>
      </c>
      <c r="I322" s="1086" t="s">
        <v>70</v>
      </c>
      <c r="J322" s="1086" t="s">
        <v>70</v>
      </c>
      <c r="K322" s="1086" t="s">
        <v>69</v>
      </c>
      <c r="L322" s="1086" t="s">
        <v>69</v>
      </c>
      <c r="M322" s="1086" t="s">
        <v>69</v>
      </c>
      <c r="N322" s="1086" t="s">
        <v>70</v>
      </c>
      <c r="O322" s="1086" t="s">
        <v>69</v>
      </c>
      <c r="P322" s="1086"/>
      <c r="Q322" s="1086" t="s">
        <v>70</v>
      </c>
      <c r="R322" s="1086" t="s">
        <v>69</v>
      </c>
      <c r="S322" s="1086" t="s">
        <v>69</v>
      </c>
      <c r="T322" s="1086" t="s">
        <v>69</v>
      </c>
      <c r="U322" s="1086" t="s">
        <v>70</v>
      </c>
      <c r="V322" s="1086" t="s">
        <v>69</v>
      </c>
      <c r="W322" s="1086" t="s">
        <v>69</v>
      </c>
      <c r="X322" s="1086" t="s">
        <v>69</v>
      </c>
      <c r="Y322" s="1086" t="s">
        <v>69</v>
      </c>
      <c r="Z322" s="1086" t="s">
        <v>69</v>
      </c>
      <c r="AA322" s="1086" t="s">
        <v>69</v>
      </c>
      <c r="AB322" s="1086" t="s">
        <v>70</v>
      </c>
      <c r="AC322" s="1086" t="s">
        <v>69</v>
      </c>
      <c r="AD322" s="1086" t="s">
        <v>69</v>
      </c>
      <c r="AE322" s="1086" t="s">
        <v>69</v>
      </c>
      <c r="AF322" s="1086" t="s">
        <v>70</v>
      </c>
      <c r="AG322" s="1086" t="s">
        <v>70</v>
      </c>
      <c r="AH322" s="1086" t="s">
        <v>99</v>
      </c>
      <c r="AI322" s="1086" t="s">
        <v>70</v>
      </c>
      <c r="AJ322" s="1086" t="s">
        <v>69</v>
      </c>
      <c r="AK322" s="1086" t="s">
        <v>69</v>
      </c>
      <c r="AL322" s="1086" t="s">
        <v>69</v>
      </c>
      <c r="AM322" s="1086" t="s">
        <v>69</v>
      </c>
      <c r="AN322" s="1086" t="s">
        <v>69</v>
      </c>
      <c r="AO322" s="1086" t="s">
        <v>70</v>
      </c>
      <c r="AP322" s="1086" t="s">
        <v>70</v>
      </c>
      <c r="AQ322" s="1086" t="s">
        <v>69</v>
      </c>
      <c r="AR322" s="1086" t="s">
        <v>69</v>
      </c>
      <c r="AS322" s="1086" t="s">
        <v>69</v>
      </c>
      <c r="AT322" s="1086" t="s">
        <v>70</v>
      </c>
      <c r="AU322" s="1086" t="s">
        <v>70</v>
      </c>
      <c r="AV322" s="1086" t="s">
        <v>70</v>
      </c>
      <c r="AW322" s="1086" t="s">
        <v>70</v>
      </c>
      <c r="AX322" s="1086" t="s">
        <v>69</v>
      </c>
      <c r="AY322" s="1086" t="s">
        <v>69</v>
      </c>
      <c r="AZ322" s="1039" t="s">
        <v>69</v>
      </c>
      <c r="BA322" s="1039" t="s">
        <v>69</v>
      </c>
      <c r="BB322" s="1039" t="s">
        <v>70</v>
      </c>
      <c r="BC322" s="1039" t="s">
        <v>69</v>
      </c>
      <c r="BD322" s="1039" t="s">
        <v>69</v>
      </c>
      <c r="BE322" s="1087"/>
      <c r="BF322" s="1087"/>
      <c r="BG322" s="1087"/>
      <c r="BH322" s="1087"/>
      <c r="BI322" s="1087"/>
      <c r="BJ322" s="1087"/>
      <c r="BK322" s="1087"/>
      <c r="BL322" s="1087"/>
    </row>
    <row r="323">
      <c r="A323" s="901"/>
      <c r="B323" s="1092" t="s">
        <v>1259</v>
      </c>
      <c r="C323" s="1093" t="s">
        <v>290</v>
      </c>
      <c r="D323" s="1086" t="s">
        <v>69</v>
      </c>
      <c r="E323" s="1086" t="s">
        <v>69</v>
      </c>
      <c r="F323" s="1086" t="s">
        <v>70</v>
      </c>
      <c r="G323" s="1086" t="s">
        <v>69</v>
      </c>
      <c r="H323" s="1086" t="s">
        <v>69</v>
      </c>
      <c r="I323" s="1086" t="s">
        <v>70</v>
      </c>
      <c r="J323" s="1086" t="s">
        <v>70</v>
      </c>
      <c r="K323" s="1086" t="s">
        <v>70</v>
      </c>
      <c r="L323" s="1086" t="s">
        <v>69</v>
      </c>
      <c r="M323" s="1086" t="s">
        <v>69</v>
      </c>
      <c r="N323" s="1086" t="s">
        <v>70</v>
      </c>
      <c r="O323" s="1086" t="s">
        <v>69</v>
      </c>
      <c r="P323" s="1086"/>
      <c r="Q323" s="1086" t="s">
        <v>100</v>
      </c>
      <c r="R323" s="1086" t="s">
        <v>100</v>
      </c>
      <c r="S323" s="1086" t="s">
        <v>100</v>
      </c>
      <c r="T323" s="1086" t="s">
        <v>100</v>
      </c>
      <c r="U323" s="1086" t="s">
        <v>100</v>
      </c>
      <c r="V323" s="1086" t="s">
        <v>100</v>
      </c>
      <c r="W323" s="1086" t="s">
        <v>100</v>
      </c>
      <c r="X323" s="1086" t="s">
        <v>100</v>
      </c>
      <c r="Y323" s="1086" t="s">
        <v>100</v>
      </c>
      <c r="Z323" s="1086" t="s">
        <v>100</v>
      </c>
      <c r="AA323" s="1086" t="s">
        <v>69</v>
      </c>
      <c r="AB323" s="1086" t="s">
        <v>70</v>
      </c>
      <c r="AC323" s="1086" t="s">
        <v>70</v>
      </c>
      <c r="AD323" s="1086" t="s">
        <v>99</v>
      </c>
      <c r="AE323" s="1086" t="s">
        <v>69</v>
      </c>
      <c r="AF323" s="1086" t="s">
        <v>70</v>
      </c>
      <c r="AG323" s="1086" t="s">
        <v>70</v>
      </c>
      <c r="AH323" s="1086" t="s">
        <v>70</v>
      </c>
      <c r="AI323" s="1086" t="s">
        <v>69</v>
      </c>
      <c r="AJ323" s="1086" t="s">
        <v>69</v>
      </c>
      <c r="AK323" s="1086" t="s">
        <v>69</v>
      </c>
      <c r="AL323" s="1086" t="s">
        <v>69</v>
      </c>
      <c r="AM323" s="1086" t="s">
        <v>100</v>
      </c>
      <c r="AN323" s="1086" t="s">
        <v>100</v>
      </c>
      <c r="AO323" s="1086" t="s">
        <v>100</v>
      </c>
      <c r="AP323" s="1086" t="s">
        <v>100</v>
      </c>
      <c r="AQ323" s="1086" t="s">
        <v>69</v>
      </c>
      <c r="AR323" s="1086" t="s">
        <v>69</v>
      </c>
      <c r="AS323" s="1086" t="s">
        <v>69</v>
      </c>
      <c r="AT323" s="1086" t="s">
        <v>70</v>
      </c>
      <c r="AU323" s="1086" t="s">
        <v>69</v>
      </c>
      <c r="AV323" s="1086" t="s">
        <v>70</v>
      </c>
      <c r="AW323" s="1086" t="s">
        <v>69</v>
      </c>
      <c r="AX323" s="1086" t="s">
        <v>69</v>
      </c>
      <c r="AY323" s="1086" t="s">
        <v>69</v>
      </c>
      <c r="AZ323" s="1039" t="s">
        <v>100</v>
      </c>
      <c r="BA323" s="1039" t="s">
        <v>100</v>
      </c>
      <c r="BB323" s="1039" t="s">
        <v>70</v>
      </c>
      <c r="BC323" s="1039" t="s">
        <v>69</v>
      </c>
      <c r="BD323" s="1039" t="s">
        <v>69</v>
      </c>
      <c r="BE323" s="1087"/>
      <c r="BF323" s="1087"/>
      <c r="BG323" s="1087"/>
      <c r="BH323" s="1087"/>
      <c r="BI323" s="1087"/>
      <c r="BJ323" s="1087"/>
      <c r="BK323" s="1087"/>
      <c r="BL323" s="1087"/>
    </row>
    <row r="324">
      <c r="A324" s="901"/>
      <c r="B324" s="1093" t="s">
        <v>61</v>
      </c>
      <c r="C324" s="1093" t="s">
        <v>290</v>
      </c>
      <c r="D324" s="1086" t="s">
        <v>69</v>
      </c>
      <c r="E324" s="1086" t="s">
        <v>69</v>
      </c>
      <c r="F324" s="1086" t="s">
        <v>69</v>
      </c>
      <c r="G324" s="1086" t="s">
        <v>69</v>
      </c>
      <c r="H324" s="1086" t="s">
        <v>69</v>
      </c>
      <c r="I324" s="1086" t="s">
        <v>70</v>
      </c>
      <c r="J324" s="1086" t="s">
        <v>70</v>
      </c>
      <c r="K324" s="1086" t="s">
        <v>70</v>
      </c>
      <c r="L324" s="1086" t="s">
        <v>69</v>
      </c>
      <c r="M324" s="1086" t="s">
        <v>69</v>
      </c>
      <c r="N324" s="1086" t="s">
        <v>70</v>
      </c>
      <c r="O324" s="1086" t="s">
        <v>69</v>
      </c>
      <c r="P324" s="1086"/>
      <c r="Q324" s="1086" t="s">
        <v>70</v>
      </c>
      <c r="R324" s="1086" t="s">
        <v>69</v>
      </c>
      <c r="S324" s="1086" t="s">
        <v>69</v>
      </c>
      <c r="T324" s="1086" t="s">
        <v>69</v>
      </c>
      <c r="U324" s="1086" t="s">
        <v>100</v>
      </c>
      <c r="V324" s="1086" t="s">
        <v>100</v>
      </c>
      <c r="W324" s="1086" t="s">
        <v>100</v>
      </c>
      <c r="X324" s="1086" t="s">
        <v>100</v>
      </c>
      <c r="Y324" s="1086" t="s">
        <v>100</v>
      </c>
      <c r="Z324" s="1086" t="s">
        <v>100</v>
      </c>
      <c r="AA324" s="1086" t="s">
        <v>69</v>
      </c>
      <c r="AB324" s="1086" t="s">
        <v>99</v>
      </c>
      <c r="AC324" s="1086" t="s">
        <v>70</v>
      </c>
      <c r="AD324" s="1086" t="s">
        <v>70</v>
      </c>
      <c r="AE324" s="1086" t="s">
        <v>69</v>
      </c>
      <c r="AF324" s="1086" t="s">
        <v>70</v>
      </c>
      <c r="AG324" s="1086" t="s">
        <v>69</v>
      </c>
      <c r="AH324" s="1086" t="s">
        <v>69</v>
      </c>
      <c r="AI324" s="1086" t="s">
        <v>70</v>
      </c>
      <c r="AJ324" s="1086" t="s">
        <v>69</v>
      </c>
      <c r="AK324" s="1086" t="s">
        <v>69</v>
      </c>
      <c r="AL324" s="1086" t="s">
        <v>99</v>
      </c>
      <c r="AM324" s="1086" t="s">
        <v>69</v>
      </c>
      <c r="AN324" s="1086" t="s">
        <v>69</v>
      </c>
      <c r="AO324" s="1086" t="s">
        <v>69</v>
      </c>
      <c r="AP324" s="1086" t="s">
        <v>69</v>
      </c>
      <c r="AQ324" s="1086" t="s">
        <v>69</v>
      </c>
      <c r="AR324" s="1086" t="s">
        <v>69</v>
      </c>
      <c r="AS324" s="1086" t="s">
        <v>69</v>
      </c>
      <c r="AT324" s="1086" t="s">
        <v>70</v>
      </c>
      <c r="AU324" s="1086" t="s">
        <v>69</v>
      </c>
      <c r="AV324" s="1086" t="s">
        <v>69</v>
      </c>
      <c r="AW324" s="1086" t="s">
        <v>99</v>
      </c>
      <c r="AX324" s="1086" t="s">
        <v>69</v>
      </c>
      <c r="AY324" s="1086" t="s">
        <v>69</v>
      </c>
      <c r="AZ324" s="1039" t="s">
        <v>69</v>
      </c>
      <c r="BA324" s="1039" t="s">
        <v>69</v>
      </c>
      <c r="BB324" s="1039" t="s">
        <v>70</v>
      </c>
      <c r="BC324" s="1039" t="s">
        <v>69</v>
      </c>
      <c r="BD324" s="1039" t="s">
        <v>69</v>
      </c>
      <c r="BE324" s="1087"/>
      <c r="BF324" s="1087"/>
      <c r="BG324" s="1087"/>
      <c r="BH324" s="1087"/>
      <c r="BI324" s="1087"/>
      <c r="BJ324" s="1087"/>
      <c r="BK324" s="1087"/>
      <c r="BL324" s="1087"/>
    </row>
    <row r="325">
      <c r="A325" s="901"/>
      <c r="B325" s="1094" t="s">
        <v>1190</v>
      </c>
      <c r="C325" s="1095" t="s">
        <v>174</v>
      </c>
      <c r="D325" s="1086" t="s">
        <v>70</v>
      </c>
      <c r="E325" s="1086" t="s">
        <v>70</v>
      </c>
      <c r="F325" s="1086" t="s">
        <v>69</v>
      </c>
      <c r="G325" s="1086" t="s">
        <v>69</v>
      </c>
      <c r="H325" s="1086" t="s">
        <v>70</v>
      </c>
      <c r="I325" s="1086" t="s">
        <v>69</v>
      </c>
      <c r="J325" s="1086" t="s">
        <v>70</v>
      </c>
      <c r="K325" s="1086" t="s">
        <v>70</v>
      </c>
      <c r="L325" s="1086" t="s">
        <v>69</v>
      </c>
      <c r="M325" s="1086" t="s">
        <v>69</v>
      </c>
      <c r="N325" s="1086" t="s">
        <v>70</v>
      </c>
      <c r="O325" s="1086" t="s">
        <v>70</v>
      </c>
      <c r="P325" s="1086"/>
      <c r="Q325" s="1086" t="s">
        <v>69</v>
      </c>
      <c r="R325" s="1086" t="s">
        <v>70</v>
      </c>
      <c r="S325" s="1086" t="s">
        <v>70</v>
      </c>
      <c r="T325" s="1086" t="s">
        <v>70</v>
      </c>
      <c r="U325" s="1086" t="s">
        <v>69</v>
      </c>
      <c r="V325" s="1086" t="s">
        <v>69</v>
      </c>
      <c r="W325" s="1086" t="s">
        <v>70</v>
      </c>
      <c r="X325" s="1086" t="s">
        <v>70</v>
      </c>
      <c r="Y325" s="1086" t="s">
        <v>70</v>
      </c>
      <c r="Z325" s="1086" t="s">
        <v>69</v>
      </c>
      <c r="AA325" s="1086" t="s">
        <v>70</v>
      </c>
      <c r="AB325" s="1086" t="s">
        <v>69</v>
      </c>
      <c r="AC325" s="1086" t="s">
        <v>69</v>
      </c>
      <c r="AD325" s="1086" t="s">
        <v>70</v>
      </c>
      <c r="AE325" s="1086" t="s">
        <v>69</v>
      </c>
      <c r="AF325" s="1086" t="s">
        <v>70</v>
      </c>
      <c r="AG325" s="1086" t="s">
        <v>69</v>
      </c>
      <c r="AH325" s="1086" t="s">
        <v>69</v>
      </c>
      <c r="AI325" s="1086" t="s">
        <v>69</v>
      </c>
      <c r="AJ325" s="1086" t="s">
        <v>69</v>
      </c>
      <c r="AK325" s="1086" t="s">
        <v>69</v>
      </c>
      <c r="AL325" s="1086" t="s">
        <v>69</v>
      </c>
      <c r="AM325" s="1086" t="s">
        <v>70</v>
      </c>
      <c r="AN325" s="1086" t="s">
        <v>70</v>
      </c>
      <c r="AO325" s="1086" t="s">
        <v>69</v>
      </c>
      <c r="AP325" s="1086" t="s">
        <v>69</v>
      </c>
      <c r="AQ325" s="1086" t="s">
        <v>70</v>
      </c>
      <c r="AR325" s="1086" t="s">
        <v>70</v>
      </c>
      <c r="AS325" s="1086" t="s">
        <v>69</v>
      </c>
      <c r="AT325" s="1086" t="s">
        <v>69</v>
      </c>
      <c r="AU325" s="1086" t="s">
        <v>69</v>
      </c>
      <c r="AV325" s="1086" t="s">
        <v>69</v>
      </c>
      <c r="AW325" s="1086" t="s">
        <v>70</v>
      </c>
      <c r="AX325" s="1086" t="s">
        <v>70</v>
      </c>
      <c r="AY325" s="1086" t="s">
        <v>70</v>
      </c>
      <c r="AZ325" s="1086" t="s">
        <v>70</v>
      </c>
      <c r="BA325" s="1086" t="s">
        <v>70</v>
      </c>
      <c r="BB325" s="1086" t="s">
        <v>69</v>
      </c>
      <c r="BC325" s="1086" t="s">
        <v>70</v>
      </c>
      <c r="BD325" s="1086" t="s">
        <v>69</v>
      </c>
      <c r="BE325" s="1096"/>
      <c r="BF325" s="1096"/>
      <c r="BG325" s="1096"/>
      <c r="BH325" s="1096"/>
      <c r="BI325" s="1096"/>
      <c r="BJ325" s="1096"/>
      <c r="BK325" s="1096"/>
      <c r="BL325" s="1096"/>
    </row>
    <row r="326">
      <c r="A326" s="901"/>
      <c r="B326" s="1097" t="s">
        <v>51</v>
      </c>
      <c r="C326" s="1097" t="s">
        <v>174</v>
      </c>
      <c r="D326" s="1086" t="s">
        <v>70</v>
      </c>
      <c r="E326" s="1086" t="s">
        <v>70</v>
      </c>
      <c r="F326" s="1086" t="s">
        <v>69</v>
      </c>
      <c r="G326" s="1086" t="s">
        <v>69</v>
      </c>
      <c r="H326" s="1086" t="s">
        <v>70</v>
      </c>
      <c r="I326" s="1086" t="s">
        <v>69</v>
      </c>
      <c r="J326" s="1086" t="s">
        <v>70</v>
      </c>
      <c r="K326" s="1086" t="s">
        <v>70</v>
      </c>
      <c r="L326" s="1086" t="s">
        <v>69</v>
      </c>
      <c r="M326" s="1086" t="s">
        <v>69</v>
      </c>
      <c r="N326" s="1086" t="s">
        <v>70</v>
      </c>
      <c r="O326" s="1086" t="s">
        <v>70</v>
      </c>
      <c r="P326" s="1086"/>
      <c r="Q326" s="1086" t="s">
        <v>69</v>
      </c>
      <c r="R326" s="1086" t="s">
        <v>70</v>
      </c>
      <c r="S326" s="1086" t="s">
        <v>70</v>
      </c>
      <c r="T326" s="1086" t="s">
        <v>70</v>
      </c>
      <c r="U326" s="1086" t="s">
        <v>69</v>
      </c>
      <c r="V326" s="1086" t="s">
        <v>69</v>
      </c>
      <c r="W326" s="1086" t="s">
        <v>70</v>
      </c>
      <c r="X326" s="1086" t="s">
        <v>70</v>
      </c>
      <c r="Y326" s="1086" t="s">
        <v>70</v>
      </c>
      <c r="Z326" s="1086" t="s">
        <v>69</v>
      </c>
      <c r="AA326" s="1086" t="s">
        <v>70</v>
      </c>
      <c r="AB326" s="1086" t="s">
        <v>69</v>
      </c>
      <c r="AC326" s="1086" t="s">
        <v>69</v>
      </c>
      <c r="AD326" s="1086" t="s">
        <v>70</v>
      </c>
      <c r="AE326" s="1086" t="s">
        <v>69</v>
      </c>
      <c r="AF326" s="1086" t="s">
        <v>70</v>
      </c>
      <c r="AG326" s="1086" t="s">
        <v>69</v>
      </c>
      <c r="AH326" s="1086" t="s">
        <v>69</v>
      </c>
      <c r="AI326" s="1086" t="s">
        <v>69</v>
      </c>
      <c r="AJ326" s="1086" t="s">
        <v>69</v>
      </c>
      <c r="AK326" s="1086" t="s">
        <v>69</v>
      </c>
      <c r="AL326" s="1086" t="s">
        <v>69</v>
      </c>
      <c r="AM326" s="1086" t="s">
        <v>70</v>
      </c>
      <c r="AN326" s="1086" t="s">
        <v>70</v>
      </c>
      <c r="AO326" s="1086" t="s">
        <v>69</v>
      </c>
      <c r="AP326" s="1086" t="s">
        <v>69</v>
      </c>
      <c r="AQ326" s="1086" t="s">
        <v>70</v>
      </c>
      <c r="AR326" s="1086" t="s">
        <v>70</v>
      </c>
      <c r="AS326" s="1086" t="s">
        <v>69</v>
      </c>
      <c r="AT326" s="1086" t="s">
        <v>69</v>
      </c>
      <c r="AU326" s="1086" t="s">
        <v>69</v>
      </c>
      <c r="AV326" s="1086" t="s">
        <v>69</v>
      </c>
      <c r="AW326" s="1086" t="s">
        <v>70</v>
      </c>
      <c r="AX326" s="1086" t="s">
        <v>70</v>
      </c>
      <c r="AY326" s="1086" t="s">
        <v>70</v>
      </c>
      <c r="AZ326" s="1086" t="s">
        <v>70</v>
      </c>
      <c r="BA326" s="1086" t="s">
        <v>70</v>
      </c>
      <c r="BB326" s="1086" t="s">
        <v>69</v>
      </c>
      <c r="BC326" s="1086" t="s">
        <v>70</v>
      </c>
      <c r="BD326" s="1086" t="s">
        <v>69</v>
      </c>
      <c r="BE326" s="1096"/>
      <c r="BF326" s="1096"/>
      <c r="BG326" s="1096"/>
      <c r="BH326" s="1096"/>
      <c r="BI326" s="1096"/>
      <c r="BJ326" s="1096"/>
      <c r="BK326" s="1096"/>
      <c r="BL326" s="1096"/>
    </row>
    <row r="327">
      <c r="A327" s="901"/>
      <c r="B327" s="1097" t="s">
        <v>55</v>
      </c>
      <c r="C327" s="1097" t="s">
        <v>174</v>
      </c>
      <c r="D327" s="1086" t="s">
        <v>70</v>
      </c>
      <c r="E327" s="1086" t="s">
        <v>70</v>
      </c>
      <c r="F327" s="1086" t="s">
        <v>69</v>
      </c>
      <c r="G327" s="1086" t="s">
        <v>69</v>
      </c>
      <c r="H327" s="1086" t="s">
        <v>70</v>
      </c>
      <c r="I327" s="1086" t="s">
        <v>69</v>
      </c>
      <c r="J327" s="1086" t="s">
        <v>70</v>
      </c>
      <c r="K327" s="1086" t="s">
        <v>70</v>
      </c>
      <c r="L327" s="1086" t="s">
        <v>69</v>
      </c>
      <c r="M327" s="1086" t="s">
        <v>69</v>
      </c>
      <c r="N327" s="1086" t="s">
        <v>70</v>
      </c>
      <c r="O327" s="1086" t="s">
        <v>70</v>
      </c>
      <c r="P327" s="1086"/>
      <c r="Q327" s="1086" t="s">
        <v>69</v>
      </c>
      <c r="R327" s="1086" t="s">
        <v>70</v>
      </c>
      <c r="S327" s="1086" t="s">
        <v>69</v>
      </c>
      <c r="T327" s="1086" t="s">
        <v>70</v>
      </c>
      <c r="U327" s="1086" t="s">
        <v>69</v>
      </c>
      <c r="V327" s="1086" t="s">
        <v>69</v>
      </c>
      <c r="W327" s="1086" t="s">
        <v>70</v>
      </c>
      <c r="X327" s="1086" t="s">
        <v>70</v>
      </c>
      <c r="Y327" s="1086" t="s">
        <v>70</v>
      </c>
      <c r="Z327" s="1086" t="s">
        <v>69</v>
      </c>
      <c r="AA327" s="1086" t="s">
        <v>70</v>
      </c>
      <c r="AB327" s="1086" t="s">
        <v>69</v>
      </c>
      <c r="AC327" s="1086" t="s">
        <v>69</v>
      </c>
      <c r="AD327" s="1086" t="s">
        <v>70</v>
      </c>
      <c r="AE327" s="1086" t="s">
        <v>69</v>
      </c>
      <c r="AF327" s="1086" t="s">
        <v>70</v>
      </c>
      <c r="AG327" s="1086" t="s">
        <v>69</v>
      </c>
      <c r="AH327" s="1086" t="s">
        <v>69</v>
      </c>
      <c r="AI327" s="1086" t="s">
        <v>69</v>
      </c>
      <c r="AJ327" s="1086" t="s">
        <v>69</v>
      </c>
      <c r="AK327" s="1086" t="s">
        <v>69</v>
      </c>
      <c r="AL327" s="1086" t="s">
        <v>69</v>
      </c>
      <c r="AM327" s="1086" t="s">
        <v>70</v>
      </c>
      <c r="AN327" s="1086" t="s">
        <v>70</v>
      </c>
      <c r="AO327" s="1086" t="s">
        <v>69</v>
      </c>
      <c r="AP327" s="1086" t="s">
        <v>69</v>
      </c>
      <c r="AQ327" s="1086" t="s">
        <v>70</v>
      </c>
      <c r="AR327" s="1086" t="s">
        <v>70</v>
      </c>
      <c r="AS327" s="1086" t="s">
        <v>69</v>
      </c>
      <c r="AT327" s="1086" t="s">
        <v>69</v>
      </c>
      <c r="AU327" s="1086" t="s">
        <v>69</v>
      </c>
      <c r="AV327" s="1086" t="s">
        <v>69</v>
      </c>
      <c r="AW327" s="1086" t="s">
        <v>70</v>
      </c>
      <c r="AX327" s="1086" t="s">
        <v>70</v>
      </c>
      <c r="AY327" s="1086" t="s">
        <v>70</v>
      </c>
      <c r="AZ327" s="1086" t="s">
        <v>70</v>
      </c>
      <c r="BA327" s="1086" t="s">
        <v>70</v>
      </c>
      <c r="BB327" s="1086" t="s">
        <v>69</v>
      </c>
      <c r="BC327" s="1086" t="s">
        <v>70</v>
      </c>
      <c r="BD327" s="1086" t="s">
        <v>69</v>
      </c>
      <c r="BE327" s="1096"/>
      <c r="BF327" s="1096"/>
      <c r="BG327" s="1096"/>
      <c r="BH327" s="1096"/>
      <c r="BI327" s="1096"/>
      <c r="BJ327" s="1096"/>
      <c r="BK327" s="1096"/>
      <c r="BL327" s="1096"/>
    </row>
    <row r="328">
      <c r="A328" s="1085" t="s">
        <v>1237</v>
      </c>
      <c r="B328" s="1098" t="s">
        <v>1260</v>
      </c>
      <c r="C328" s="1099" t="s">
        <v>21</v>
      </c>
      <c r="D328" s="1086" t="s">
        <v>70</v>
      </c>
      <c r="E328" s="1086" t="s">
        <v>70</v>
      </c>
      <c r="F328" s="1086" t="s">
        <v>69</v>
      </c>
      <c r="G328" s="1086" t="s">
        <v>69</v>
      </c>
      <c r="H328" s="1086" t="s">
        <v>70</v>
      </c>
      <c r="I328" s="1086" t="s">
        <v>69</v>
      </c>
      <c r="J328" s="1086" t="s">
        <v>70</v>
      </c>
      <c r="K328" s="1086" t="s">
        <v>70</v>
      </c>
      <c r="L328" s="1086" t="s">
        <v>70</v>
      </c>
      <c r="M328" s="1086" t="s">
        <v>70</v>
      </c>
      <c r="N328" s="1086" t="s">
        <v>70</v>
      </c>
      <c r="O328" s="1086" t="s">
        <v>70</v>
      </c>
      <c r="P328" s="1086"/>
      <c r="Q328" s="1086" t="s">
        <v>70</v>
      </c>
      <c r="R328" s="1086" t="s">
        <v>70</v>
      </c>
      <c r="S328" s="1086" t="s">
        <v>70</v>
      </c>
      <c r="T328" s="1086" t="s">
        <v>70</v>
      </c>
      <c r="U328" s="1086" t="s">
        <v>70</v>
      </c>
      <c r="V328" s="1086" t="s">
        <v>69</v>
      </c>
      <c r="W328" s="1086" t="s">
        <v>70</v>
      </c>
      <c r="X328" s="1086" t="s">
        <v>69</v>
      </c>
      <c r="Y328" s="1086" t="s">
        <v>69</v>
      </c>
      <c r="Z328" s="1086" t="s">
        <v>69</v>
      </c>
      <c r="AA328" s="1086" t="s">
        <v>100</v>
      </c>
      <c r="AB328" s="1086" t="s">
        <v>100</v>
      </c>
      <c r="AC328" s="1086" t="s">
        <v>100</v>
      </c>
      <c r="AD328" s="1086" t="s">
        <v>100</v>
      </c>
      <c r="AE328" s="1086" t="s">
        <v>100</v>
      </c>
      <c r="AF328" s="1086" t="s">
        <v>100</v>
      </c>
      <c r="AG328" s="1086" t="s">
        <v>100</v>
      </c>
      <c r="AH328" s="1086" t="s">
        <v>100</v>
      </c>
      <c r="AI328" s="1086" t="s">
        <v>100</v>
      </c>
      <c r="AJ328" s="1086" t="s">
        <v>100</v>
      </c>
      <c r="AK328" s="1086" t="s">
        <v>100</v>
      </c>
      <c r="AL328" s="1086" t="s">
        <v>100</v>
      </c>
      <c r="AM328" s="1086" t="s">
        <v>69</v>
      </c>
      <c r="AN328" s="1086" t="s">
        <v>69</v>
      </c>
      <c r="AO328" s="1086" t="s">
        <v>69</v>
      </c>
      <c r="AP328" s="1086" t="s">
        <v>69</v>
      </c>
      <c r="AQ328" s="1086" t="s">
        <v>69</v>
      </c>
      <c r="AR328" s="1086" t="s">
        <v>69</v>
      </c>
      <c r="AS328" s="1086" t="s">
        <v>70</v>
      </c>
      <c r="AT328" s="1086" t="s">
        <v>70</v>
      </c>
      <c r="AU328" s="1086" t="s">
        <v>70</v>
      </c>
      <c r="AV328" s="1086" t="s">
        <v>70</v>
      </c>
      <c r="AW328" s="1086" t="s">
        <v>70</v>
      </c>
      <c r="AX328" s="1086" t="s">
        <v>70</v>
      </c>
      <c r="AY328" s="1086" t="s">
        <v>69</v>
      </c>
      <c r="AZ328" s="1039" t="s">
        <v>70</v>
      </c>
      <c r="BA328" s="1039" t="s">
        <v>70</v>
      </c>
      <c r="BB328" s="1039" t="s">
        <v>70</v>
      </c>
      <c r="BC328" s="1039" t="s">
        <v>70</v>
      </c>
      <c r="BD328" s="1039" t="s">
        <v>69</v>
      </c>
      <c r="BE328" s="1087"/>
      <c r="BF328" s="1087"/>
      <c r="BG328" s="1087"/>
      <c r="BH328" s="1087"/>
      <c r="BI328" s="1087"/>
      <c r="BJ328" s="1087"/>
      <c r="BK328" s="1087"/>
      <c r="BL328" s="1087"/>
    </row>
    <row r="329">
      <c r="A329" s="901"/>
      <c r="B329" s="1100" t="s">
        <v>1261</v>
      </c>
      <c r="C329" s="1100" t="s">
        <v>21</v>
      </c>
      <c r="D329" s="1086" t="s">
        <v>70</v>
      </c>
      <c r="E329" s="1086" t="s">
        <v>70</v>
      </c>
      <c r="F329" s="1086" t="s">
        <v>69</v>
      </c>
      <c r="G329" s="1086" t="s">
        <v>69</v>
      </c>
      <c r="H329" s="1086" t="s">
        <v>70</v>
      </c>
      <c r="I329" s="1086" t="s">
        <v>69</v>
      </c>
      <c r="J329" s="1086" t="s">
        <v>70</v>
      </c>
      <c r="K329" s="1086" t="s">
        <v>70</v>
      </c>
      <c r="L329" s="1086" t="s">
        <v>70</v>
      </c>
      <c r="M329" s="1086" t="s">
        <v>70</v>
      </c>
      <c r="N329" s="1086" t="s">
        <v>70</v>
      </c>
      <c r="O329" s="1086" t="s">
        <v>70</v>
      </c>
      <c r="P329" s="1086"/>
      <c r="Q329" s="1086" t="s">
        <v>70</v>
      </c>
      <c r="R329" s="1086" t="s">
        <v>70</v>
      </c>
      <c r="S329" s="1086" t="s">
        <v>69</v>
      </c>
      <c r="T329" s="1086" t="s">
        <v>70</v>
      </c>
      <c r="U329" s="1086" t="s">
        <v>70</v>
      </c>
      <c r="V329" s="1086" t="s">
        <v>69</v>
      </c>
      <c r="W329" s="1086" t="s">
        <v>70</v>
      </c>
      <c r="X329" s="1086" t="s">
        <v>69</v>
      </c>
      <c r="Y329" s="1086" t="s">
        <v>69</v>
      </c>
      <c r="Z329" s="1086" t="s">
        <v>69</v>
      </c>
      <c r="AA329" s="1086" t="s">
        <v>70</v>
      </c>
      <c r="AB329" s="1086" t="s">
        <v>69</v>
      </c>
      <c r="AC329" s="1086" t="s">
        <v>70</v>
      </c>
      <c r="AD329" s="1086" t="s">
        <v>99</v>
      </c>
      <c r="AE329" s="1086" t="s">
        <v>69</v>
      </c>
      <c r="AF329" s="1086" t="s">
        <v>99</v>
      </c>
      <c r="AG329" s="1086" t="s">
        <v>99</v>
      </c>
      <c r="AH329" s="1086" t="s">
        <v>69</v>
      </c>
      <c r="AI329" s="1086" t="s">
        <v>69</v>
      </c>
      <c r="AJ329" s="1086" t="s">
        <v>70</v>
      </c>
      <c r="AK329" s="1086" t="s">
        <v>70</v>
      </c>
      <c r="AL329" s="1086" t="s">
        <v>70</v>
      </c>
      <c r="AM329" s="1086" t="s">
        <v>100</v>
      </c>
      <c r="AN329" s="1086" t="s">
        <v>100</v>
      </c>
      <c r="AO329" s="1086" t="s">
        <v>100</v>
      </c>
      <c r="AP329" s="1086" t="s">
        <v>100</v>
      </c>
      <c r="AQ329" s="1086" t="s">
        <v>69</v>
      </c>
      <c r="AR329" s="1086" t="s">
        <v>69</v>
      </c>
      <c r="AS329" s="1086" t="s">
        <v>70</v>
      </c>
      <c r="AT329" s="1086" t="s">
        <v>70</v>
      </c>
      <c r="AU329" s="1086" t="s">
        <v>70</v>
      </c>
      <c r="AV329" s="1086" t="s">
        <v>70</v>
      </c>
      <c r="AW329" s="1086" t="s">
        <v>69</v>
      </c>
      <c r="AX329" s="1086" t="s">
        <v>70</v>
      </c>
      <c r="AY329" s="1086" t="s">
        <v>69</v>
      </c>
      <c r="AZ329" s="1039" t="s">
        <v>69</v>
      </c>
      <c r="BA329" s="1039" t="s">
        <v>69</v>
      </c>
      <c r="BB329" s="1039" t="s">
        <v>70</v>
      </c>
      <c r="BC329" s="1039" t="s">
        <v>69</v>
      </c>
      <c r="BD329" s="1039" t="s">
        <v>69</v>
      </c>
      <c r="BE329" s="1087"/>
      <c r="BF329" s="1087"/>
      <c r="BG329" s="1087"/>
      <c r="BH329" s="1087"/>
      <c r="BI329" s="1087"/>
      <c r="BJ329" s="1087"/>
      <c r="BK329" s="1087"/>
      <c r="BL329" s="1087"/>
    </row>
    <row r="330">
      <c r="A330" s="901"/>
      <c r="B330" s="1100" t="s">
        <v>1262</v>
      </c>
      <c r="C330" s="1100" t="s">
        <v>21</v>
      </c>
      <c r="D330" s="1086" t="s">
        <v>70</v>
      </c>
      <c r="E330" s="1086" t="s">
        <v>70</v>
      </c>
      <c r="F330" s="1086" t="s">
        <v>69</v>
      </c>
      <c r="G330" s="1086" t="s">
        <v>69</v>
      </c>
      <c r="H330" s="1086" t="s">
        <v>70</v>
      </c>
      <c r="I330" s="1086" t="s">
        <v>69</v>
      </c>
      <c r="J330" s="1086" t="s">
        <v>70</v>
      </c>
      <c r="K330" s="1086" t="s">
        <v>70</v>
      </c>
      <c r="L330" s="1086" t="s">
        <v>70</v>
      </c>
      <c r="M330" s="1086" t="s">
        <v>70</v>
      </c>
      <c r="N330" s="1086" t="s">
        <v>70</v>
      </c>
      <c r="O330" s="1086" t="s">
        <v>70</v>
      </c>
      <c r="P330" s="1086"/>
      <c r="Q330" s="1086" t="s">
        <v>70</v>
      </c>
      <c r="R330" s="1086" t="s">
        <v>70</v>
      </c>
      <c r="S330" s="1086" t="s">
        <v>69</v>
      </c>
      <c r="T330" s="1086" t="s">
        <v>99</v>
      </c>
      <c r="U330" s="1086" t="s">
        <v>70</v>
      </c>
      <c r="V330" s="1086" t="s">
        <v>69</v>
      </c>
      <c r="W330" s="1086" t="s">
        <v>70</v>
      </c>
      <c r="X330" s="1086" t="s">
        <v>69</v>
      </c>
      <c r="Y330" s="1086" t="s">
        <v>69</v>
      </c>
      <c r="Z330" s="1086" t="s">
        <v>69</v>
      </c>
      <c r="AA330" s="1086" t="s">
        <v>70</v>
      </c>
      <c r="AB330" s="1086" t="s">
        <v>69</v>
      </c>
      <c r="AC330" s="1086" t="s">
        <v>70</v>
      </c>
      <c r="AD330" s="1086" t="s">
        <v>99</v>
      </c>
      <c r="AE330" s="1086" t="s">
        <v>69</v>
      </c>
      <c r="AF330" s="1086" t="s">
        <v>99</v>
      </c>
      <c r="AG330" s="1086" t="s">
        <v>99</v>
      </c>
      <c r="AH330" s="1086" t="s">
        <v>69</v>
      </c>
      <c r="AI330" s="1086" t="s">
        <v>69</v>
      </c>
      <c r="AJ330" s="1086" t="s">
        <v>70</v>
      </c>
      <c r="AK330" s="1086" t="s">
        <v>70</v>
      </c>
      <c r="AL330" s="1086" t="s">
        <v>70</v>
      </c>
      <c r="AM330" s="1086" t="s">
        <v>69</v>
      </c>
      <c r="AN330" s="1086" t="s">
        <v>69</v>
      </c>
      <c r="AO330" s="1086" t="s">
        <v>69</v>
      </c>
      <c r="AP330" s="1086" t="s">
        <v>70</v>
      </c>
      <c r="AQ330" s="1086" t="s">
        <v>69</v>
      </c>
      <c r="AR330" s="1086" t="s">
        <v>69</v>
      </c>
      <c r="AS330" s="1086" t="s">
        <v>70</v>
      </c>
      <c r="AT330" s="1086" t="s">
        <v>70</v>
      </c>
      <c r="AU330" s="1086" t="s">
        <v>70</v>
      </c>
      <c r="AV330" s="1086" t="s">
        <v>70</v>
      </c>
      <c r="AW330" s="1086" t="s">
        <v>70</v>
      </c>
      <c r="AX330" s="1086" t="s">
        <v>70</v>
      </c>
      <c r="AY330" s="1086" t="s">
        <v>69</v>
      </c>
      <c r="AZ330" s="1039" t="s">
        <v>70</v>
      </c>
      <c r="BA330" s="1039" t="s">
        <v>70</v>
      </c>
      <c r="BB330" s="1039" t="s">
        <v>70</v>
      </c>
      <c r="BC330" s="1039" t="s">
        <v>70</v>
      </c>
      <c r="BD330" s="1039" t="s">
        <v>69</v>
      </c>
      <c r="BE330" s="1087"/>
      <c r="BF330" s="1087"/>
      <c r="BG330" s="1087"/>
      <c r="BH330" s="1087"/>
      <c r="BI330" s="1087"/>
      <c r="BJ330" s="1087"/>
      <c r="BK330" s="1087"/>
      <c r="BL330" s="1087"/>
    </row>
    <row r="331">
      <c r="A331" s="901"/>
      <c r="B331" s="1100" t="s">
        <v>132</v>
      </c>
      <c r="C331" s="1100" t="s">
        <v>21</v>
      </c>
      <c r="D331" s="1086" t="s">
        <v>70</v>
      </c>
      <c r="E331" s="1086" t="s">
        <v>99</v>
      </c>
      <c r="F331" s="1086" t="s">
        <v>69</v>
      </c>
      <c r="G331" s="1086" t="s">
        <v>69</v>
      </c>
      <c r="H331" s="1086" t="s">
        <v>70</v>
      </c>
      <c r="I331" s="1086" t="s">
        <v>69</v>
      </c>
      <c r="J331" s="1086" t="s">
        <v>70</v>
      </c>
      <c r="K331" s="1086" t="s">
        <v>70</v>
      </c>
      <c r="L331" s="1086" t="s">
        <v>70</v>
      </c>
      <c r="M331" s="1086" t="s">
        <v>70</v>
      </c>
      <c r="N331" s="1086" t="s">
        <v>70</v>
      </c>
      <c r="O331" s="1086" t="s">
        <v>70</v>
      </c>
      <c r="P331" s="1086"/>
      <c r="Q331" s="1086" t="s">
        <v>70</v>
      </c>
      <c r="R331" s="1086" t="s">
        <v>70</v>
      </c>
      <c r="S331" s="1086" t="s">
        <v>69</v>
      </c>
      <c r="T331" s="1086" t="s">
        <v>70</v>
      </c>
      <c r="U331" s="1086" t="s">
        <v>70</v>
      </c>
      <c r="V331" s="1086" t="s">
        <v>69</v>
      </c>
      <c r="W331" s="1086" t="s">
        <v>70</v>
      </c>
      <c r="X331" s="1086" t="s">
        <v>69</v>
      </c>
      <c r="Y331" s="1086" t="s">
        <v>69</v>
      </c>
      <c r="Z331" s="1086" t="s">
        <v>69</v>
      </c>
      <c r="AA331" s="1086" t="s">
        <v>70</v>
      </c>
      <c r="AB331" s="1086" t="s">
        <v>69</v>
      </c>
      <c r="AC331" s="1086" t="s">
        <v>69</v>
      </c>
      <c r="AD331" s="1086" t="s">
        <v>99</v>
      </c>
      <c r="AE331" s="1086" t="s">
        <v>69</v>
      </c>
      <c r="AF331" s="1086" t="s">
        <v>99</v>
      </c>
      <c r="AG331" s="1086" t="s">
        <v>69</v>
      </c>
      <c r="AH331" s="1086" t="s">
        <v>69</v>
      </c>
      <c r="AI331" s="1086" t="s">
        <v>70</v>
      </c>
      <c r="AJ331" s="1086" t="s">
        <v>70</v>
      </c>
      <c r="AK331" s="1086" t="s">
        <v>70</v>
      </c>
      <c r="AL331" s="1086" t="s">
        <v>70</v>
      </c>
      <c r="AM331" s="1086" t="s">
        <v>69</v>
      </c>
      <c r="AN331" s="1086" t="s">
        <v>69</v>
      </c>
      <c r="AO331" s="1086" t="s">
        <v>69</v>
      </c>
      <c r="AP331" s="1086" t="s">
        <v>70</v>
      </c>
      <c r="AQ331" s="1086" t="s">
        <v>69</v>
      </c>
      <c r="AR331" s="1086" t="s">
        <v>69</v>
      </c>
      <c r="AS331" s="1086" t="s">
        <v>70</v>
      </c>
      <c r="AT331" s="1086" t="s">
        <v>70</v>
      </c>
      <c r="AU331" s="1086" t="s">
        <v>70</v>
      </c>
      <c r="AV331" s="1086" t="s">
        <v>70</v>
      </c>
      <c r="AW331" s="1086" t="s">
        <v>70</v>
      </c>
      <c r="AX331" s="1086" t="s">
        <v>70</v>
      </c>
      <c r="AY331" s="1086" t="s">
        <v>69</v>
      </c>
      <c r="AZ331" s="1039" t="s">
        <v>70</v>
      </c>
      <c r="BA331" s="1039" t="s">
        <v>70</v>
      </c>
      <c r="BB331" s="1039" t="s">
        <v>70</v>
      </c>
      <c r="BC331" s="1039" t="s">
        <v>70</v>
      </c>
      <c r="BD331" s="1039" t="s">
        <v>69</v>
      </c>
      <c r="BE331" s="1087"/>
      <c r="BF331" s="1087"/>
      <c r="BG331" s="1087"/>
      <c r="BH331" s="1087"/>
      <c r="BI331" s="1087"/>
      <c r="BJ331" s="1087"/>
      <c r="BK331" s="1087"/>
      <c r="BL331" s="1087"/>
    </row>
    <row r="332">
      <c r="A332" s="901"/>
      <c r="B332" s="1100" t="s">
        <v>1239</v>
      </c>
      <c r="C332" s="1100" t="s">
        <v>21</v>
      </c>
      <c r="D332" s="1086" t="s">
        <v>70</v>
      </c>
      <c r="E332" s="1086" t="s">
        <v>70</v>
      </c>
      <c r="F332" s="1086" t="s">
        <v>69</v>
      </c>
      <c r="G332" s="1086" t="s">
        <v>69</v>
      </c>
      <c r="H332" s="1086" t="s">
        <v>70</v>
      </c>
      <c r="I332" s="1086" t="s">
        <v>69</v>
      </c>
      <c r="J332" s="1086" t="s">
        <v>70</v>
      </c>
      <c r="K332" s="1086" t="s">
        <v>70</v>
      </c>
      <c r="L332" s="1086" t="s">
        <v>70</v>
      </c>
      <c r="M332" s="1086" t="s">
        <v>70</v>
      </c>
      <c r="N332" s="1086" t="s">
        <v>70</v>
      </c>
      <c r="O332" s="1086" t="s">
        <v>70</v>
      </c>
      <c r="P332" s="1086"/>
      <c r="Q332" s="1086" t="s">
        <v>70</v>
      </c>
      <c r="R332" s="1086" t="s">
        <v>70</v>
      </c>
      <c r="S332" s="1086" t="s">
        <v>69</v>
      </c>
      <c r="T332" s="1086" t="s">
        <v>70</v>
      </c>
      <c r="U332" s="1086" t="s">
        <v>70</v>
      </c>
      <c r="V332" s="1086" t="s">
        <v>69</v>
      </c>
      <c r="W332" s="1086" t="s">
        <v>70</v>
      </c>
      <c r="X332" s="1086" t="s">
        <v>69</v>
      </c>
      <c r="Y332" s="1086" t="s">
        <v>69</v>
      </c>
      <c r="Z332" s="1086" t="s">
        <v>69</v>
      </c>
      <c r="AA332" s="1086" t="s">
        <v>70</v>
      </c>
      <c r="AB332" s="1086" t="s">
        <v>69</v>
      </c>
      <c r="AC332" s="1086" t="s">
        <v>69</v>
      </c>
      <c r="AD332" s="1086" t="s">
        <v>69</v>
      </c>
      <c r="AE332" s="1086" t="s">
        <v>69</v>
      </c>
      <c r="AF332" s="1086" t="s">
        <v>70</v>
      </c>
      <c r="AG332" s="1086" t="s">
        <v>69</v>
      </c>
      <c r="AH332" s="1086" t="s">
        <v>69</v>
      </c>
      <c r="AI332" s="1086" t="s">
        <v>69</v>
      </c>
      <c r="AJ332" s="1086" t="s">
        <v>70</v>
      </c>
      <c r="AK332" s="1086" t="s">
        <v>70</v>
      </c>
      <c r="AL332" s="1086" t="s">
        <v>99</v>
      </c>
      <c r="AM332" s="1086" t="s">
        <v>69</v>
      </c>
      <c r="AN332" s="1086" t="s">
        <v>69</v>
      </c>
      <c r="AO332" s="1086" t="s">
        <v>69</v>
      </c>
      <c r="AP332" s="1086" t="s">
        <v>69</v>
      </c>
      <c r="AQ332" s="1086" t="s">
        <v>69</v>
      </c>
      <c r="AR332" s="1086" t="s">
        <v>69</v>
      </c>
      <c r="AS332" s="1086" t="s">
        <v>70</v>
      </c>
      <c r="AT332" s="1086" t="s">
        <v>70</v>
      </c>
      <c r="AU332" s="1086" t="s">
        <v>99</v>
      </c>
      <c r="AV332" s="1086" t="s">
        <v>70</v>
      </c>
      <c r="AW332" s="1086" t="s">
        <v>69</v>
      </c>
      <c r="AX332" s="1086" t="s">
        <v>70</v>
      </c>
      <c r="AY332" s="1086" t="s">
        <v>69</v>
      </c>
      <c r="AZ332" s="1039" t="s">
        <v>70</v>
      </c>
      <c r="BA332" s="1039" t="s">
        <v>70</v>
      </c>
      <c r="BB332" s="1039" t="s">
        <v>70</v>
      </c>
      <c r="BC332" s="1039" t="s">
        <v>70</v>
      </c>
      <c r="BD332" s="1039" t="s">
        <v>69</v>
      </c>
      <c r="BE332" s="1087"/>
      <c r="BF332" s="1087"/>
      <c r="BG332" s="1087"/>
      <c r="BH332" s="1087"/>
      <c r="BI332" s="1087"/>
      <c r="BJ332" s="1087"/>
      <c r="BK332" s="1087"/>
      <c r="BL332" s="1087"/>
    </row>
    <row r="333">
      <c r="A333" s="901"/>
      <c r="B333" s="1101" t="s">
        <v>67</v>
      </c>
      <c r="C333" s="1101" t="s">
        <v>107</v>
      </c>
      <c r="D333" s="1086" t="s">
        <v>69</v>
      </c>
      <c r="E333" s="1086" t="s">
        <v>69</v>
      </c>
      <c r="F333" s="1086" t="s">
        <v>69</v>
      </c>
      <c r="G333" s="1086" t="s">
        <v>69</v>
      </c>
      <c r="H333" s="973" t="s">
        <v>69</v>
      </c>
      <c r="I333" s="1102" t="s">
        <v>69</v>
      </c>
      <c r="J333" s="1010" t="s">
        <v>70</v>
      </c>
      <c r="K333" s="1010" t="s">
        <v>70</v>
      </c>
      <c r="L333" s="1010" t="s">
        <v>70</v>
      </c>
      <c r="M333" s="1010" t="s">
        <v>70</v>
      </c>
      <c r="N333" s="1010" t="s">
        <v>70</v>
      </c>
      <c r="O333" s="1010" t="s">
        <v>70</v>
      </c>
      <c r="P333" s="1010"/>
      <c r="Q333" s="1086" t="s">
        <v>70</v>
      </c>
      <c r="R333" s="1086" t="s">
        <v>70</v>
      </c>
      <c r="S333" s="1086" t="s">
        <v>69</v>
      </c>
      <c r="T333" s="1086" t="s">
        <v>70</v>
      </c>
      <c r="U333" s="1086" t="s">
        <v>99</v>
      </c>
      <c r="V333" s="1086" t="s">
        <v>69</v>
      </c>
      <c r="W333" s="1086" t="s">
        <v>69</v>
      </c>
      <c r="X333" s="1086" t="s">
        <v>69</v>
      </c>
      <c r="Y333" s="1086" t="s">
        <v>69</v>
      </c>
      <c r="Z333" s="1086" t="s">
        <v>1263</v>
      </c>
      <c r="AA333" s="1086" t="s">
        <v>69</v>
      </c>
      <c r="AB333" s="1086" t="s">
        <v>70</v>
      </c>
      <c r="AC333" s="1086" t="s">
        <v>69</v>
      </c>
      <c r="AD333" s="1086" t="s">
        <v>69</v>
      </c>
      <c r="AE333" s="1086" t="s">
        <v>69</v>
      </c>
      <c r="AF333" s="1086" t="s">
        <v>70</v>
      </c>
      <c r="AG333" s="1086" t="s">
        <v>70</v>
      </c>
      <c r="AH333" s="1086" t="s">
        <v>69</v>
      </c>
      <c r="AI333" s="1086" t="s">
        <v>69</v>
      </c>
      <c r="AJ333" s="1086" t="s">
        <v>69</v>
      </c>
      <c r="AK333" s="1086" t="s">
        <v>69</v>
      </c>
      <c r="AL333" s="1086" t="s">
        <v>69</v>
      </c>
      <c r="AM333" s="1086" t="s">
        <v>70</v>
      </c>
      <c r="AN333" s="1086" t="s">
        <v>69</v>
      </c>
      <c r="AO333" s="1086" t="s">
        <v>69</v>
      </c>
      <c r="AP333" s="1086" t="s">
        <v>70</v>
      </c>
      <c r="AQ333" s="1086" t="s">
        <v>69</v>
      </c>
      <c r="AR333" s="1086" t="s">
        <v>69</v>
      </c>
      <c r="AS333" s="1086" t="s">
        <v>69</v>
      </c>
      <c r="AT333" s="1086" t="s">
        <v>70</v>
      </c>
      <c r="AU333" s="1086" t="s">
        <v>100</v>
      </c>
      <c r="AV333" s="1086" t="s">
        <v>100</v>
      </c>
      <c r="AW333" s="1086" t="s">
        <v>100</v>
      </c>
      <c r="AX333" s="1086" t="s">
        <v>100</v>
      </c>
      <c r="AY333" s="1086" t="s">
        <v>100</v>
      </c>
      <c r="AZ333" s="1039" t="s">
        <v>69</v>
      </c>
      <c r="BA333" s="1039" t="s">
        <v>69</v>
      </c>
      <c r="BB333" s="1039" t="s">
        <v>70</v>
      </c>
      <c r="BC333" s="1039" t="s">
        <v>70</v>
      </c>
      <c r="BD333" s="1039" t="s">
        <v>69</v>
      </c>
      <c r="BE333" s="1087"/>
      <c r="BF333" s="1087"/>
      <c r="BG333" s="1087"/>
      <c r="BH333" s="1087"/>
      <c r="BI333" s="1087"/>
      <c r="BJ333" s="1087"/>
      <c r="BK333" s="1087"/>
      <c r="BL333" s="1087"/>
    </row>
    <row r="334">
      <c r="A334" s="901"/>
      <c r="B334" s="873" t="s">
        <v>1264</v>
      </c>
      <c r="C334" s="1103" t="s">
        <v>107</v>
      </c>
      <c r="D334" s="1086" t="s">
        <v>69</v>
      </c>
      <c r="E334" s="1086" t="s">
        <v>69</v>
      </c>
      <c r="F334" s="1086" t="s">
        <v>69</v>
      </c>
      <c r="G334" s="1086" t="s">
        <v>69</v>
      </c>
      <c r="H334" s="973" t="s">
        <v>69</v>
      </c>
      <c r="I334" s="1102" t="s">
        <v>69</v>
      </c>
      <c r="J334" s="1010" t="s">
        <v>70</v>
      </c>
      <c r="K334" s="1010" t="s">
        <v>70</v>
      </c>
      <c r="L334" s="1010" t="s">
        <v>70</v>
      </c>
      <c r="M334" s="1010" t="s">
        <v>70</v>
      </c>
      <c r="N334" s="1010" t="s">
        <v>70</v>
      </c>
      <c r="O334" s="1010" t="s">
        <v>70</v>
      </c>
      <c r="P334" s="1010"/>
      <c r="Q334" s="1086" t="s">
        <v>70</v>
      </c>
      <c r="R334" s="1086" t="s">
        <v>70</v>
      </c>
      <c r="S334" s="1086" t="s">
        <v>69</v>
      </c>
      <c r="T334" s="1086" t="s">
        <v>70</v>
      </c>
      <c r="U334" s="1086" t="s">
        <v>70</v>
      </c>
      <c r="V334" s="1086" t="s">
        <v>69</v>
      </c>
      <c r="W334" s="1086" t="s">
        <v>69</v>
      </c>
      <c r="X334" s="1086" t="s">
        <v>69</v>
      </c>
      <c r="Y334" s="1086" t="s">
        <v>69</v>
      </c>
      <c r="Z334" s="1086" t="s">
        <v>69</v>
      </c>
      <c r="AA334" s="1086" t="s">
        <v>69</v>
      </c>
      <c r="AB334" s="1086" t="s">
        <v>69</v>
      </c>
      <c r="AC334" s="1086" t="s">
        <v>69</v>
      </c>
      <c r="AD334" s="1086" t="s">
        <v>69</v>
      </c>
      <c r="AE334" s="1086" t="s">
        <v>69</v>
      </c>
      <c r="AF334" s="1086" t="s">
        <v>99</v>
      </c>
      <c r="AG334" s="1086" t="s">
        <v>99</v>
      </c>
      <c r="AH334" s="1086" t="s">
        <v>69</v>
      </c>
      <c r="AI334" s="1086" t="s">
        <v>69</v>
      </c>
      <c r="AJ334" s="1086" t="s">
        <v>69</v>
      </c>
      <c r="AK334" s="1086" t="s">
        <v>69</v>
      </c>
      <c r="AL334" s="1086" t="s">
        <v>69</v>
      </c>
      <c r="AM334" s="1086" t="s">
        <v>70</v>
      </c>
      <c r="AN334" s="1086" t="s">
        <v>69</v>
      </c>
      <c r="AO334" s="1086" t="s">
        <v>69</v>
      </c>
      <c r="AP334" s="1086" t="s">
        <v>70</v>
      </c>
      <c r="AQ334" s="1086" t="s">
        <v>69</v>
      </c>
      <c r="AR334" s="1086" t="s">
        <v>70</v>
      </c>
      <c r="AS334" s="1086" t="s">
        <v>69</v>
      </c>
      <c r="AT334" s="1086" t="s">
        <v>70</v>
      </c>
      <c r="AU334" s="1086" t="s">
        <v>69</v>
      </c>
      <c r="AV334" s="1086" t="s">
        <v>70</v>
      </c>
      <c r="AW334" s="1086" t="s">
        <v>69</v>
      </c>
      <c r="AX334" s="1086" t="s">
        <v>69</v>
      </c>
      <c r="AY334" s="1086" t="s">
        <v>69</v>
      </c>
      <c r="AZ334" s="1039" t="s">
        <v>69</v>
      </c>
      <c r="BA334" s="1039" t="s">
        <v>69</v>
      </c>
      <c r="BB334" s="1039" t="s">
        <v>70</v>
      </c>
      <c r="BC334" s="1039" t="s">
        <v>70</v>
      </c>
      <c r="BD334" s="1039" t="s">
        <v>69</v>
      </c>
      <c r="BE334" s="1087"/>
      <c r="BF334" s="1087"/>
      <c r="BG334" s="1087"/>
      <c r="BH334" s="1087"/>
      <c r="BI334" s="1087"/>
      <c r="BJ334" s="1087"/>
      <c r="BK334" s="1087"/>
      <c r="BL334" s="1087"/>
    </row>
    <row r="335">
      <c r="A335" s="901"/>
      <c r="B335" s="1104" t="s">
        <v>1246</v>
      </c>
      <c r="C335" s="1103" t="s">
        <v>107</v>
      </c>
      <c r="D335" s="1086" t="s">
        <v>69</v>
      </c>
      <c r="E335" s="1086" t="s">
        <v>69</v>
      </c>
      <c r="F335" s="1086" t="s">
        <v>69</v>
      </c>
      <c r="G335" s="1086" t="s">
        <v>69</v>
      </c>
      <c r="H335" s="1086" t="s">
        <v>69</v>
      </c>
      <c r="I335" s="1086" t="s">
        <v>70</v>
      </c>
      <c r="J335" s="1086" t="s">
        <v>70</v>
      </c>
      <c r="K335" s="1086" t="s">
        <v>70</v>
      </c>
      <c r="L335" s="1086" t="s">
        <v>70</v>
      </c>
      <c r="M335" s="1086" t="s">
        <v>70</v>
      </c>
      <c r="N335" s="1086" t="s">
        <v>70</v>
      </c>
      <c r="O335" s="1086" t="s">
        <v>70</v>
      </c>
      <c r="P335" s="1086"/>
      <c r="Q335" s="1086" t="s">
        <v>70</v>
      </c>
      <c r="R335" s="1086" t="s">
        <v>70</v>
      </c>
      <c r="S335" s="1086" t="s">
        <v>69</v>
      </c>
      <c r="T335" s="1086" t="s">
        <v>70</v>
      </c>
      <c r="U335" s="1086" t="s">
        <v>99</v>
      </c>
      <c r="V335" s="1086" t="s">
        <v>70</v>
      </c>
      <c r="W335" s="1086" t="s">
        <v>69</v>
      </c>
      <c r="X335" s="1086" t="s">
        <v>70</v>
      </c>
      <c r="Y335" s="1086" t="s">
        <v>69</v>
      </c>
      <c r="Z335" s="1086" t="s">
        <v>69</v>
      </c>
      <c r="AA335" s="1086" t="s">
        <v>69</v>
      </c>
      <c r="AB335" s="1086" t="s">
        <v>69</v>
      </c>
      <c r="AC335" s="1086" t="s">
        <v>70</v>
      </c>
      <c r="AD335" s="1086" t="s">
        <v>69</v>
      </c>
      <c r="AE335" s="1086" t="s">
        <v>69</v>
      </c>
      <c r="AF335" s="1086" t="s">
        <v>70</v>
      </c>
      <c r="AG335" s="1086" t="s">
        <v>69</v>
      </c>
      <c r="AH335" s="1086" t="s">
        <v>69</v>
      </c>
      <c r="AI335" s="1086" t="s">
        <v>69</v>
      </c>
      <c r="AJ335" s="1086" t="s">
        <v>69</v>
      </c>
      <c r="AK335" s="1086" t="s">
        <v>69</v>
      </c>
      <c r="AL335" s="1086" t="s">
        <v>69</v>
      </c>
      <c r="AM335" s="1086" t="s">
        <v>70</v>
      </c>
      <c r="AN335" s="1086" t="s">
        <v>69</v>
      </c>
      <c r="AO335" s="1086" t="s">
        <v>69</v>
      </c>
      <c r="AP335" s="1086" t="s">
        <v>70</v>
      </c>
      <c r="AQ335" s="1086" t="s">
        <v>69</v>
      </c>
      <c r="AR335" s="1086" t="s">
        <v>69</v>
      </c>
      <c r="AS335" s="1086" t="s">
        <v>69</v>
      </c>
      <c r="AT335" s="1086" t="s">
        <v>70</v>
      </c>
      <c r="AU335" s="1086" t="s">
        <v>69</v>
      </c>
      <c r="AV335" s="1086" t="s">
        <v>69</v>
      </c>
      <c r="AW335" s="1086" t="s">
        <v>69</v>
      </c>
      <c r="AX335" s="1086" t="s">
        <v>69</v>
      </c>
      <c r="AY335" s="1086" t="s">
        <v>69</v>
      </c>
      <c r="AZ335" s="1039" t="s">
        <v>69</v>
      </c>
      <c r="BA335" s="1039" t="s">
        <v>69</v>
      </c>
      <c r="BB335" s="1039" t="s">
        <v>70</v>
      </c>
      <c r="BC335" s="1039" t="s">
        <v>70</v>
      </c>
      <c r="BD335" s="1039" t="s">
        <v>69</v>
      </c>
      <c r="BE335" s="1087"/>
      <c r="BF335" s="1087"/>
      <c r="BG335" s="1087"/>
      <c r="BH335" s="1087"/>
      <c r="BI335" s="1087"/>
      <c r="BJ335" s="1087"/>
      <c r="BK335" s="1087"/>
      <c r="BL335" s="1087"/>
    </row>
    <row r="336">
      <c r="A336" s="901"/>
      <c r="B336" s="874" t="s">
        <v>1265</v>
      </c>
      <c r="C336" s="1103" t="s">
        <v>107</v>
      </c>
      <c r="D336" s="1065"/>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9"/>
      <c r="AA336" s="1086" t="s">
        <v>69</v>
      </c>
      <c r="AB336" s="1086" t="s">
        <v>70</v>
      </c>
      <c r="AC336" s="1086" t="s">
        <v>69</v>
      </c>
      <c r="AD336" s="1086" t="s">
        <v>69</v>
      </c>
      <c r="AE336" s="1086" t="s">
        <v>69</v>
      </c>
      <c r="AF336" s="1086" t="s">
        <v>99</v>
      </c>
      <c r="AG336" s="1086" t="s">
        <v>99</v>
      </c>
      <c r="AH336" s="1086" t="s">
        <v>69</v>
      </c>
      <c r="AI336" s="1086" t="s">
        <v>69</v>
      </c>
      <c r="AJ336" s="1086" t="s">
        <v>70</v>
      </c>
      <c r="AK336" s="1086" t="s">
        <v>70</v>
      </c>
      <c r="AL336" s="1086" t="s">
        <v>69</v>
      </c>
      <c r="AM336" s="1086" t="s">
        <v>99</v>
      </c>
      <c r="AN336" s="1086" t="s">
        <v>69</v>
      </c>
      <c r="AO336" s="1086" t="s">
        <v>69</v>
      </c>
      <c r="AP336" s="1086" t="s">
        <v>70</v>
      </c>
      <c r="AQ336" s="1086" t="s">
        <v>69</v>
      </c>
      <c r="AR336" s="1086" t="s">
        <v>69</v>
      </c>
      <c r="AS336" s="1086" t="s">
        <v>70</v>
      </c>
      <c r="AT336" s="1086" t="s">
        <v>70</v>
      </c>
      <c r="AU336" s="1086" t="s">
        <v>69</v>
      </c>
      <c r="AV336" s="1086" t="s">
        <v>70</v>
      </c>
      <c r="AW336" s="1086" t="s">
        <v>69</v>
      </c>
      <c r="AX336" s="1086" t="s">
        <v>69</v>
      </c>
      <c r="AY336" s="1086" t="s">
        <v>69</v>
      </c>
      <c r="AZ336" s="1039" t="s">
        <v>69</v>
      </c>
      <c r="BA336" s="1039" t="s">
        <v>69</v>
      </c>
      <c r="BB336" s="1039" t="s">
        <v>70</v>
      </c>
      <c r="BC336" s="1039" t="s">
        <v>70</v>
      </c>
      <c r="BD336" s="1039" t="s">
        <v>69</v>
      </c>
      <c r="BE336" s="1087"/>
      <c r="BF336" s="1087"/>
      <c r="BG336" s="1087"/>
      <c r="BH336" s="1087"/>
      <c r="BI336" s="1087"/>
      <c r="BJ336" s="1087"/>
      <c r="BK336" s="1087"/>
      <c r="BL336" s="1087"/>
    </row>
    <row r="337">
      <c r="A337" s="901"/>
      <c r="B337" s="874" t="s">
        <v>1232</v>
      </c>
      <c r="C337" s="1103" t="s">
        <v>107</v>
      </c>
      <c r="D337" s="1086" t="s">
        <v>69</v>
      </c>
      <c r="E337" s="1086" t="s">
        <v>69</v>
      </c>
      <c r="F337" s="1086" t="s">
        <v>70</v>
      </c>
      <c r="G337" s="1086" t="s">
        <v>69</v>
      </c>
      <c r="H337" s="1105" t="s">
        <v>70</v>
      </c>
      <c r="I337" s="1102" t="s">
        <v>69</v>
      </c>
      <c r="J337" s="1010" t="s">
        <v>70</v>
      </c>
      <c r="K337" s="1010" t="s">
        <v>70</v>
      </c>
      <c r="L337" s="1010" t="s">
        <v>70</v>
      </c>
      <c r="M337" s="1010" t="s">
        <v>70</v>
      </c>
      <c r="N337" s="1010" t="s">
        <v>70</v>
      </c>
      <c r="O337" s="1010" t="s">
        <v>70</v>
      </c>
      <c r="P337" s="1010"/>
      <c r="Q337" s="1086" t="s">
        <v>70</v>
      </c>
      <c r="R337" s="1086" t="s">
        <v>70</v>
      </c>
      <c r="S337" s="1086" t="s">
        <v>69</v>
      </c>
      <c r="T337" s="1086" t="s">
        <v>70</v>
      </c>
      <c r="U337" s="1086" t="s">
        <v>70</v>
      </c>
      <c r="V337" s="1086" t="s">
        <v>69</v>
      </c>
      <c r="W337" s="1086" t="s">
        <v>69</v>
      </c>
      <c r="X337" s="1086" t="s">
        <v>69</v>
      </c>
      <c r="Y337" s="1086" t="s">
        <v>69</v>
      </c>
      <c r="Z337" s="1086" t="s">
        <v>69</v>
      </c>
      <c r="AA337" s="1086" t="s">
        <v>69</v>
      </c>
      <c r="AB337" s="1086" t="s">
        <v>70</v>
      </c>
      <c r="AC337" s="1086" t="s">
        <v>69</v>
      </c>
      <c r="AD337" s="1086" t="s">
        <v>69</v>
      </c>
      <c r="AE337" s="1086" t="s">
        <v>69</v>
      </c>
      <c r="AF337" s="1086" t="s">
        <v>99</v>
      </c>
      <c r="AG337" s="1086" t="s">
        <v>99</v>
      </c>
      <c r="AH337" s="1086" t="s">
        <v>69</v>
      </c>
      <c r="AI337" s="1086" t="s">
        <v>69</v>
      </c>
      <c r="AJ337" s="1086" t="s">
        <v>69</v>
      </c>
      <c r="AK337" s="1086" t="s">
        <v>69</v>
      </c>
      <c r="AL337" s="1086" t="s">
        <v>69</v>
      </c>
      <c r="AM337" s="1086" t="s">
        <v>100</v>
      </c>
      <c r="AN337" s="1086" t="s">
        <v>100</v>
      </c>
      <c r="AO337" s="1086" t="s">
        <v>100</v>
      </c>
      <c r="AP337" s="1086" t="s">
        <v>100</v>
      </c>
      <c r="AQ337" s="1086" t="s">
        <v>69</v>
      </c>
      <c r="AR337" s="1086" t="s">
        <v>70</v>
      </c>
      <c r="AS337" s="1086" t="s">
        <v>69</v>
      </c>
      <c r="AT337" s="1086" t="s">
        <v>70</v>
      </c>
      <c r="AU337" s="1086" t="s">
        <v>69</v>
      </c>
      <c r="AV337" s="1086" t="s">
        <v>69</v>
      </c>
      <c r="AW337" s="1086" t="s">
        <v>69</v>
      </c>
      <c r="AX337" s="1086" t="s">
        <v>69</v>
      </c>
      <c r="AY337" s="1086" t="s">
        <v>69</v>
      </c>
      <c r="AZ337" s="1039" t="s">
        <v>69</v>
      </c>
      <c r="BA337" s="1039" t="s">
        <v>69</v>
      </c>
      <c r="BB337" s="1039" t="s">
        <v>70</v>
      </c>
      <c r="BC337" s="1039" t="s">
        <v>70</v>
      </c>
      <c r="BD337" s="1039" t="s">
        <v>69</v>
      </c>
      <c r="BE337" s="1087"/>
      <c r="BF337" s="1087"/>
      <c r="BG337" s="1087"/>
      <c r="BH337" s="1087"/>
      <c r="BI337" s="1087"/>
      <c r="BJ337" s="1087"/>
      <c r="BK337" s="1087"/>
      <c r="BL337" s="1087"/>
    </row>
    <row r="338">
      <c r="A338" s="901"/>
      <c r="B338" s="874" t="s">
        <v>1266</v>
      </c>
      <c r="C338" s="1103" t="s">
        <v>107</v>
      </c>
      <c r="D338" s="1086" t="s">
        <v>70</v>
      </c>
      <c r="E338" s="1086" t="s">
        <v>69</v>
      </c>
      <c r="F338" s="1086" t="s">
        <v>69</v>
      </c>
      <c r="G338" s="1086" t="s">
        <v>69</v>
      </c>
      <c r="H338" s="1105" t="s">
        <v>70</v>
      </c>
      <c r="I338" s="1102" t="s">
        <v>69</v>
      </c>
      <c r="J338" s="1010" t="s">
        <v>70</v>
      </c>
      <c r="K338" s="1010" t="s">
        <v>70</v>
      </c>
      <c r="L338" s="1010" t="s">
        <v>70</v>
      </c>
      <c r="M338" s="1010" t="s">
        <v>70</v>
      </c>
      <c r="N338" s="1010" t="s">
        <v>70</v>
      </c>
      <c r="O338" s="1010" t="s">
        <v>70</v>
      </c>
      <c r="P338" s="1010"/>
      <c r="Q338" s="1086" t="s">
        <v>70</v>
      </c>
      <c r="R338" s="1086" t="s">
        <v>70</v>
      </c>
      <c r="S338" s="1086" t="s">
        <v>69</v>
      </c>
      <c r="T338" s="1086" t="s">
        <v>69</v>
      </c>
      <c r="U338" s="1086" t="s">
        <v>70</v>
      </c>
      <c r="V338" s="1086" t="s">
        <v>69</v>
      </c>
      <c r="W338" s="1086" t="s">
        <v>70</v>
      </c>
      <c r="X338" s="1086" t="s">
        <v>69</v>
      </c>
      <c r="Y338" s="1086" t="s">
        <v>69</v>
      </c>
      <c r="Z338" s="1086" t="s">
        <v>69</v>
      </c>
      <c r="AA338" s="1086" t="s">
        <v>99</v>
      </c>
      <c r="AB338" s="1086" t="s">
        <v>70</v>
      </c>
      <c r="AC338" s="1086" t="s">
        <v>70</v>
      </c>
      <c r="AD338" s="1086" t="s">
        <v>69</v>
      </c>
      <c r="AE338" s="1086" t="s">
        <v>69</v>
      </c>
      <c r="AF338" s="1086" t="s">
        <v>99</v>
      </c>
      <c r="AG338" s="1086" t="s">
        <v>99</v>
      </c>
      <c r="AH338" s="1086" t="s">
        <v>69</v>
      </c>
      <c r="AI338" s="1086" t="s">
        <v>70</v>
      </c>
      <c r="AJ338" s="1086" t="s">
        <v>70</v>
      </c>
      <c r="AK338" s="1086" t="s">
        <v>70</v>
      </c>
      <c r="AL338" s="1086" t="s">
        <v>69</v>
      </c>
      <c r="AM338" s="1086" t="s">
        <v>70</v>
      </c>
      <c r="AN338" s="1086" t="s">
        <v>69</v>
      </c>
      <c r="AO338" s="1086" t="s">
        <v>69</v>
      </c>
      <c r="AP338" s="1086" t="s">
        <v>70</v>
      </c>
      <c r="AQ338" s="1086" t="s">
        <v>69</v>
      </c>
      <c r="AR338" s="1086" t="s">
        <v>69</v>
      </c>
      <c r="AS338" s="1086" t="s">
        <v>70</v>
      </c>
      <c r="AT338" s="1086" t="s">
        <v>70</v>
      </c>
      <c r="AU338" s="1086" t="s">
        <v>100</v>
      </c>
      <c r="AV338" s="1086" t="s">
        <v>100</v>
      </c>
      <c r="AW338" s="1086" t="s">
        <v>100</v>
      </c>
      <c r="AX338" s="1086" t="s">
        <v>100</v>
      </c>
      <c r="AY338" s="1086" t="s">
        <v>100</v>
      </c>
      <c r="AZ338" s="1039" t="s">
        <v>69</v>
      </c>
      <c r="BA338" s="1039" t="s">
        <v>69</v>
      </c>
      <c r="BB338" s="1039" t="s">
        <v>70</v>
      </c>
      <c r="BC338" s="1039" t="s">
        <v>70</v>
      </c>
      <c r="BD338" s="1039" t="s">
        <v>69</v>
      </c>
      <c r="BE338" s="1087"/>
      <c r="BF338" s="1087"/>
      <c r="BG338" s="1087"/>
      <c r="BH338" s="1087"/>
      <c r="BI338" s="1087"/>
      <c r="BJ338" s="1087"/>
      <c r="BK338" s="1087"/>
      <c r="BL338" s="1087"/>
    </row>
    <row r="339">
      <c r="A339" s="901"/>
      <c r="B339" s="1061" t="s">
        <v>1267</v>
      </c>
      <c r="C339" s="1106" t="s">
        <v>107</v>
      </c>
      <c r="D339" s="1086" t="s">
        <v>100</v>
      </c>
      <c r="E339" s="1086" t="s">
        <v>100</v>
      </c>
      <c r="F339" s="1086" t="s">
        <v>100</v>
      </c>
      <c r="G339" s="1086" t="s">
        <v>100</v>
      </c>
      <c r="H339" s="1086" t="s">
        <v>100</v>
      </c>
      <c r="I339" s="1086" t="s">
        <v>100</v>
      </c>
      <c r="J339" s="1086" t="s">
        <v>100</v>
      </c>
      <c r="K339" s="1086" t="s">
        <v>100</v>
      </c>
      <c r="L339" s="1086" t="s">
        <v>100</v>
      </c>
      <c r="M339" s="1086" t="s">
        <v>100</v>
      </c>
      <c r="N339" s="1086" t="s">
        <v>100</v>
      </c>
      <c r="O339" s="1086" t="s">
        <v>100</v>
      </c>
      <c r="P339" s="1086"/>
      <c r="Q339" s="1086" t="s">
        <v>100</v>
      </c>
      <c r="R339" s="1086" t="s">
        <v>100</v>
      </c>
      <c r="S339" s="1086" t="s">
        <v>100</v>
      </c>
      <c r="T339" s="1086" t="s">
        <v>100</v>
      </c>
      <c r="U339" s="1086" t="s">
        <v>100</v>
      </c>
      <c r="V339" s="1086" t="s">
        <v>100</v>
      </c>
      <c r="W339" s="1086" t="s">
        <v>100</v>
      </c>
      <c r="X339" s="1086" t="s">
        <v>100</v>
      </c>
      <c r="Y339" s="1086" t="s">
        <v>100</v>
      </c>
      <c r="Z339" s="1086" t="s">
        <v>100</v>
      </c>
      <c r="AA339" s="1076"/>
      <c r="AB339" s="1077"/>
      <c r="AC339" s="1077"/>
      <c r="AD339" s="1077"/>
      <c r="AE339" s="1077"/>
      <c r="AF339" s="1077"/>
      <c r="AG339" s="1077"/>
      <c r="AH339" s="1077"/>
      <c r="AI339" s="1077"/>
      <c r="AJ339" s="1077"/>
      <c r="AK339" s="1077"/>
      <c r="AL339" s="1077"/>
      <c r="AM339" s="1077"/>
      <c r="AN339" s="1077"/>
      <c r="AO339" s="1077"/>
      <c r="AP339" s="1077"/>
      <c r="AQ339" s="1077"/>
      <c r="AR339" s="1077"/>
      <c r="AS339" s="1077"/>
      <c r="AT339" s="1077"/>
      <c r="AU339" s="1077"/>
      <c r="AV339" s="1077"/>
      <c r="AW339" s="1077"/>
      <c r="AX339" s="1077"/>
      <c r="AY339" s="1077"/>
      <c r="AZ339" s="1077"/>
      <c r="BA339" s="1077"/>
      <c r="BB339" s="1077"/>
      <c r="BC339" s="1077"/>
      <c r="BD339" s="1107"/>
      <c r="BE339" s="1108"/>
      <c r="BF339" s="1108"/>
      <c r="BG339" s="1108"/>
      <c r="BH339" s="1108"/>
      <c r="BI339" s="1108"/>
      <c r="BJ339" s="1108"/>
      <c r="BK339" s="1108"/>
      <c r="BL339" s="1108"/>
    </row>
    <row r="340">
      <c r="A340" s="901"/>
      <c r="B340" s="1109" t="s">
        <v>1268</v>
      </c>
      <c r="C340" s="1110" t="s">
        <v>1269</v>
      </c>
      <c r="D340" s="1086" t="s">
        <v>70</v>
      </c>
      <c r="E340" s="1086" t="s">
        <v>70</v>
      </c>
      <c r="F340" s="1086" t="s">
        <v>69</v>
      </c>
      <c r="G340" s="1086" t="s">
        <v>69</v>
      </c>
      <c r="H340" s="1086" t="s">
        <v>70</v>
      </c>
      <c r="I340" s="1086" t="s">
        <v>70</v>
      </c>
      <c r="J340" s="1086" t="s">
        <v>69</v>
      </c>
      <c r="K340" s="1086" t="s">
        <v>69</v>
      </c>
      <c r="L340" s="1086" t="s">
        <v>69</v>
      </c>
      <c r="M340" s="1086" t="s">
        <v>70</v>
      </c>
      <c r="N340" s="1086" t="s">
        <v>69</v>
      </c>
      <c r="O340" s="1086" t="s">
        <v>69</v>
      </c>
      <c r="P340" s="1086"/>
      <c r="Q340" s="1086" t="s">
        <v>70</v>
      </c>
      <c r="R340" s="1086" t="s">
        <v>69</v>
      </c>
      <c r="S340" s="1086" t="s">
        <v>69</v>
      </c>
      <c r="T340" s="1086" t="s">
        <v>69</v>
      </c>
      <c r="U340" s="1108"/>
      <c r="BD340" s="1052"/>
      <c r="BE340" s="1108"/>
      <c r="BF340" s="1108"/>
      <c r="BG340" s="1108"/>
      <c r="BH340" s="1108"/>
      <c r="BI340" s="1108"/>
      <c r="BJ340" s="1108"/>
      <c r="BK340" s="1108"/>
      <c r="BL340" s="1108"/>
    </row>
    <row r="341">
      <c r="A341" s="1111" t="s">
        <v>68</v>
      </c>
      <c r="B341" s="900"/>
      <c r="D341" s="918"/>
      <c r="AM341" s="1082"/>
      <c r="AN341" s="1082"/>
      <c r="AO341" s="1082"/>
      <c r="AP341" s="1082"/>
      <c r="AQ341" s="1082"/>
      <c r="AR341" s="1082"/>
      <c r="AS341" s="1082"/>
      <c r="AT341" s="1082"/>
      <c r="AU341" s="1082"/>
      <c r="AV341" s="1082"/>
      <c r="AW341" s="1082"/>
      <c r="AX341" s="1082"/>
      <c r="AY341" s="1082"/>
      <c r="AZ341" s="1082"/>
      <c r="BA341" s="1082"/>
      <c r="BB341" s="1082"/>
      <c r="BC341" s="1082"/>
      <c r="BD341" s="1082"/>
      <c r="BE341" s="1082"/>
      <c r="BF341" s="1082"/>
      <c r="BG341" s="1082"/>
      <c r="BH341" s="1082"/>
      <c r="BI341" s="1082"/>
      <c r="BJ341" s="1082"/>
      <c r="BK341" s="1082"/>
      <c r="BL341" s="1082"/>
    </row>
    <row r="342">
      <c r="A342" s="901"/>
      <c r="B342" s="1112" t="s">
        <v>69</v>
      </c>
      <c r="D342" s="1113">
        <f t="shared" ref="D342:O342" si="104">COUNTIF(D314:D340,"Voor")</f>
        <v>7</v>
      </c>
      <c r="E342" s="1114">
        <f t="shared" si="104"/>
        <v>11</v>
      </c>
      <c r="F342" s="1114">
        <f t="shared" si="104"/>
        <v>22</v>
      </c>
      <c r="G342" s="1114">
        <f t="shared" si="104"/>
        <v>24</v>
      </c>
      <c r="H342" s="1114">
        <f t="shared" si="104"/>
        <v>6</v>
      </c>
      <c r="I342" s="1114">
        <f t="shared" si="104"/>
        <v>15</v>
      </c>
      <c r="J342" s="1114">
        <f t="shared" si="104"/>
        <v>1</v>
      </c>
      <c r="K342" s="1114">
        <f t="shared" si="104"/>
        <v>2</v>
      </c>
      <c r="L342" s="1114">
        <f t="shared" si="104"/>
        <v>13</v>
      </c>
      <c r="M342" s="1114">
        <f t="shared" si="104"/>
        <v>10</v>
      </c>
      <c r="N342" s="1114">
        <f t="shared" si="104"/>
        <v>1</v>
      </c>
      <c r="O342" s="1114">
        <f t="shared" si="104"/>
        <v>4</v>
      </c>
      <c r="P342" s="1114"/>
      <c r="Q342" s="1114">
        <f t="shared" ref="Q342:BD342" si="105">COUNTIF(Q314:Q340,"Voor")</f>
        <v>4</v>
      </c>
      <c r="R342" s="1114">
        <f t="shared" si="105"/>
        <v>3</v>
      </c>
      <c r="S342" s="1114">
        <f t="shared" si="105"/>
        <v>18</v>
      </c>
      <c r="T342" s="1114">
        <f t="shared" si="105"/>
        <v>7</v>
      </c>
      <c r="U342" s="1114">
        <f t="shared" si="105"/>
        <v>5</v>
      </c>
      <c r="V342" s="1114">
        <f t="shared" si="105"/>
        <v>20</v>
      </c>
      <c r="W342" s="1114">
        <f t="shared" si="105"/>
        <v>8</v>
      </c>
      <c r="X342" s="1114">
        <f t="shared" si="105"/>
        <v>10</v>
      </c>
      <c r="Y342" s="1114">
        <f t="shared" si="105"/>
        <v>13</v>
      </c>
      <c r="Z342" s="1114">
        <f t="shared" si="105"/>
        <v>20</v>
      </c>
      <c r="AA342" s="1114">
        <f t="shared" si="105"/>
        <v>11</v>
      </c>
      <c r="AB342" s="1114">
        <f t="shared" si="105"/>
        <v>13</v>
      </c>
      <c r="AC342" s="1114">
        <f t="shared" si="105"/>
        <v>18</v>
      </c>
      <c r="AD342" s="1114">
        <f t="shared" si="105"/>
        <v>12</v>
      </c>
      <c r="AE342" s="1114">
        <f t="shared" si="105"/>
        <v>20</v>
      </c>
      <c r="AF342" s="1114">
        <f t="shared" si="105"/>
        <v>4</v>
      </c>
      <c r="AG342" s="1114">
        <f t="shared" si="105"/>
        <v>11</v>
      </c>
      <c r="AH342" s="1114">
        <f t="shared" si="105"/>
        <v>18</v>
      </c>
      <c r="AI342" s="1114">
        <f t="shared" si="105"/>
        <v>20</v>
      </c>
      <c r="AJ342" s="1114">
        <f t="shared" si="105"/>
        <v>14</v>
      </c>
      <c r="AK342" s="1114">
        <f t="shared" si="105"/>
        <v>14</v>
      </c>
      <c r="AL342" s="1114">
        <f t="shared" si="105"/>
        <v>15</v>
      </c>
      <c r="AM342" s="1114">
        <f t="shared" si="105"/>
        <v>8</v>
      </c>
      <c r="AN342" s="1114">
        <f t="shared" si="105"/>
        <v>15</v>
      </c>
      <c r="AO342" s="1114">
        <f t="shared" si="105"/>
        <v>19</v>
      </c>
      <c r="AP342" s="1114">
        <f t="shared" si="105"/>
        <v>12</v>
      </c>
      <c r="AQ342" s="1114">
        <f t="shared" si="105"/>
        <v>20</v>
      </c>
      <c r="AR342" s="1114">
        <f t="shared" si="105"/>
        <v>13</v>
      </c>
      <c r="AS342" s="1114">
        <f t="shared" si="105"/>
        <v>12</v>
      </c>
      <c r="AT342" s="1114">
        <f t="shared" si="105"/>
        <v>5</v>
      </c>
      <c r="AU342" s="1114">
        <f t="shared" si="105"/>
        <v>16</v>
      </c>
      <c r="AV342" s="1114">
        <f t="shared" si="105"/>
        <v>10</v>
      </c>
      <c r="AW342" s="1114">
        <f t="shared" si="105"/>
        <v>8</v>
      </c>
      <c r="AX342" s="1114">
        <f t="shared" si="105"/>
        <v>7</v>
      </c>
      <c r="AY342" s="1114">
        <f t="shared" si="105"/>
        <v>15</v>
      </c>
      <c r="AZ342" s="1114">
        <f t="shared" si="105"/>
        <v>13</v>
      </c>
      <c r="BA342" s="1114">
        <f t="shared" si="105"/>
        <v>13</v>
      </c>
      <c r="BB342" s="1114">
        <f t="shared" si="105"/>
        <v>7</v>
      </c>
      <c r="BC342" s="1114">
        <f t="shared" si="105"/>
        <v>8</v>
      </c>
      <c r="BD342" s="1114">
        <f t="shared" si="105"/>
        <v>25</v>
      </c>
      <c r="BE342" s="1114"/>
      <c r="BF342" s="1114"/>
      <c r="BG342" s="1114"/>
      <c r="BH342" s="1114"/>
      <c r="BI342" s="1114"/>
      <c r="BJ342" s="1114"/>
      <c r="BK342" s="1114"/>
      <c r="BL342" s="1114"/>
    </row>
    <row r="343">
      <c r="A343" s="901"/>
      <c r="B343" s="1115" t="s">
        <v>70</v>
      </c>
      <c r="D343" s="1116">
        <f t="shared" ref="D343:O343" si="106">COUNTIF(D314:D340,"Tegen")</f>
        <v>17</v>
      </c>
      <c r="E343" s="1117">
        <f t="shared" si="106"/>
        <v>12</v>
      </c>
      <c r="F343" s="1117">
        <f t="shared" si="106"/>
        <v>2</v>
      </c>
      <c r="G343" s="1117">
        <f t="shared" si="106"/>
        <v>0</v>
      </c>
      <c r="H343" s="1117">
        <f t="shared" si="106"/>
        <v>17</v>
      </c>
      <c r="I343" s="1117">
        <f t="shared" si="106"/>
        <v>8</v>
      </c>
      <c r="J343" s="1117">
        <f t="shared" si="106"/>
        <v>22</v>
      </c>
      <c r="K343" s="1117">
        <f t="shared" si="106"/>
        <v>20</v>
      </c>
      <c r="L343" s="1117">
        <f t="shared" si="106"/>
        <v>10</v>
      </c>
      <c r="M343" s="1117">
        <f t="shared" si="106"/>
        <v>11</v>
      </c>
      <c r="N343" s="1117">
        <f t="shared" si="106"/>
        <v>21</v>
      </c>
      <c r="O343" s="1117">
        <f t="shared" si="106"/>
        <v>18</v>
      </c>
      <c r="P343" s="1117"/>
      <c r="Q343" s="1117">
        <f t="shared" ref="Q343:BD343" si="107">COUNTIF(Q314:Q340,"Tegen")</f>
        <v>19</v>
      </c>
      <c r="R343" s="1117">
        <f t="shared" si="107"/>
        <v>18</v>
      </c>
      <c r="S343" s="1117">
        <f t="shared" si="107"/>
        <v>3</v>
      </c>
      <c r="T343" s="1117">
        <f t="shared" si="107"/>
        <v>14</v>
      </c>
      <c r="U343" s="1117">
        <f t="shared" si="107"/>
        <v>13</v>
      </c>
      <c r="V343" s="1117">
        <f t="shared" si="107"/>
        <v>1</v>
      </c>
      <c r="W343" s="1117">
        <f t="shared" si="107"/>
        <v>12</v>
      </c>
      <c r="X343" s="1117">
        <f t="shared" si="107"/>
        <v>11</v>
      </c>
      <c r="Y343" s="1117">
        <f t="shared" si="107"/>
        <v>8</v>
      </c>
      <c r="Z343" s="1117">
        <f t="shared" si="107"/>
        <v>0</v>
      </c>
      <c r="AA343" s="1117">
        <f t="shared" si="107"/>
        <v>12</v>
      </c>
      <c r="AB343" s="1117">
        <f t="shared" si="107"/>
        <v>9</v>
      </c>
      <c r="AC343" s="1117">
        <f t="shared" si="107"/>
        <v>6</v>
      </c>
      <c r="AD343" s="1117">
        <f t="shared" si="107"/>
        <v>8</v>
      </c>
      <c r="AE343" s="1117">
        <f t="shared" si="107"/>
        <v>3</v>
      </c>
      <c r="AF343" s="1117">
        <f t="shared" si="107"/>
        <v>11</v>
      </c>
      <c r="AG343" s="1117">
        <f t="shared" si="107"/>
        <v>7</v>
      </c>
      <c r="AH343" s="1117">
        <f t="shared" si="107"/>
        <v>4</v>
      </c>
      <c r="AI343" s="1117">
        <f t="shared" si="107"/>
        <v>4</v>
      </c>
      <c r="AJ343" s="1117">
        <f t="shared" si="107"/>
        <v>10</v>
      </c>
      <c r="AK343" s="1117">
        <f t="shared" si="107"/>
        <v>10</v>
      </c>
      <c r="AL343" s="1117">
        <f t="shared" si="107"/>
        <v>7</v>
      </c>
      <c r="AM343" s="1117">
        <f t="shared" si="107"/>
        <v>10</v>
      </c>
      <c r="AN343" s="1117">
        <f t="shared" si="107"/>
        <v>4</v>
      </c>
      <c r="AO343" s="1117">
        <f t="shared" si="107"/>
        <v>1</v>
      </c>
      <c r="AP343" s="1117">
        <f t="shared" si="107"/>
        <v>8</v>
      </c>
      <c r="AQ343" s="1117">
        <f t="shared" si="107"/>
        <v>4</v>
      </c>
      <c r="AR343" s="1117">
        <f t="shared" si="107"/>
        <v>11</v>
      </c>
      <c r="AS343" s="1117">
        <f t="shared" si="107"/>
        <v>12</v>
      </c>
      <c r="AT343" s="1117">
        <f t="shared" si="107"/>
        <v>19</v>
      </c>
      <c r="AU343" s="1117">
        <f t="shared" si="107"/>
        <v>5</v>
      </c>
      <c r="AV343" s="1117">
        <f t="shared" si="107"/>
        <v>12</v>
      </c>
      <c r="AW343" s="1117">
        <f t="shared" si="107"/>
        <v>13</v>
      </c>
      <c r="AX343" s="1117">
        <f t="shared" si="107"/>
        <v>15</v>
      </c>
      <c r="AY343" s="1117">
        <f t="shared" si="107"/>
        <v>7</v>
      </c>
      <c r="AZ343" s="1117">
        <f t="shared" si="107"/>
        <v>11</v>
      </c>
      <c r="BA343" s="1117">
        <f t="shared" si="107"/>
        <v>11</v>
      </c>
      <c r="BB343" s="1117">
        <f t="shared" si="107"/>
        <v>18</v>
      </c>
      <c r="BC343" s="1117">
        <f t="shared" si="107"/>
        <v>16</v>
      </c>
      <c r="BD343" s="1117">
        <f t="shared" si="107"/>
        <v>0</v>
      </c>
      <c r="BE343" s="1117"/>
      <c r="BF343" s="1117"/>
      <c r="BG343" s="1117"/>
      <c r="BH343" s="1117"/>
      <c r="BI343" s="1117"/>
      <c r="BJ343" s="1117"/>
      <c r="BK343" s="1117"/>
      <c r="BL343" s="1117"/>
    </row>
    <row r="344">
      <c r="A344" s="901"/>
      <c r="B344" s="794" t="s">
        <v>71</v>
      </c>
      <c r="D344" s="1118">
        <f t="shared" ref="D344:O344" si="108">COUNTIF(D314:D340,"SO")</f>
        <v>0</v>
      </c>
      <c r="E344" s="1119">
        <f t="shared" si="108"/>
        <v>1</v>
      </c>
      <c r="F344" s="1119">
        <f t="shared" si="108"/>
        <v>0</v>
      </c>
      <c r="G344" s="1119">
        <f t="shared" si="108"/>
        <v>0</v>
      </c>
      <c r="H344" s="1119">
        <f t="shared" si="108"/>
        <v>0</v>
      </c>
      <c r="I344" s="1119">
        <f t="shared" si="108"/>
        <v>0</v>
      </c>
      <c r="J344" s="1119">
        <f t="shared" si="108"/>
        <v>0</v>
      </c>
      <c r="K344" s="1119">
        <f t="shared" si="108"/>
        <v>1</v>
      </c>
      <c r="L344" s="1119">
        <f t="shared" si="108"/>
        <v>0</v>
      </c>
      <c r="M344" s="1119">
        <f t="shared" si="108"/>
        <v>2</v>
      </c>
      <c r="N344" s="1119">
        <f t="shared" si="108"/>
        <v>1</v>
      </c>
      <c r="O344" s="1119">
        <f t="shared" si="108"/>
        <v>1</v>
      </c>
      <c r="P344" s="1119"/>
      <c r="Q344" s="1119">
        <f t="shared" ref="Q344:BD344" si="109">COUNTIF(Q314:Q340,"SO")</f>
        <v>0</v>
      </c>
      <c r="R344" s="1119">
        <f t="shared" si="109"/>
        <v>2</v>
      </c>
      <c r="S344" s="1119">
        <f t="shared" si="109"/>
        <v>2</v>
      </c>
      <c r="T344" s="1119">
        <f t="shared" si="109"/>
        <v>2</v>
      </c>
      <c r="U344" s="1119">
        <f t="shared" si="109"/>
        <v>3</v>
      </c>
      <c r="V344" s="1119">
        <f t="shared" si="109"/>
        <v>0</v>
      </c>
      <c r="W344" s="1119">
        <f t="shared" si="109"/>
        <v>1</v>
      </c>
      <c r="X344" s="1119">
        <f t="shared" si="109"/>
        <v>0</v>
      </c>
      <c r="Y344" s="1119">
        <f t="shared" si="109"/>
        <v>0</v>
      </c>
      <c r="Z344" s="1119">
        <f t="shared" si="109"/>
        <v>0</v>
      </c>
      <c r="AA344" s="1119">
        <f t="shared" si="109"/>
        <v>1</v>
      </c>
      <c r="AB344" s="1119">
        <f t="shared" si="109"/>
        <v>2</v>
      </c>
      <c r="AC344" s="1119">
        <f t="shared" si="109"/>
        <v>0</v>
      </c>
      <c r="AD344" s="1119">
        <f t="shared" si="109"/>
        <v>4</v>
      </c>
      <c r="AE344" s="1119">
        <f t="shared" si="109"/>
        <v>1</v>
      </c>
      <c r="AF344" s="1119">
        <f t="shared" si="109"/>
        <v>9</v>
      </c>
      <c r="AG344" s="1119">
        <f t="shared" si="109"/>
        <v>6</v>
      </c>
      <c r="AH344" s="1119">
        <f t="shared" si="109"/>
        <v>2</v>
      </c>
      <c r="AI344" s="1119">
        <f t="shared" si="109"/>
        <v>0</v>
      </c>
      <c r="AJ344" s="1119">
        <f t="shared" si="109"/>
        <v>0</v>
      </c>
      <c r="AK344" s="1119">
        <f t="shared" si="109"/>
        <v>0</v>
      </c>
      <c r="AL344" s="1119">
        <f t="shared" si="109"/>
        <v>2</v>
      </c>
      <c r="AM344" s="1119">
        <f t="shared" si="109"/>
        <v>2</v>
      </c>
      <c r="AN344" s="1119">
        <f t="shared" si="109"/>
        <v>1</v>
      </c>
      <c r="AO344" s="1119">
        <f t="shared" si="109"/>
        <v>0</v>
      </c>
      <c r="AP344" s="1119">
        <f t="shared" si="109"/>
        <v>0</v>
      </c>
      <c r="AQ344" s="1119">
        <f t="shared" si="109"/>
        <v>0</v>
      </c>
      <c r="AR344" s="1119">
        <f t="shared" si="109"/>
        <v>0</v>
      </c>
      <c r="AS344" s="1119">
        <f t="shared" si="109"/>
        <v>0</v>
      </c>
      <c r="AT344" s="1119">
        <f t="shared" si="109"/>
        <v>0</v>
      </c>
      <c r="AU344" s="1119">
        <f t="shared" si="109"/>
        <v>1</v>
      </c>
      <c r="AV344" s="1119">
        <f t="shared" si="109"/>
        <v>0</v>
      </c>
      <c r="AW344" s="1119">
        <f t="shared" si="109"/>
        <v>1</v>
      </c>
      <c r="AX344" s="1119">
        <f t="shared" si="109"/>
        <v>0</v>
      </c>
      <c r="AY344" s="1119">
        <f t="shared" si="109"/>
        <v>0</v>
      </c>
      <c r="AZ344" s="1119">
        <f t="shared" si="109"/>
        <v>0</v>
      </c>
      <c r="BA344" s="1119">
        <f t="shared" si="109"/>
        <v>0</v>
      </c>
      <c r="BB344" s="1119">
        <f t="shared" si="109"/>
        <v>0</v>
      </c>
      <c r="BC344" s="1119">
        <f t="shared" si="109"/>
        <v>1</v>
      </c>
      <c r="BD344" s="1119">
        <f t="shared" si="109"/>
        <v>0</v>
      </c>
      <c r="BE344" s="1119"/>
      <c r="BF344" s="1119"/>
      <c r="BG344" s="1119"/>
      <c r="BH344" s="1119"/>
      <c r="BI344" s="1119"/>
      <c r="BJ344" s="1119"/>
      <c r="BK344" s="1119"/>
      <c r="BL344" s="1119"/>
    </row>
    <row r="345">
      <c r="A345" s="901"/>
      <c r="B345" s="796" t="s">
        <v>72</v>
      </c>
      <c r="D345" s="1120">
        <f t="shared" ref="D345:O345" si="110">COUNTIF(D314:D340,"NG")</f>
        <v>1</v>
      </c>
      <c r="E345" s="1121">
        <f t="shared" si="110"/>
        <v>1</v>
      </c>
      <c r="F345" s="1121">
        <f t="shared" si="110"/>
        <v>1</v>
      </c>
      <c r="G345" s="1121">
        <f t="shared" si="110"/>
        <v>1</v>
      </c>
      <c r="H345" s="1121">
        <f t="shared" si="110"/>
        <v>2</v>
      </c>
      <c r="I345" s="1121">
        <f t="shared" si="110"/>
        <v>2</v>
      </c>
      <c r="J345" s="1121">
        <f t="shared" si="110"/>
        <v>2</v>
      </c>
      <c r="K345" s="1121">
        <f t="shared" si="110"/>
        <v>2</v>
      </c>
      <c r="L345" s="1121">
        <f t="shared" si="110"/>
        <v>2</v>
      </c>
      <c r="M345" s="1121">
        <f t="shared" si="110"/>
        <v>2</v>
      </c>
      <c r="N345" s="1121">
        <f t="shared" si="110"/>
        <v>2</v>
      </c>
      <c r="O345" s="1121">
        <f t="shared" si="110"/>
        <v>2</v>
      </c>
      <c r="P345" s="1121"/>
      <c r="Q345" s="1121">
        <f t="shared" ref="Q345:BD345" si="111">COUNTIF(Q314:Q340,"NG")</f>
        <v>2</v>
      </c>
      <c r="R345" s="1121">
        <f t="shared" si="111"/>
        <v>2</v>
      </c>
      <c r="S345" s="1121">
        <f t="shared" si="111"/>
        <v>2</v>
      </c>
      <c r="T345" s="1121">
        <f t="shared" si="111"/>
        <v>2</v>
      </c>
      <c r="U345" s="1121">
        <f t="shared" si="111"/>
        <v>3</v>
      </c>
      <c r="V345" s="1121">
        <f t="shared" si="111"/>
        <v>3</v>
      </c>
      <c r="W345" s="1121">
        <f t="shared" si="111"/>
        <v>3</v>
      </c>
      <c r="X345" s="1121">
        <f t="shared" si="111"/>
        <v>3</v>
      </c>
      <c r="Y345" s="1121">
        <f t="shared" si="111"/>
        <v>3</v>
      </c>
      <c r="Z345" s="1121">
        <f t="shared" si="111"/>
        <v>3</v>
      </c>
      <c r="AA345" s="1121">
        <f t="shared" si="111"/>
        <v>1</v>
      </c>
      <c r="AB345" s="1121">
        <f t="shared" si="111"/>
        <v>1</v>
      </c>
      <c r="AC345" s="1121">
        <f t="shared" si="111"/>
        <v>1</v>
      </c>
      <c r="AD345" s="1121">
        <f t="shared" si="111"/>
        <v>1</v>
      </c>
      <c r="AE345" s="1121">
        <f t="shared" si="111"/>
        <v>1</v>
      </c>
      <c r="AF345" s="1121">
        <f t="shared" si="111"/>
        <v>1</v>
      </c>
      <c r="AG345" s="1121">
        <f t="shared" si="111"/>
        <v>1</v>
      </c>
      <c r="AH345" s="1121">
        <f t="shared" si="111"/>
        <v>1</v>
      </c>
      <c r="AI345" s="1121">
        <f t="shared" si="111"/>
        <v>1</v>
      </c>
      <c r="AJ345" s="1121">
        <f t="shared" si="111"/>
        <v>1</v>
      </c>
      <c r="AK345" s="1121">
        <f t="shared" si="111"/>
        <v>1</v>
      </c>
      <c r="AL345" s="1121">
        <f t="shared" si="111"/>
        <v>1</v>
      </c>
      <c r="AM345" s="1121">
        <f t="shared" si="111"/>
        <v>5</v>
      </c>
      <c r="AN345" s="1121">
        <f t="shared" si="111"/>
        <v>5</v>
      </c>
      <c r="AO345" s="1121">
        <f t="shared" si="111"/>
        <v>5</v>
      </c>
      <c r="AP345" s="1121">
        <f t="shared" si="111"/>
        <v>5</v>
      </c>
      <c r="AQ345" s="1121">
        <f t="shared" si="111"/>
        <v>1</v>
      </c>
      <c r="AR345" s="1121">
        <f t="shared" si="111"/>
        <v>1</v>
      </c>
      <c r="AS345" s="1121">
        <f t="shared" si="111"/>
        <v>1</v>
      </c>
      <c r="AT345" s="1121">
        <f t="shared" si="111"/>
        <v>1</v>
      </c>
      <c r="AU345" s="1121">
        <f t="shared" si="111"/>
        <v>3</v>
      </c>
      <c r="AV345" s="1121">
        <f t="shared" si="111"/>
        <v>3</v>
      </c>
      <c r="AW345" s="1121">
        <f t="shared" si="111"/>
        <v>3</v>
      </c>
      <c r="AX345" s="1121">
        <f t="shared" si="111"/>
        <v>3</v>
      </c>
      <c r="AY345" s="1121">
        <f t="shared" si="111"/>
        <v>3</v>
      </c>
      <c r="AZ345" s="1121">
        <f t="shared" si="111"/>
        <v>1</v>
      </c>
      <c r="BA345" s="1121">
        <f t="shared" si="111"/>
        <v>1</v>
      </c>
      <c r="BB345" s="1121">
        <f t="shared" si="111"/>
        <v>0</v>
      </c>
      <c r="BC345" s="1121">
        <f t="shared" si="111"/>
        <v>0</v>
      </c>
      <c r="BD345" s="1121">
        <f t="shared" si="111"/>
        <v>0</v>
      </c>
      <c r="BE345" s="1121"/>
      <c r="BF345" s="1121"/>
      <c r="BG345" s="1121"/>
      <c r="BH345" s="1121"/>
      <c r="BI345" s="1121"/>
      <c r="BJ345" s="1121"/>
      <c r="BK345" s="1121"/>
      <c r="BL345" s="1121"/>
    </row>
    <row r="346">
      <c r="A346" s="901"/>
      <c r="B346" s="798" t="s">
        <v>73</v>
      </c>
      <c r="D346" s="1122">
        <f t="shared" ref="D346:O346" si="112">SUM(D342:D345)</f>
        <v>25</v>
      </c>
      <c r="E346" s="1123">
        <f t="shared" si="112"/>
        <v>25</v>
      </c>
      <c r="F346" s="1123">
        <f t="shared" si="112"/>
        <v>25</v>
      </c>
      <c r="G346" s="1123">
        <f t="shared" si="112"/>
        <v>25</v>
      </c>
      <c r="H346" s="1123">
        <f t="shared" si="112"/>
        <v>25</v>
      </c>
      <c r="I346" s="1123">
        <f t="shared" si="112"/>
        <v>25</v>
      </c>
      <c r="J346" s="1123">
        <f t="shared" si="112"/>
        <v>25</v>
      </c>
      <c r="K346" s="1123">
        <f t="shared" si="112"/>
        <v>25</v>
      </c>
      <c r="L346" s="1123">
        <f t="shared" si="112"/>
        <v>25</v>
      </c>
      <c r="M346" s="1123">
        <f t="shared" si="112"/>
        <v>25</v>
      </c>
      <c r="N346" s="1123">
        <f t="shared" si="112"/>
        <v>25</v>
      </c>
      <c r="O346" s="1123">
        <f t="shared" si="112"/>
        <v>25</v>
      </c>
      <c r="P346" s="1123"/>
      <c r="Q346" s="1123">
        <f t="shared" ref="Q346:BD346" si="113">SUM(Q342:Q345)</f>
        <v>25</v>
      </c>
      <c r="R346" s="1123">
        <f t="shared" si="113"/>
        <v>25</v>
      </c>
      <c r="S346" s="1123">
        <f t="shared" si="113"/>
        <v>25</v>
      </c>
      <c r="T346" s="1123">
        <f t="shared" si="113"/>
        <v>25</v>
      </c>
      <c r="U346" s="1123">
        <f t="shared" si="113"/>
        <v>24</v>
      </c>
      <c r="V346" s="1123">
        <f t="shared" si="113"/>
        <v>24</v>
      </c>
      <c r="W346" s="1123">
        <f t="shared" si="113"/>
        <v>24</v>
      </c>
      <c r="X346" s="1123">
        <f t="shared" si="113"/>
        <v>24</v>
      </c>
      <c r="Y346" s="1123">
        <f t="shared" si="113"/>
        <v>24</v>
      </c>
      <c r="Z346" s="1123">
        <f t="shared" si="113"/>
        <v>23</v>
      </c>
      <c r="AA346" s="1123">
        <f t="shared" si="113"/>
        <v>25</v>
      </c>
      <c r="AB346" s="1123">
        <f t="shared" si="113"/>
        <v>25</v>
      </c>
      <c r="AC346" s="1123">
        <f t="shared" si="113"/>
        <v>25</v>
      </c>
      <c r="AD346" s="1123">
        <f t="shared" si="113"/>
        <v>25</v>
      </c>
      <c r="AE346" s="1123">
        <f t="shared" si="113"/>
        <v>25</v>
      </c>
      <c r="AF346" s="1123">
        <f t="shared" si="113"/>
        <v>25</v>
      </c>
      <c r="AG346" s="1123">
        <f t="shared" si="113"/>
        <v>25</v>
      </c>
      <c r="AH346" s="1123">
        <f t="shared" si="113"/>
        <v>25</v>
      </c>
      <c r="AI346" s="1123">
        <f t="shared" si="113"/>
        <v>25</v>
      </c>
      <c r="AJ346" s="1123">
        <f t="shared" si="113"/>
        <v>25</v>
      </c>
      <c r="AK346" s="1123">
        <f t="shared" si="113"/>
        <v>25</v>
      </c>
      <c r="AL346" s="1123">
        <f t="shared" si="113"/>
        <v>25</v>
      </c>
      <c r="AM346" s="1123">
        <f t="shared" si="113"/>
        <v>25</v>
      </c>
      <c r="AN346" s="1123">
        <f t="shared" si="113"/>
        <v>25</v>
      </c>
      <c r="AO346" s="1123">
        <f t="shared" si="113"/>
        <v>25</v>
      </c>
      <c r="AP346" s="1123">
        <f t="shared" si="113"/>
        <v>25</v>
      </c>
      <c r="AQ346" s="1123">
        <f t="shared" si="113"/>
        <v>25</v>
      </c>
      <c r="AR346" s="1123">
        <f t="shared" si="113"/>
        <v>25</v>
      </c>
      <c r="AS346" s="1123">
        <f t="shared" si="113"/>
        <v>25</v>
      </c>
      <c r="AT346" s="1123">
        <f t="shared" si="113"/>
        <v>25</v>
      </c>
      <c r="AU346" s="1123">
        <f t="shared" si="113"/>
        <v>25</v>
      </c>
      <c r="AV346" s="1123">
        <f t="shared" si="113"/>
        <v>25</v>
      </c>
      <c r="AW346" s="1123">
        <f t="shared" si="113"/>
        <v>25</v>
      </c>
      <c r="AX346" s="1123">
        <f t="shared" si="113"/>
        <v>25</v>
      </c>
      <c r="AY346" s="1123">
        <f t="shared" si="113"/>
        <v>25</v>
      </c>
      <c r="AZ346" s="1123">
        <f t="shared" si="113"/>
        <v>25</v>
      </c>
      <c r="BA346" s="1123">
        <f t="shared" si="113"/>
        <v>25</v>
      </c>
      <c r="BB346" s="1123">
        <f t="shared" si="113"/>
        <v>25</v>
      </c>
      <c r="BC346" s="1123">
        <f t="shared" si="113"/>
        <v>25</v>
      </c>
      <c r="BD346" s="1123">
        <f t="shared" si="113"/>
        <v>25</v>
      </c>
      <c r="BE346" s="1123"/>
      <c r="BF346" s="1123"/>
      <c r="BG346" s="1123"/>
      <c r="BH346" s="1123"/>
      <c r="BI346" s="1123"/>
      <c r="BJ346" s="1123"/>
      <c r="BK346" s="1123"/>
      <c r="BL346" s="1123"/>
    </row>
    <row r="347">
      <c r="A347" s="901"/>
      <c r="B347" s="800" t="s">
        <v>74</v>
      </c>
      <c r="D347" s="1124">
        <f t="shared" ref="D347:O347" si="114">D342+D343+D344</f>
        <v>24</v>
      </c>
      <c r="E347" s="1125">
        <f t="shared" si="114"/>
        <v>24</v>
      </c>
      <c r="F347" s="1125">
        <f t="shared" si="114"/>
        <v>24</v>
      </c>
      <c r="G347" s="1125">
        <f t="shared" si="114"/>
        <v>24</v>
      </c>
      <c r="H347" s="1125">
        <f t="shared" si="114"/>
        <v>23</v>
      </c>
      <c r="I347" s="1125">
        <f t="shared" si="114"/>
        <v>23</v>
      </c>
      <c r="J347" s="1125">
        <f t="shared" si="114"/>
        <v>23</v>
      </c>
      <c r="K347" s="1125">
        <f t="shared" si="114"/>
        <v>23</v>
      </c>
      <c r="L347" s="1125">
        <f t="shared" si="114"/>
        <v>23</v>
      </c>
      <c r="M347" s="1125">
        <f t="shared" si="114"/>
        <v>23</v>
      </c>
      <c r="N347" s="1125">
        <f t="shared" si="114"/>
        <v>23</v>
      </c>
      <c r="O347" s="1125">
        <f t="shared" si="114"/>
        <v>23</v>
      </c>
      <c r="P347" s="1125"/>
      <c r="Q347" s="1125">
        <f t="shared" ref="Q347:BD347" si="115">Q342+Q343+Q344</f>
        <v>23</v>
      </c>
      <c r="R347" s="1125">
        <f t="shared" si="115"/>
        <v>23</v>
      </c>
      <c r="S347" s="1125">
        <f t="shared" si="115"/>
        <v>23</v>
      </c>
      <c r="T347" s="1125">
        <f t="shared" si="115"/>
        <v>23</v>
      </c>
      <c r="U347" s="1125">
        <f t="shared" si="115"/>
        <v>21</v>
      </c>
      <c r="V347" s="1125">
        <f t="shared" si="115"/>
        <v>21</v>
      </c>
      <c r="W347" s="1125">
        <f t="shared" si="115"/>
        <v>21</v>
      </c>
      <c r="X347" s="1125">
        <f t="shared" si="115"/>
        <v>21</v>
      </c>
      <c r="Y347" s="1125">
        <f t="shared" si="115"/>
        <v>21</v>
      </c>
      <c r="Z347" s="1125">
        <f t="shared" si="115"/>
        <v>20</v>
      </c>
      <c r="AA347" s="1125">
        <f t="shared" si="115"/>
        <v>24</v>
      </c>
      <c r="AB347" s="1125">
        <f t="shared" si="115"/>
        <v>24</v>
      </c>
      <c r="AC347" s="1125">
        <f t="shared" si="115"/>
        <v>24</v>
      </c>
      <c r="AD347" s="1125">
        <f t="shared" si="115"/>
        <v>24</v>
      </c>
      <c r="AE347" s="1125">
        <f t="shared" si="115"/>
        <v>24</v>
      </c>
      <c r="AF347" s="1125">
        <f t="shared" si="115"/>
        <v>24</v>
      </c>
      <c r="AG347" s="1125">
        <f t="shared" si="115"/>
        <v>24</v>
      </c>
      <c r="AH347" s="1125">
        <f t="shared" si="115"/>
        <v>24</v>
      </c>
      <c r="AI347" s="1125">
        <f t="shared" si="115"/>
        <v>24</v>
      </c>
      <c r="AJ347" s="1125">
        <f t="shared" si="115"/>
        <v>24</v>
      </c>
      <c r="AK347" s="1125">
        <f t="shared" si="115"/>
        <v>24</v>
      </c>
      <c r="AL347" s="1125">
        <f t="shared" si="115"/>
        <v>24</v>
      </c>
      <c r="AM347" s="1125">
        <f t="shared" si="115"/>
        <v>20</v>
      </c>
      <c r="AN347" s="1125">
        <f t="shared" si="115"/>
        <v>20</v>
      </c>
      <c r="AO347" s="1125">
        <f t="shared" si="115"/>
        <v>20</v>
      </c>
      <c r="AP347" s="1125">
        <f t="shared" si="115"/>
        <v>20</v>
      </c>
      <c r="AQ347" s="1125">
        <f t="shared" si="115"/>
        <v>24</v>
      </c>
      <c r="AR347" s="1125">
        <f t="shared" si="115"/>
        <v>24</v>
      </c>
      <c r="AS347" s="1125">
        <f t="shared" si="115"/>
        <v>24</v>
      </c>
      <c r="AT347" s="1125">
        <f t="shared" si="115"/>
        <v>24</v>
      </c>
      <c r="AU347" s="1125">
        <f t="shared" si="115"/>
        <v>22</v>
      </c>
      <c r="AV347" s="1125">
        <f t="shared" si="115"/>
        <v>22</v>
      </c>
      <c r="AW347" s="1125">
        <f t="shared" si="115"/>
        <v>22</v>
      </c>
      <c r="AX347" s="1125">
        <f t="shared" si="115"/>
        <v>22</v>
      </c>
      <c r="AY347" s="1125">
        <f t="shared" si="115"/>
        <v>22</v>
      </c>
      <c r="AZ347" s="1125">
        <f t="shared" si="115"/>
        <v>24</v>
      </c>
      <c r="BA347" s="1125">
        <f t="shared" si="115"/>
        <v>24</v>
      </c>
      <c r="BB347" s="1125">
        <f t="shared" si="115"/>
        <v>25</v>
      </c>
      <c r="BC347" s="1125">
        <f t="shared" si="115"/>
        <v>25</v>
      </c>
      <c r="BD347" s="1125">
        <f t="shared" si="115"/>
        <v>25</v>
      </c>
      <c r="BE347" s="1125"/>
      <c r="BF347" s="1125"/>
      <c r="BG347" s="1125"/>
      <c r="BH347" s="1125"/>
      <c r="BI347" s="1125"/>
      <c r="BJ347" s="1125"/>
      <c r="BK347" s="1125"/>
      <c r="BL347" s="1125"/>
    </row>
    <row r="348">
      <c r="A348" s="901"/>
      <c r="B348" s="854" t="s">
        <v>75</v>
      </c>
      <c r="D348" s="1126">
        <f t="shared" ref="D348:O348" si="116">IFERROR(D347/D346,"")</f>
        <v>0.96</v>
      </c>
      <c r="E348" s="1127">
        <f t="shared" si="116"/>
        <v>0.96</v>
      </c>
      <c r="F348" s="1127">
        <f t="shared" si="116"/>
        <v>0.96</v>
      </c>
      <c r="G348" s="1127">
        <f t="shared" si="116"/>
        <v>0.96</v>
      </c>
      <c r="H348" s="1127">
        <f t="shared" si="116"/>
        <v>0.92</v>
      </c>
      <c r="I348" s="1127">
        <f t="shared" si="116"/>
        <v>0.92</v>
      </c>
      <c r="J348" s="1127">
        <f t="shared" si="116"/>
        <v>0.92</v>
      </c>
      <c r="K348" s="1127">
        <f t="shared" si="116"/>
        <v>0.92</v>
      </c>
      <c r="L348" s="1127">
        <f t="shared" si="116"/>
        <v>0.92</v>
      </c>
      <c r="M348" s="1127">
        <f t="shared" si="116"/>
        <v>0.92</v>
      </c>
      <c r="N348" s="1127">
        <f t="shared" si="116"/>
        <v>0.92</v>
      </c>
      <c r="O348" s="1127">
        <f t="shared" si="116"/>
        <v>0.92</v>
      </c>
      <c r="P348" s="1127"/>
      <c r="Q348" s="1127">
        <f t="shared" ref="Q348:BD348" si="117">IFERROR(Q347/Q346,"")</f>
        <v>0.92</v>
      </c>
      <c r="R348" s="1127">
        <f t="shared" si="117"/>
        <v>0.92</v>
      </c>
      <c r="S348" s="1127">
        <f t="shared" si="117"/>
        <v>0.92</v>
      </c>
      <c r="T348" s="1127">
        <f t="shared" si="117"/>
        <v>0.92</v>
      </c>
      <c r="U348" s="1127">
        <f t="shared" si="117"/>
        <v>0.875</v>
      </c>
      <c r="V348" s="1127">
        <f t="shared" si="117"/>
        <v>0.875</v>
      </c>
      <c r="W348" s="1127">
        <f t="shared" si="117"/>
        <v>0.875</v>
      </c>
      <c r="X348" s="1127">
        <f t="shared" si="117"/>
        <v>0.875</v>
      </c>
      <c r="Y348" s="1127">
        <f t="shared" si="117"/>
        <v>0.875</v>
      </c>
      <c r="Z348" s="1127">
        <f t="shared" si="117"/>
        <v>0.8695652174</v>
      </c>
      <c r="AA348" s="1127">
        <f t="shared" si="117"/>
        <v>0.96</v>
      </c>
      <c r="AB348" s="1127">
        <f t="shared" si="117"/>
        <v>0.96</v>
      </c>
      <c r="AC348" s="1127">
        <f t="shared" si="117"/>
        <v>0.96</v>
      </c>
      <c r="AD348" s="1127">
        <f t="shared" si="117"/>
        <v>0.96</v>
      </c>
      <c r="AE348" s="1127">
        <f t="shared" si="117"/>
        <v>0.96</v>
      </c>
      <c r="AF348" s="1127">
        <f t="shared" si="117"/>
        <v>0.96</v>
      </c>
      <c r="AG348" s="1127">
        <f t="shared" si="117"/>
        <v>0.96</v>
      </c>
      <c r="AH348" s="1127">
        <f t="shared" si="117"/>
        <v>0.96</v>
      </c>
      <c r="AI348" s="1127">
        <f t="shared" si="117"/>
        <v>0.96</v>
      </c>
      <c r="AJ348" s="1127">
        <f t="shared" si="117"/>
        <v>0.96</v>
      </c>
      <c r="AK348" s="1127">
        <f t="shared" si="117"/>
        <v>0.96</v>
      </c>
      <c r="AL348" s="1127">
        <f t="shared" si="117"/>
        <v>0.96</v>
      </c>
      <c r="AM348" s="1127">
        <f t="shared" si="117"/>
        <v>0.8</v>
      </c>
      <c r="AN348" s="1127">
        <f t="shared" si="117"/>
        <v>0.8</v>
      </c>
      <c r="AO348" s="1127">
        <f t="shared" si="117"/>
        <v>0.8</v>
      </c>
      <c r="AP348" s="1127">
        <f t="shared" si="117"/>
        <v>0.8</v>
      </c>
      <c r="AQ348" s="1127">
        <f t="shared" si="117"/>
        <v>0.96</v>
      </c>
      <c r="AR348" s="1127">
        <f t="shared" si="117"/>
        <v>0.96</v>
      </c>
      <c r="AS348" s="1127">
        <f t="shared" si="117"/>
        <v>0.96</v>
      </c>
      <c r="AT348" s="1127">
        <f t="shared" si="117"/>
        <v>0.96</v>
      </c>
      <c r="AU348" s="1127">
        <f t="shared" si="117"/>
        <v>0.88</v>
      </c>
      <c r="AV348" s="1127">
        <f t="shared" si="117"/>
        <v>0.88</v>
      </c>
      <c r="AW348" s="1127">
        <f t="shared" si="117"/>
        <v>0.88</v>
      </c>
      <c r="AX348" s="1127">
        <f t="shared" si="117"/>
        <v>0.88</v>
      </c>
      <c r="AY348" s="1127">
        <f t="shared" si="117"/>
        <v>0.88</v>
      </c>
      <c r="AZ348" s="1127">
        <f t="shared" si="117"/>
        <v>0.96</v>
      </c>
      <c r="BA348" s="1127">
        <f t="shared" si="117"/>
        <v>0.96</v>
      </c>
      <c r="BB348" s="1127">
        <f t="shared" si="117"/>
        <v>1</v>
      </c>
      <c r="BC348" s="1127">
        <f t="shared" si="117"/>
        <v>1</v>
      </c>
      <c r="BD348" s="1127">
        <f t="shared" si="117"/>
        <v>1</v>
      </c>
      <c r="BE348" s="1127"/>
      <c r="BF348" s="1127"/>
      <c r="BG348" s="1127"/>
      <c r="BH348" s="1127"/>
      <c r="BI348" s="1127"/>
      <c r="BJ348" s="1127"/>
      <c r="BK348" s="1127"/>
      <c r="BL348" s="1127"/>
    </row>
    <row r="349">
      <c r="A349" s="912"/>
      <c r="D349" s="1128"/>
      <c r="E349" s="1056"/>
      <c r="F349" s="1056"/>
      <c r="G349" s="1056"/>
      <c r="H349" s="1056"/>
      <c r="I349" s="1056"/>
      <c r="J349" s="1056"/>
      <c r="K349" s="1056"/>
      <c r="L349" s="1056"/>
      <c r="M349" s="1056"/>
      <c r="N349" s="1056"/>
      <c r="O349" s="1056"/>
      <c r="P349" s="1056"/>
      <c r="Q349" s="1056"/>
      <c r="R349" s="1056"/>
      <c r="S349" s="1056"/>
      <c r="T349" s="1056"/>
      <c r="U349" s="1056"/>
      <c r="V349" s="1056"/>
      <c r="W349" s="1056"/>
      <c r="X349" s="1056"/>
      <c r="Y349" s="1056"/>
      <c r="Z349" s="1056"/>
      <c r="AA349" s="1056"/>
      <c r="AB349" s="1056"/>
      <c r="AC349" s="1056"/>
      <c r="AD349" s="1056"/>
      <c r="AE349" s="1056"/>
      <c r="AF349" s="1056"/>
      <c r="AG349" s="1056"/>
      <c r="AH349" s="1056"/>
      <c r="AI349" s="1056"/>
      <c r="AJ349" s="1056"/>
      <c r="AK349" s="1056"/>
      <c r="AL349" s="1056"/>
      <c r="AM349" s="1056"/>
      <c r="AN349" s="1056"/>
      <c r="AO349" s="1056"/>
      <c r="AP349" s="1056"/>
      <c r="AQ349" s="1056"/>
      <c r="AR349" s="1056"/>
      <c r="AS349" s="1056"/>
      <c r="AT349" s="1056"/>
      <c r="AU349" s="1056"/>
      <c r="AV349" s="1056"/>
      <c r="AW349" s="1056"/>
      <c r="AX349" s="1056"/>
      <c r="AY349" s="1056"/>
      <c r="AZ349" s="1056"/>
      <c r="BA349" s="1056"/>
      <c r="BB349" s="1056"/>
      <c r="BC349" s="1056"/>
      <c r="BD349" s="1056"/>
      <c r="BE349" s="1129"/>
      <c r="BF349" s="1129"/>
      <c r="BG349" s="1129"/>
      <c r="BH349" s="1129"/>
      <c r="BI349" s="1129"/>
      <c r="BJ349" s="1129"/>
      <c r="BK349" s="1129"/>
      <c r="BL349" s="1129"/>
    </row>
    <row r="350">
      <c r="A350" s="731"/>
      <c r="B350" s="732" t="s">
        <v>1170</v>
      </c>
      <c r="C350" s="732" t="s">
        <v>7</v>
      </c>
      <c r="D350" s="1130"/>
      <c r="E350" s="1045"/>
      <c r="F350" s="1045"/>
      <c r="G350" s="1045"/>
      <c r="H350" s="1045"/>
      <c r="I350" s="1045"/>
      <c r="J350" s="1045"/>
      <c r="K350" s="1045"/>
      <c r="L350" s="1045"/>
      <c r="M350" s="1045"/>
      <c r="N350" s="1045"/>
      <c r="O350" s="1045"/>
      <c r="P350" s="1045"/>
      <c r="Q350" s="1045"/>
      <c r="R350" s="1045"/>
      <c r="S350" s="1045"/>
      <c r="T350" s="1045"/>
      <c r="U350" s="1045"/>
      <c r="V350" s="1045"/>
      <c r="W350" s="1045"/>
      <c r="X350" s="1045"/>
      <c r="Y350" s="1045"/>
      <c r="Z350" s="1045"/>
      <c r="AA350" s="1045"/>
      <c r="AB350" s="1045"/>
      <c r="AC350" s="1045"/>
      <c r="AD350" s="1045"/>
      <c r="AE350" s="1045"/>
      <c r="AF350" s="1045"/>
      <c r="AG350" s="1045"/>
      <c r="AH350" s="1045"/>
      <c r="AI350" s="1045"/>
      <c r="AJ350" s="1045"/>
      <c r="AK350" s="1045"/>
      <c r="AL350" s="1131"/>
      <c r="AM350" s="1131"/>
      <c r="AN350" s="1131"/>
      <c r="AO350" s="1131"/>
      <c r="AP350" s="1131"/>
      <c r="AQ350" s="1131"/>
      <c r="AR350" s="1131"/>
      <c r="AS350" s="1131"/>
      <c r="AT350" s="1131"/>
      <c r="AU350" s="1131"/>
      <c r="AV350" s="1131"/>
      <c r="AW350" s="1131"/>
      <c r="AX350" s="1131"/>
      <c r="AY350" s="1131"/>
      <c r="AZ350" s="1131"/>
      <c r="BA350" s="1131"/>
      <c r="BB350" s="1131"/>
      <c r="BC350" s="1131"/>
      <c r="BD350" s="1131"/>
      <c r="BE350" s="1129"/>
      <c r="BF350" s="1129"/>
      <c r="BG350" s="1129"/>
      <c r="BH350" s="1129"/>
      <c r="BI350" s="1129"/>
      <c r="BJ350" s="1129"/>
      <c r="BK350" s="1129"/>
      <c r="BL350" s="1129"/>
    </row>
    <row r="351">
      <c r="A351" s="1132" t="s">
        <v>327</v>
      </c>
      <c r="B351" s="390"/>
      <c r="C351" s="390"/>
      <c r="D351" s="1133" t="s">
        <v>1270</v>
      </c>
      <c r="E351" s="1134" t="s">
        <v>328</v>
      </c>
      <c r="F351" s="1134" t="s">
        <v>329</v>
      </c>
      <c r="G351" s="1134" t="s">
        <v>686</v>
      </c>
      <c r="H351" s="1134" t="s">
        <v>687</v>
      </c>
      <c r="I351" s="1134" t="s">
        <v>688</v>
      </c>
      <c r="J351" s="1134" t="s">
        <v>689</v>
      </c>
      <c r="K351" s="1134" t="s">
        <v>330</v>
      </c>
      <c r="L351" s="1134" t="s">
        <v>331</v>
      </c>
      <c r="M351" s="1134" t="s">
        <v>690</v>
      </c>
      <c r="N351" s="1134" t="s">
        <v>334</v>
      </c>
      <c r="O351" s="1134" t="s">
        <v>335</v>
      </c>
      <c r="P351" s="1134"/>
      <c r="Q351" s="1134" t="s">
        <v>691</v>
      </c>
      <c r="R351" s="1134" t="s">
        <v>336</v>
      </c>
      <c r="S351" s="1134" t="s">
        <v>338</v>
      </c>
      <c r="T351" s="1134" t="s">
        <v>342</v>
      </c>
      <c r="U351" s="1134" t="s">
        <v>339</v>
      </c>
      <c r="V351" s="1134" t="s">
        <v>340</v>
      </c>
      <c r="W351" s="1134" t="s">
        <v>692</v>
      </c>
      <c r="X351" s="1134" t="s">
        <v>341</v>
      </c>
      <c r="Y351" s="1134" t="s">
        <v>343</v>
      </c>
      <c r="Z351" s="1134" t="s">
        <v>693</v>
      </c>
      <c r="AA351" s="1134" t="s">
        <v>344</v>
      </c>
      <c r="AB351" s="1134" t="s">
        <v>1271</v>
      </c>
      <c r="AC351" s="1134" t="s">
        <v>696</v>
      </c>
      <c r="AD351" s="1134" t="s">
        <v>349</v>
      </c>
      <c r="AE351" s="1134" t="s">
        <v>351</v>
      </c>
      <c r="AF351" s="1134" t="s">
        <v>353</v>
      </c>
      <c r="AG351" s="1134" t="s">
        <v>355</v>
      </c>
      <c r="AH351" s="1134" t="s">
        <v>357</v>
      </c>
      <c r="AI351" s="1134" t="s">
        <v>694</v>
      </c>
      <c r="AJ351" s="1134" t="s">
        <v>695</v>
      </c>
      <c r="AK351" s="1134" t="s">
        <v>697</v>
      </c>
      <c r="AL351" s="1"/>
      <c r="AM351" s="1"/>
      <c r="AN351" s="1"/>
      <c r="AO351" s="1"/>
      <c r="AP351" s="1"/>
      <c r="AQ351" s="1"/>
      <c r="AR351" s="1"/>
      <c r="AS351" s="1"/>
      <c r="AT351" s="1"/>
      <c r="AU351" s="1"/>
      <c r="AV351" s="1"/>
      <c r="AW351" s="1"/>
      <c r="AX351" s="1"/>
      <c r="AY351" s="1"/>
      <c r="AZ351" s="1"/>
      <c r="BA351" s="1"/>
      <c r="BB351" s="1"/>
      <c r="BC351" s="1"/>
      <c r="BD351" s="1"/>
      <c r="BE351" s="1135"/>
      <c r="BF351" s="1135"/>
      <c r="BG351" s="1135"/>
      <c r="BH351" s="1135"/>
      <c r="BI351" s="1135"/>
      <c r="BJ351" s="1135"/>
      <c r="BK351" s="1135"/>
      <c r="BL351" s="1135"/>
    </row>
    <row r="352">
      <c r="A352" s="899" t="s">
        <v>1272</v>
      </c>
      <c r="B352" s="927" t="s">
        <v>1273</v>
      </c>
      <c r="C352" s="927" t="s">
        <v>21</v>
      </c>
      <c r="D352" s="1019" t="s">
        <v>70</v>
      </c>
      <c r="E352" s="1022" t="s">
        <v>70</v>
      </c>
      <c r="F352" s="1022" t="s">
        <v>70</v>
      </c>
      <c r="G352" s="1022" t="s">
        <v>70</v>
      </c>
      <c r="H352" s="1022" t="s">
        <v>70</v>
      </c>
      <c r="I352" s="1020" t="s">
        <v>69</v>
      </c>
      <c r="J352" s="1020" t="s">
        <v>69</v>
      </c>
      <c r="K352" s="1022" t="s">
        <v>70</v>
      </c>
      <c r="L352" s="1022" t="s">
        <v>70</v>
      </c>
      <c r="M352" s="1022" t="s">
        <v>70</v>
      </c>
      <c r="N352" s="1020" t="s">
        <v>69</v>
      </c>
      <c r="O352" s="1020" t="s">
        <v>69</v>
      </c>
      <c r="P352" s="1020"/>
      <c r="Q352" s="1022" t="s">
        <v>70</v>
      </c>
      <c r="R352" s="1022" t="s">
        <v>70</v>
      </c>
      <c r="S352" s="1020" t="s">
        <v>69</v>
      </c>
      <c r="T352" s="1022" t="s">
        <v>70</v>
      </c>
      <c r="U352" s="1020" t="s">
        <v>1193</v>
      </c>
      <c r="V352" s="1020" t="s">
        <v>1193</v>
      </c>
      <c r="W352" s="1020" t="s">
        <v>1193</v>
      </c>
      <c r="X352" s="1020" t="s">
        <v>1193</v>
      </c>
      <c r="Y352" s="1031" t="s">
        <v>99</v>
      </c>
      <c r="Z352" s="1022" t="s">
        <v>1215</v>
      </c>
      <c r="AA352" s="1020" t="s">
        <v>1193</v>
      </c>
      <c r="AB352" s="1029" t="s">
        <v>100</v>
      </c>
      <c r="AC352" s="1029" t="s">
        <v>100</v>
      </c>
      <c r="AD352" s="1029" t="s">
        <v>100</v>
      </c>
      <c r="AE352" s="1029" t="s">
        <v>100</v>
      </c>
      <c r="AF352" s="1029" t="s">
        <v>100</v>
      </c>
      <c r="AG352" s="1029" t="s">
        <v>100</v>
      </c>
      <c r="AH352" s="1029" t="s">
        <v>100</v>
      </c>
      <c r="AI352" s="1029" t="s">
        <v>100</v>
      </c>
      <c r="AJ352" s="1029" t="s">
        <v>100</v>
      </c>
      <c r="AK352" s="1035" t="s">
        <v>100</v>
      </c>
      <c r="AL352" s="917"/>
      <c r="AM352" s="1040"/>
      <c r="AN352" s="1040"/>
      <c r="AO352" s="1040"/>
      <c r="AP352" s="1040"/>
      <c r="AQ352" s="1040"/>
      <c r="AR352" s="1040"/>
      <c r="AS352" s="1040"/>
      <c r="AT352" s="1040"/>
      <c r="AU352" s="1040"/>
      <c r="AV352" s="1040"/>
      <c r="AW352" s="1040"/>
      <c r="AX352" s="1040"/>
      <c r="AY352" s="1040"/>
      <c r="AZ352" s="1"/>
      <c r="BA352" s="1"/>
      <c r="BB352" s="1"/>
      <c r="BC352" s="1"/>
      <c r="BD352" s="1"/>
      <c r="BE352" s="1135"/>
      <c r="BF352" s="1135"/>
      <c r="BG352" s="1135"/>
      <c r="BH352" s="1135"/>
      <c r="BI352" s="1135"/>
      <c r="BJ352" s="1135"/>
      <c r="BK352" s="1135"/>
      <c r="BL352" s="1135"/>
    </row>
    <row r="353">
      <c r="A353" s="901"/>
      <c r="B353" s="929" t="s">
        <v>927</v>
      </c>
      <c r="C353" s="929" t="s">
        <v>21</v>
      </c>
      <c r="D353" s="1019" t="s">
        <v>70</v>
      </c>
      <c r="E353" s="1022" t="s">
        <v>70</v>
      </c>
      <c r="F353" s="1022" t="s">
        <v>70</v>
      </c>
      <c r="G353" s="1022" t="s">
        <v>70</v>
      </c>
      <c r="H353" s="1020" t="s">
        <v>69</v>
      </c>
      <c r="I353" s="1020" t="s">
        <v>69</v>
      </c>
      <c r="J353" s="1020" t="s">
        <v>69</v>
      </c>
      <c r="K353" s="1020" t="s">
        <v>69</v>
      </c>
      <c r="L353" s="1022" t="s">
        <v>70</v>
      </c>
      <c r="M353" s="1022" t="s">
        <v>70</v>
      </c>
      <c r="N353" s="1029" t="s">
        <v>100</v>
      </c>
      <c r="O353" s="1029" t="s">
        <v>100</v>
      </c>
      <c r="P353" s="1029"/>
      <c r="Q353" s="1029" t="s">
        <v>100</v>
      </c>
      <c r="R353" s="1029" t="s">
        <v>100</v>
      </c>
      <c r="S353" s="1029" t="s">
        <v>100</v>
      </c>
      <c r="T353" s="1029" t="s">
        <v>100</v>
      </c>
      <c r="U353" s="1020" t="s">
        <v>1193</v>
      </c>
      <c r="V353" s="1020" t="s">
        <v>1193</v>
      </c>
      <c r="W353" s="1020" t="s">
        <v>1193</v>
      </c>
      <c r="X353" s="1020" t="s">
        <v>1193</v>
      </c>
      <c r="Y353" s="1020" t="s">
        <v>1193</v>
      </c>
      <c r="Z353" s="1022" t="s">
        <v>1215</v>
      </c>
      <c r="AA353" s="1020" t="s">
        <v>1193</v>
      </c>
      <c r="AB353" s="1020" t="s">
        <v>69</v>
      </c>
      <c r="AC353" s="1020" t="s">
        <v>69</v>
      </c>
      <c r="AD353" s="1020" t="s">
        <v>69</v>
      </c>
      <c r="AE353" s="1022" t="s">
        <v>70</v>
      </c>
      <c r="AF353" s="1020" t="s">
        <v>69</v>
      </c>
      <c r="AG353" s="1022" t="s">
        <v>70</v>
      </c>
      <c r="AH353" s="1020" t="s">
        <v>69</v>
      </c>
      <c r="AI353" s="1022" t="s">
        <v>70</v>
      </c>
      <c r="AJ353" s="1020" t="s">
        <v>69</v>
      </c>
      <c r="AK353" s="1009" t="s">
        <v>70</v>
      </c>
      <c r="AL353" s="917"/>
      <c r="AM353" s="1040"/>
      <c r="AN353" s="1040"/>
      <c r="AO353" s="1040"/>
      <c r="AP353" s="1040"/>
      <c r="AQ353" s="1040"/>
      <c r="AR353" s="1040"/>
      <c r="AS353" s="1040"/>
      <c r="AT353" s="1040"/>
      <c r="AU353" s="1040"/>
      <c r="AV353" s="1040"/>
      <c r="AW353" s="1040"/>
      <c r="AX353" s="1040"/>
      <c r="AY353" s="1040"/>
      <c r="AZ353" s="1040"/>
      <c r="BA353" s="1040"/>
      <c r="BB353" s="1040"/>
      <c r="BC353" s="1040"/>
      <c r="BD353" s="1040"/>
      <c r="BE353" s="730"/>
      <c r="BF353" s="730"/>
      <c r="BG353" s="730"/>
      <c r="BH353" s="730"/>
      <c r="BI353" s="730"/>
      <c r="BJ353" s="730"/>
      <c r="BK353" s="730"/>
      <c r="BL353" s="730"/>
    </row>
    <row r="354">
      <c r="A354" s="901"/>
      <c r="B354" s="929" t="s">
        <v>1184</v>
      </c>
      <c r="C354" s="929" t="s">
        <v>21</v>
      </c>
      <c r="D354" s="1019" t="s">
        <v>70</v>
      </c>
      <c r="E354" s="1022" t="s">
        <v>70</v>
      </c>
      <c r="F354" s="1022" t="s">
        <v>70</v>
      </c>
      <c r="G354" s="1022" t="s">
        <v>70</v>
      </c>
      <c r="H354" s="1020" t="s">
        <v>69</v>
      </c>
      <c r="I354" s="1020" t="s">
        <v>69</v>
      </c>
      <c r="J354" s="1020" t="s">
        <v>69</v>
      </c>
      <c r="K354" s="1020" t="s">
        <v>69</v>
      </c>
      <c r="L354" s="1022" t="s">
        <v>70</v>
      </c>
      <c r="M354" s="1022" t="s">
        <v>70</v>
      </c>
      <c r="N354" s="1020" t="s">
        <v>69</v>
      </c>
      <c r="O354" s="1020" t="s">
        <v>69</v>
      </c>
      <c r="P354" s="1020"/>
      <c r="Q354" s="1020" t="s">
        <v>69</v>
      </c>
      <c r="R354" s="1022" t="s">
        <v>70</v>
      </c>
      <c r="S354" s="1020" t="s">
        <v>69</v>
      </c>
      <c r="T354" s="1020" t="s">
        <v>69</v>
      </c>
      <c r="U354" s="1020" t="s">
        <v>1193</v>
      </c>
      <c r="V354" s="1020" t="s">
        <v>1193</v>
      </c>
      <c r="W354" s="1020" t="s">
        <v>1193</v>
      </c>
      <c r="X354" s="1020" t="s">
        <v>1193</v>
      </c>
      <c r="Y354" s="1031" t="s">
        <v>99</v>
      </c>
      <c r="Z354" s="1022" t="s">
        <v>1215</v>
      </c>
      <c r="AA354" s="1020" t="s">
        <v>1193</v>
      </c>
      <c r="AB354" s="1020" t="s">
        <v>69</v>
      </c>
      <c r="AC354" s="1020" t="s">
        <v>69</v>
      </c>
      <c r="AD354" s="1020" t="s">
        <v>69</v>
      </c>
      <c r="AE354" s="1020" t="s">
        <v>69</v>
      </c>
      <c r="AF354" s="1020" t="s">
        <v>69</v>
      </c>
      <c r="AG354" s="1020" t="s">
        <v>69</v>
      </c>
      <c r="AH354" s="1020" t="s">
        <v>69</v>
      </c>
      <c r="AI354" s="1022" t="s">
        <v>70</v>
      </c>
      <c r="AJ354" s="1020" t="s">
        <v>69</v>
      </c>
      <c r="AK354" s="1009" t="s">
        <v>70</v>
      </c>
      <c r="AL354" s="917"/>
      <c r="AM354" s="1040"/>
      <c r="AN354" s="1040"/>
      <c r="AO354" s="1040"/>
      <c r="AP354" s="1040"/>
      <c r="AQ354" s="1040"/>
      <c r="AR354" s="1040"/>
      <c r="AS354" s="1040"/>
      <c r="AT354" s="1040"/>
      <c r="AU354" s="1040"/>
      <c r="AV354" s="1040"/>
      <c r="AW354" s="1040"/>
      <c r="AX354" s="1040"/>
      <c r="AY354" s="1040"/>
      <c r="AZ354" s="1"/>
      <c r="BA354" s="1"/>
      <c r="BB354" s="1"/>
      <c r="BC354" s="1"/>
      <c r="BD354" s="1"/>
      <c r="BE354" s="1135"/>
      <c r="BF354" s="1135"/>
      <c r="BG354" s="1135"/>
      <c r="BH354" s="1135"/>
      <c r="BI354" s="1135"/>
      <c r="BJ354" s="1135"/>
      <c r="BK354" s="1135"/>
      <c r="BL354" s="1135"/>
    </row>
    <row r="355">
      <c r="A355" s="901"/>
      <c r="B355" s="929" t="s">
        <v>1274</v>
      </c>
      <c r="C355" s="929" t="s">
        <v>21</v>
      </c>
      <c r="D355" s="1019" t="s">
        <v>70</v>
      </c>
      <c r="E355" s="1022" t="s">
        <v>70</v>
      </c>
      <c r="F355" s="1022" t="s">
        <v>70</v>
      </c>
      <c r="G355" s="1022" t="s">
        <v>70</v>
      </c>
      <c r="H355" s="1020" t="s">
        <v>69</v>
      </c>
      <c r="I355" s="1020" t="s">
        <v>69</v>
      </c>
      <c r="J355" s="1020" t="s">
        <v>69</v>
      </c>
      <c r="K355" s="1022" t="s">
        <v>70</v>
      </c>
      <c r="L355" s="1022" t="s">
        <v>70</v>
      </c>
      <c r="M355" s="1022" t="s">
        <v>70</v>
      </c>
      <c r="N355" s="1020" t="s">
        <v>69</v>
      </c>
      <c r="O355" s="1020" t="s">
        <v>69</v>
      </c>
      <c r="P355" s="1020"/>
      <c r="Q355" s="1022" t="s">
        <v>70</v>
      </c>
      <c r="R355" s="1020" t="s">
        <v>69</v>
      </c>
      <c r="S355" s="1020" t="s">
        <v>69</v>
      </c>
      <c r="T355" s="1022" t="s">
        <v>70</v>
      </c>
      <c r="U355" s="1020" t="s">
        <v>1193</v>
      </c>
      <c r="V355" s="1020" t="s">
        <v>1193</v>
      </c>
      <c r="W355" s="1020" t="s">
        <v>1193</v>
      </c>
      <c r="X355" s="1020" t="s">
        <v>1193</v>
      </c>
      <c r="Y355" s="1020" t="s">
        <v>1193</v>
      </c>
      <c r="Z355" s="1022" t="s">
        <v>1215</v>
      </c>
      <c r="AA355" s="1020" t="s">
        <v>1193</v>
      </c>
      <c r="AB355" s="1029" t="s">
        <v>100</v>
      </c>
      <c r="AC355" s="1029" t="s">
        <v>100</v>
      </c>
      <c r="AD355" s="1029" t="s">
        <v>100</v>
      </c>
      <c r="AE355" s="1029" t="s">
        <v>100</v>
      </c>
      <c r="AF355" s="1029" t="s">
        <v>100</v>
      </c>
      <c r="AG355" s="1029" t="s">
        <v>100</v>
      </c>
      <c r="AH355" s="1029" t="s">
        <v>100</v>
      </c>
      <c r="AI355" s="1029" t="s">
        <v>100</v>
      </c>
      <c r="AJ355" s="1029" t="s">
        <v>100</v>
      </c>
      <c r="AK355" s="1035" t="s">
        <v>100</v>
      </c>
      <c r="AL355" s="917"/>
      <c r="AM355" s="1040"/>
      <c r="AN355" s="1040"/>
      <c r="AO355" s="1040"/>
      <c r="AP355" s="1040"/>
      <c r="AQ355" s="1040"/>
      <c r="AR355" s="1040"/>
      <c r="AS355" s="1040"/>
      <c r="AT355" s="1040"/>
      <c r="AU355" s="1040"/>
      <c r="AV355" s="1040"/>
      <c r="AW355" s="1040"/>
      <c r="AX355" s="1040"/>
      <c r="AY355" s="1040"/>
      <c r="AZ355" s="1"/>
      <c r="BA355" s="1"/>
      <c r="BB355" s="1"/>
      <c r="BC355" s="1"/>
      <c r="BD355" s="1"/>
      <c r="BE355" s="1135"/>
      <c r="BF355" s="1135"/>
      <c r="BG355" s="1135"/>
      <c r="BH355" s="1135"/>
      <c r="BI355" s="1135"/>
      <c r="BJ355" s="1135"/>
      <c r="BK355" s="1135"/>
      <c r="BL355" s="1135"/>
    </row>
    <row r="356">
      <c r="A356" s="901"/>
      <c r="B356" s="929" t="s">
        <v>1262</v>
      </c>
      <c r="C356" s="929" t="s">
        <v>21</v>
      </c>
      <c r="D356" s="1019" t="s">
        <v>70</v>
      </c>
      <c r="E356" s="1022" t="s">
        <v>70</v>
      </c>
      <c r="F356" s="1022" t="s">
        <v>70</v>
      </c>
      <c r="G356" s="1022" t="s">
        <v>70</v>
      </c>
      <c r="H356" s="1020" t="s">
        <v>69</v>
      </c>
      <c r="I356" s="1020" t="s">
        <v>69</v>
      </c>
      <c r="J356" s="1020" t="s">
        <v>69</v>
      </c>
      <c r="K356" s="1020" t="s">
        <v>69</v>
      </c>
      <c r="L356" s="1022" t="s">
        <v>70</v>
      </c>
      <c r="M356" s="1022" t="s">
        <v>70</v>
      </c>
      <c r="N356" s="1020" t="s">
        <v>69</v>
      </c>
      <c r="O356" s="1020" t="s">
        <v>69</v>
      </c>
      <c r="P356" s="1020"/>
      <c r="Q356" s="1020" t="s">
        <v>69</v>
      </c>
      <c r="R356" s="1022" t="s">
        <v>70</v>
      </c>
      <c r="S356" s="1020" t="s">
        <v>69</v>
      </c>
      <c r="T356" s="1020" t="s">
        <v>69</v>
      </c>
      <c r="U356" s="1020" t="s">
        <v>1193</v>
      </c>
      <c r="V356" s="1020" t="s">
        <v>1193</v>
      </c>
      <c r="W356" s="1020" t="s">
        <v>1193</v>
      </c>
      <c r="X356" s="1020" t="s">
        <v>1193</v>
      </c>
      <c r="Y356" s="1031" t="s">
        <v>99</v>
      </c>
      <c r="Z356" s="1022" t="s">
        <v>1215</v>
      </c>
      <c r="AA356" s="1020" t="s">
        <v>1193</v>
      </c>
      <c r="AB356" s="1020" t="s">
        <v>69</v>
      </c>
      <c r="AC356" s="1020" t="s">
        <v>69</v>
      </c>
      <c r="AD356" s="1020" t="s">
        <v>69</v>
      </c>
      <c r="AE356" s="1022" t="s">
        <v>70</v>
      </c>
      <c r="AF356" s="1020" t="s">
        <v>69</v>
      </c>
      <c r="AG356" s="1020" t="s">
        <v>69</v>
      </c>
      <c r="AH356" s="1020" t="s">
        <v>69</v>
      </c>
      <c r="AI356" s="1022" t="s">
        <v>70</v>
      </c>
      <c r="AJ356" s="1020" t="s">
        <v>69</v>
      </c>
      <c r="AK356" s="1009" t="s">
        <v>70</v>
      </c>
      <c r="AL356" s="917"/>
      <c r="AM356" s="1040"/>
      <c r="AN356" s="1040"/>
      <c r="AO356" s="1040"/>
      <c r="AP356" s="1040"/>
      <c r="AQ356" s="1040"/>
      <c r="AR356" s="1040"/>
      <c r="AS356" s="1040"/>
      <c r="AT356" s="1040"/>
      <c r="AU356" s="1040"/>
      <c r="AV356" s="1040"/>
      <c r="AW356" s="1040"/>
      <c r="AX356" s="1040"/>
      <c r="AY356" s="1040"/>
      <c r="AZ356" s="1"/>
      <c r="BA356" s="1"/>
      <c r="BB356" s="1"/>
      <c r="BC356" s="1"/>
      <c r="BD356" s="1"/>
      <c r="BE356" s="1135"/>
      <c r="BF356" s="1135"/>
      <c r="BG356" s="1135"/>
      <c r="BH356" s="1135"/>
      <c r="BI356" s="1135"/>
      <c r="BJ356" s="1135"/>
      <c r="BK356" s="1135"/>
      <c r="BL356" s="1135"/>
    </row>
    <row r="357">
      <c r="A357" s="901"/>
      <c r="B357" s="950" t="s">
        <v>1202</v>
      </c>
      <c r="C357" s="950" t="s">
        <v>12</v>
      </c>
      <c r="D357" s="1019" t="s">
        <v>70</v>
      </c>
      <c r="E357" s="1031" t="s">
        <v>99</v>
      </c>
      <c r="F357" s="1022" t="s">
        <v>70</v>
      </c>
      <c r="G357" s="1022" t="s">
        <v>70</v>
      </c>
      <c r="H357" s="1022" t="s">
        <v>70</v>
      </c>
      <c r="I357" s="1022" t="s">
        <v>70</v>
      </c>
      <c r="J357" s="1020" t="s">
        <v>69</v>
      </c>
      <c r="K357" s="1022" t="s">
        <v>70</v>
      </c>
      <c r="L357" s="1022" t="s">
        <v>70</v>
      </c>
      <c r="M357" s="1022" t="s">
        <v>70</v>
      </c>
      <c r="N357" s="1022" t="s">
        <v>70</v>
      </c>
      <c r="O357" s="1020" t="s">
        <v>69</v>
      </c>
      <c r="P357" s="1020"/>
      <c r="Q357" s="1020" t="s">
        <v>69</v>
      </c>
      <c r="R357" s="1022" t="s">
        <v>70</v>
      </c>
      <c r="S357" s="1020" t="s">
        <v>69</v>
      </c>
      <c r="T357" s="1022" t="s">
        <v>70</v>
      </c>
      <c r="U357" s="1022" t="s">
        <v>1215</v>
      </c>
      <c r="V357" s="1022" t="s">
        <v>1215</v>
      </c>
      <c r="W357" s="1020" t="s">
        <v>1193</v>
      </c>
      <c r="X357" s="1020" t="s">
        <v>1193</v>
      </c>
      <c r="Y357" s="1022" t="s">
        <v>1215</v>
      </c>
      <c r="Z357" s="1020" t="s">
        <v>1193</v>
      </c>
      <c r="AA357" s="1022" t="s">
        <v>1215</v>
      </c>
      <c r="AB357" s="1020" t="s">
        <v>69</v>
      </c>
      <c r="AC357" s="1020" t="s">
        <v>69</v>
      </c>
      <c r="AD357" s="1020" t="s">
        <v>69</v>
      </c>
      <c r="AE357" s="1022" t="s">
        <v>70</v>
      </c>
      <c r="AF357" s="1022" t="s">
        <v>70</v>
      </c>
      <c r="AG357" s="1022" t="s">
        <v>70</v>
      </c>
      <c r="AH357" s="1020" t="s">
        <v>69</v>
      </c>
      <c r="AI357" s="1022" t="s">
        <v>70</v>
      </c>
      <c r="AJ357" s="1020" t="s">
        <v>69</v>
      </c>
      <c r="AK357" s="973" t="s">
        <v>69</v>
      </c>
      <c r="AL357" s="917"/>
      <c r="AM357" s="1040"/>
      <c r="AN357" s="1040"/>
      <c r="AO357" s="1040"/>
      <c r="AP357" s="1040"/>
      <c r="AQ357" s="1040"/>
      <c r="AR357" s="1040"/>
      <c r="AS357" s="1040"/>
      <c r="AT357" s="1040"/>
      <c r="AU357" s="1040"/>
      <c r="AV357" s="1040"/>
      <c r="AW357" s="1040"/>
      <c r="AX357" s="1040"/>
      <c r="AY357" s="1040"/>
      <c r="AZ357" s="1"/>
      <c r="BA357" s="1"/>
      <c r="BB357" s="1"/>
      <c r="BC357" s="1"/>
      <c r="BD357" s="1"/>
      <c r="BE357" s="1135"/>
      <c r="BF357" s="1135"/>
      <c r="BG357" s="1135"/>
      <c r="BH357" s="1135"/>
      <c r="BI357" s="1135"/>
      <c r="BJ357" s="1135"/>
      <c r="BK357" s="1135"/>
      <c r="BL357" s="1135"/>
    </row>
    <row r="358">
      <c r="A358" s="901"/>
      <c r="B358" s="1136" t="s">
        <v>37</v>
      </c>
      <c r="C358" s="1136" t="s">
        <v>12</v>
      </c>
      <c r="D358" s="1019" t="s">
        <v>70</v>
      </c>
      <c r="E358" s="1022" t="s">
        <v>70</v>
      </c>
      <c r="F358" s="1022" t="s">
        <v>70</v>
      </c>
      <c r="G358" s="1022" t="s">
        <v>70</v>
      </c>
      <c r="H358" s="1022" t="s">
        <v>70</v>
      </c>
      <c r="I358" s="1020" t="s">
        <v>69</v>
      </c>
      <c r="J358" s="1020" t="s">
        <v>69</v>
      </c>
      <c r="K358" s="1022" t="s">
        <v>70</v>
      </c>
      <c r="L358" s="1022" t="s">
        <v>70</v>
      </c>
      <c r="M358" s="1022" t="s">
        <v>70</v>
      </c>
      <c r="N358" s="1022" t="s">
        <v>70</v>
      </c>
      <c r="O358" s="1022" t="s">
        <v>70</v>
      </c>
      <c r="P358" s="1022"/>
      <c r="Q358" s="1020" t="s">
        <v>69</v>
      </c>
      <c r="R358" s="1022" t="s">
        <v>70</v>
      </c>
      <c r="S358" s="1020" t="s">
        <v>69</v>
      </c>
      <c r="T358" s="1022" t="s">
        <v>70</v>
      </c>
      <c r="U358" s="1022" t="s">
        <v>1215</v>
      </c>
      <c r="V358" s="1022" t="s">
        <v>1215</v>
      </c>
      <c r="W358" s="1020" t="s">
        <v>1193</v>
      </c>
      <c r="X358" s="1022" t="s">
        <v>1215</v>
      </c>
      <c r="Y358" s="1022" t="s">
        <v>1215</v>
      </c>
      <c r="Z358" s="1020" t="s">
        <v>1193</v>
      </c>
      <c r="AA358" s="1022" t="s">
        <v>1215</v>
      </c>
      <c r="AB358" s="1022" t="s">
        <v>70</v>
      </c>
      <c r="AC358" s="1020" t="s">
        <v>69</v>
      </c>
      <c r="AD358" s="1022" t="s">
        <v>70</v>
      </c>
      <c r="AE358" s="1022" t="s">
        <v>70</v>
      </c>
      <c r="AF358" s="1022" t="s">
        <v>70</v>
      </c>
      <c r="AG358" s="1022" t="s">
        <v>70</v>
      </c>
      <c r="AH358" s="1020" t="s">
        <v>69</v>
      </c>
      <c r="AI358" s="1022" t="s">
        <v>70</v>
      </c>
      <c r="AJ358" s="1020" t="s">
        <v>69</v>
      </c>
      <c r="AK358" s="973" t="s">
        <v>69</v>
      </c>
      <c r="AL358" s="917"/>
      <c r="AM358" s="1040"/>
      <c r="AN358" s="1040"/>
      <c r="AO358" s="1040"/>
      <c r="AP358" s="1040"/>
      <c r="AQ358" s="1040"/>
      <c r="AR358" s="1040"/>
      <c r="AS358" s="1040"/>
      <c r="AT358" s="1040"/>
      <c r="AU358" s="1040"/>
      <c r="AV358" s="1040"/>
      <c r="AW358" s="1040"/>
      <c r="AX358" s="1040"/>
      <c r="AY358" s="1040"/>
      <c r="AZ358" s="1"/>
      <c r="BA358" s="1"/>
      <c r="BB358" s="1"/>
      <c r="BC358" s="1"/>
      <c r="BD358" s="1"/>
      <c r="BE358" s="1135"/>
      <c r="BF358" s="1135"/>
      <c r="BG358" s="1135"/>
      <c r="BH358" s="1135"/>
      <c r="BI358" s="1135"/>
      <c r="BJ358" s="1135"/>
      <c r="BK358" s="1135"/>
      <c r="BL358" s="1135"/>
    </row>
    <row r="359">
      <c r="A359" s="901"/>
      <c r="B359" s="1136" t="s">
        <v>41</v>
      </c>
      <c r="C359" s="1136" t="s">
        <v>12</v>
      </c>
      <c r="D359" s="1137" t="s">
        <v>70</v>
      </c>
      <c r="E359" s="1138" t="s">
        <v>70</v>
      </c>
      <c r="F359" s="1138" t="s">
        <v>70</v>
      </c>
      <c r="G359" s="1138" t="s">
        <v>70</v>
      </c>
      <c r="H359" s="1138" t="s">
        <v>70</v>
      </c>
      <c r="I359" s="1138" t="s">
        <v>70</v>
      </c>
      <c r="J359" s="1138" t="s">
        <v>70</v>
      </c>
      <c r="K359" s="1139" t="s">
        <v>99</v>
      </c>
      <c r="L359" s="1138" t="s">
        <v>70</v>
      </c>
      <c r="M359" s="1138" t="s">
        <v>70</v>
      </c>
      <c r="N359" s="1022" t="s">
        <v>70</v>
      </c>
      <c r="O359" s="1022" t="s">
        <v>70</v>
      </c>
      <c r="P359" s="1022"/>
      <c r="Q359" s="1020" t="s">
        <v>69</v>
      </c>
      <c r="R359" s="1022" t="s">
        <v>70</v>
      </c>
      <c r="S359" s="1020" t="s">
        <v>69</v>
      </c>
      <c r="T359" s="1022" t="s">
        <v>70</v>
      </c>
      <c r="U359" s="1022" t="s">
        <v>1215</v>
      </c>
      <c r="V359" s="1022" t="s">
        <v>1215</v>
      </c>
      <c r="W359" s="1020" t="s">
        <v>1193</v>
      </c>
      <c r="X359" s="1020" t="s">
        <v>1193</v>
      </c>
      <c r="Y359" s="1022" t="s">
        <v>1215</v>
      </c>
      <c r="Z359" s="1020" t="s">
        <v>1193</v>
      </c>
      <c r="AA359" s="1022" t="s">
        <v>1215</v>
      </c>
      <c r="AB359" s="1022" t="s">
        <v>70</v>
      </c>
      <c r="AC359" s="1020" t="s">
        <v>69</v>
      </c>
      <c r="AD359" s="1022" t="s">
        <v>70</v>
      </c>
      <c r="AE359" s="1022" t="s">
        <v>70</v>
      </c>
      <c r="AF359" s="1022" t="s">
        <v>70</v>
      </c>
      <c r="AG359" s="1022" t="s">
        <v>70</v>
      </c>
      <c r="AH359" s="1020" t="s">
        <v>69</v>
      </c>
      <c r="AI359" s="1022" t="s">
        <v>70</v>
      </c>
      <c r="AJ359" s="1020" t="s">
        <v>69</v>
      </c>
      <c r="AK359" s="973" t="s">
        <v>69</v>
      </c>
      <c r="AL359" s="917"/>
      <c r="AM359" s="1040"/>
      <c r="AN359" s="1040"/>
      <c r="AO359" s="1040"/>
      <c r="AP359" s="1040"/>
      <c r="AQ359" s="1040"/>
      <c r="AR359" s="1040"/>
      <c r="AS359" s="1040"/>
      <c r="AT359" s="1040"/>
      <c r="AU359" s="1040"/>
      <c r="AV359" s="1040"/>
      <c r="AW359" s="1040"/>
      <c r="AX359" s="1040"/>
      <c r="AY359" s="1040"/>
      <c r="AZ359" s="1"/>
      <c r="BA359" s="1"/>
      <c r="BB359" s="1"/>
      <c r="BC359" s="1"/>
      <c r="BD359" s="1"/>
      <c r="BE359" s="1135"/>
      <c r="BF359" s="1135"/>
      <c r="BG359" s="1135"/>
      <c r="BH359" s="1135"/>
      <c r="BI359" s="1135"/>
      <c r="BJ359" s="1135"/>
      <c r="BK359" s="1135"/>
      <c r="BL359" s="1135"/>
    </row>
    <row r="360">
      <c r="A360" s="901"/>
      <c r="B360" s="1136" t="s">
        <v>1182</v>
      </c>
      <c r="C360" s="1136" t="s">
        <v>12</v>
      </c>
      <c r="D360" s="1140"/>
      <c r="E360" s="108"/>
      <c r="F360" s="108"/>
      <c r="G360" s="108"/>
      <c r="H360" s="108"/>
      <c r="I360" s="108"/>
      <c r="J360" s="108"/>
      <c r="K360" s="108"/>
      <c r="L360" s="108"/>
      <c r="M360" s="109"/>
      <c r="N360" s="1020" t="s">
        <v>69</v>
      </c>
      <c r="O360" s="1022" t="s">
        <v>70</v>
      </c>
      <c r="P360" s="1022"/>
      <c r="Q360" s="1022" t="s">
        <v>70</v>
      </c>
      <c r="R360" s="1031" t="s">
        <v>99</v>
      </c>
      <c r="S360" s="1020" t="s">
        <v>69</v>
      </c>
      <c r="T360" s="1022" t="s">
        <v>70</v>
      </c>
      <c r="U360" s="1022" t="s">
        <v>1215</v>
      </c>
      <c r="V360" s="1020" t="s">
        <v>1193</v>
      </c>
      <c r="W360" s="1020" t="s">
        <v>1193</v>
      </c>
      <c r="X360" s="1031" t="s">
        <v>99</v>
      </c>
      <c r="Y360" s="1020" t="s">
        <v>1193</v>
      </c>
      <c r="Z360" s="1020" t="s">
        <v>1193</v>
      </c>
      <c r="AA360" s="1022" t="s">
        <v>1215</v>
      </c>
      <c r="AB360" s="1022" t="s">
        <v>70</v>
      </c>
      <c r="AC360" s="1020" t="s">
        <v>69</v>
      </c>
      <c r="AD360" s="1020" t="s">
        <v>69</v>
      </c>
      <c r="AE360" s="1022" t="s">
        <v>70</v>
      </c>
      <c r="AF360" s="1022" t="s">
        <v>70</v>
      </c>
      <c r="AG360" s="1022" t="s">
        <v>70</v>
      </c>
      <c r="AH360" s="1020" t="s">
        <v>69</v>
      </c>
      <c r="AI360" s="1022" t="s">
        <v>70</v>
      </c>
      <c r="AJ360" s="1022" t="s">
        <v>70</v>
      </c>
      <c r="AK360" s="1141" t="s">
        <v>99</v>
      </c>
      <c r="AL360" s="917"/>
      <c r="AM360" s="1040"/>
      <c r="AN360" s="1040"/>
      <c r="AO360" s="1040"/>
      <c r="AP360" s="1040"/>
      <c r="AQ360" s="1040"/>
      <c r="AR360" s="1040"/>
      <c r="AS360" s="1040"/>
      <c r="AT360" s="1040"/>
      <c r="AU360" s="1040"/>
      <c r="AV360" s="1040"/>
      <c r="AW360" s="1040"/>
      <c r="AX360" s="1040"/>
      <c r="AY360" s="1040"/>
      <c r="AZ360" s="1040"/>
      <c r="BA360" s="1040"/>
      <c r="BB360" s="1040"/>
      <c r="BC360" s="1040"/>
      <c r="BD360" s="1040"/>
      <c r="BE360" s="730"/>
      <c r="BF360" s="730"/>
      <c r="BG360" s="730"/>
      <c r="BH360" s="730"/>
      <c r="BI360" s="730"/>
      <c r="BJ360" s="730"/>
      <c r="BK360" s="730"/>
      <c r="BL360" s="730"/>
    </row>
    <row r="361">
      <c r="A361" s="901"/>
      <c r="B361" s="1095" t="s">
        <v>51</v>
      </c>
      <c r="C361" s="1095" t="s">
        <v>174</v>
      </c>
      <c r="D361" s="1137" t="s">
        <v>70</v>
      </c>
      <c r="E361" s="1138" t="s">
        <v>70</v>
      </c>
      <c r="F361" s="1138" t="s">
        <v>70</v>
      </c>
      <c r="G361" s="1022" t="s">
        <v>70</v>
      </c>
      <c r="H361" s="1022" t="s">
        <v>70</v>
      </c>
      <c r="I361" s="1020" t="s">
        <v>69</v>
      </c>
      <c r="J361" s="1020" t="s">
        <v>69</v>
      </c>
      <c r="K361" s="1022" t="s">
        <v>70</v>
      </c>
      <c r="L361" s="1022" t="s">
        <v>70</v>
      </c>
      <c r="M361" s="1022" t="s">
        <v>70</v>
      </c>
      <c r="N361" s="1020" t="s">
        <v>69</v>
      </c>
      <c r="O361" s="1020" t="s">
        <v>69</v>
      </c>
      <c r="P361" s="1020"/>
      <c r="Q361" s="1020" t="s">
        <v>69</v>
      </c>
      <c r="R361" s="1020" t="s">
        <v>69</v>
      </c>
      <c r="S361" s="1020" t="s">
        <v>69</v>
      </c>
      <c r="T361" s="1022" t="s">
        <v>70</v>
      </c>
      <c r="U361" s="1022" t="s">
        <v>1215</v>
      </c>
      <c r="V361" s="1020" t="s">
        <v>1193</v>
      </c>
      <c r="W361" s="1020" t="s">
        <v>1193</v>
      </c>
      <c r="X361" s="1022" t="s">
        <v>1215</v>
      </c>
      <c r="Y361" s="1022" t="s">
        <v>1215</v>
      </c>
      <c r="Z361" s="1020" t="s">
        <v>1193</v>
      </c>
      <c r="AA361" s="1022" t="s">
        <v>1215</v>
      </c>
      <c r="AB361" s="1031" t="s">
        <v>99</v>
      </c>
      <c r="AC361" s="1020" t="s">
        <v>69</v>
      </c>
      <c r="AD361" s="1022" t="s">
        <v>70</v>
      </c>
      <c r="AE361" s="1022" t="s">
        <v>70</v>
      </c>
      <c r="AF361" s="1022" t="s">
        <v>70</v>
      </c>
      <c r="AG361" s="1022" t="s">
        <v>70</v>
      </c>
      <c r="AH361" s="1020" t="s">
        <v>69</v>
      </c>
      <c r="AI361" s="1020" t="s">
        <v>69</v>
      </c>
      <c r="AJ361" s="1020" t="s">
        <v>69</v>
      </c>
      <c r="AK361" s="973" t="s">
        <v>69</v>
      </c>
      <c r="AL361" s="917"/>
      <c r="AM361" s="1040"/>
      <c r="AN361" s="1040"/>
      <c r="AO361" s="1040"/>
      <c r="AP361" s="1040"/>
      <c r="AQ361" s="1040"/>
      <c r="AR361" s="1040"/>
      <c r="AS361" s="1040"/>
      <c r="AT361" s="1040"/>
      <c r="AU361" s="1040"/>
      <c r="AV361" s="1040"/>
      <c r="AW361" s="1040"/>
      <c r="AX361" s="1040"/>
      <c r="AY361" s="1040"/>
      <c r="AZ361" s="1"/>
      <c r="BA361" s="1"/>
      <c r="BB361" s="1"/>
      <c r="BC361" s="1"/>
      <c r="BD361" s="1"/>
      <c r="BE361" s="1135"/>
      <c r="BF361" s="1135"/>
      <c r="BG361" s="1135"/>
      <c r="BH361" s="1135"/>
      <c r="BI361" s="1135"/>
      <c r="BJ361" s="1135"/>
      <c r="BK361" s="1135"/>
      <c r="BL361" s="1135"/>
    </row>
    <row r="362">
      <c r="A362" s="901"/>
      <c r="B362" s="1142" t="s">
        <v>142</v>
      </c>
      <c r="C362" s="1142" t="s">
        <v>174</v>
      </c>
      <c r="D362" s="1065"/>
      <c r="E362" s="108"/>
      <c r="F362" s="109"/>
      <c r="G362" s="1022" t="s">
        <v>70</v>
      </c>
      <c r="H362" s="1022" t="s">
        <v>70</v>
      </c>
      <c r="I362" s="1020" t="s">
        <v>69</v>
      </c>
      <c r="J362" s="1020" t="s">
        <v>69</v>
      </c>
      <c r="K362" s="1022" t="s">
        <v>70</v>
      </c>
      <c r="L362" s="1022" t="s">
        <v>70</v>
      </c>
      <c r="M362" s="1022" t="s">
        <v>70</v>
      </c>
      <c r="N362" s="1020" t="s">
        <v>69</v>
      </c>
      <c r="O362" s="1020" t="s">
        <v>69</v>
      </c>
      <c r="P362" s="1020"/>
      <c r="Q362" s="1020" t="s">
        <v>69</v>
      </c>
      <c r="R362" s="1020" t="s">
        <v>69</v>
      </c>
      <c r="S362" s="1020" t="s">
        <v>69</v>
      </c>
      <c r="T362" s="1022" t="s">
        <v>70</v>
      </c>
      <c r="U362" s="1022" t="s">
        <v>1215</v>
      </c>
      <c r="V362" s="1020" t="s">
        <v>1193</v>
      </c>
      <c r="W362" s="1020" t="s">
        <v>1193</v>
      </c>
      <c r="X362" s="1022" t="s">
        <v>1215</v>
      </c>
      <c r="Y362" s="1022" t="s">
        <v>1215</v>
      </c>
      <c r="Z362" s="1020" t="s">
        <v>1193</v>
      </c>
      <c r="AA362" s="1022" t="s">
        <v>1215</v>
      </c>
      <c r="AB362" s="1029" t="s">
        <v>100</v>
      </c>
      <c r="AC362" s="1029" t="s">
        <v>100</v>
      </c>
      <c r="AD362" s="1022" t="s">
        <v>70</v>
      </c>
      <c r="AE362" s="1022" t="s">
        <v>70</v>
      </c>
      <c r="AF362" s="1022" t="s">
        <v>70</v>
      </c>
      <c r="AG362" s="1022" t="s">
        <v>70</v>
      </c>
      <c r="AH362" s="1020" t="s">
        <v>69</v>
      </c>
      <c r="AI362" s="1020" t="s">
        <v>69</v>
      </c>
      <c r="AJ362" s="1020" t="s">
        <v>69</v>
      </c>
      <c r="AK362" s="973" t="s">
        <v>69</v>
      </c>
      <c r="AL362" s="917"/>
      <c r="AM362" s="1040"/>
      <c r="AN362" s="1040"/>
      <c r="AO362" s="1040"/>
      <c r="AP362" s="1040"/>
      <c r="AQ362" s="1040"/>
      <c r="AR362" s="1040"/>
      <c r="AS362" s="1040"/>
      <c r="AT362" s="1040"/>
      <c r="AU362" s="1040"/>
      <c r="AV362" s="1040"/>
      <c r="AW362" s="1040"/>
      <c r="AX362" s="1040"/>
      <c r="AY362" s="1040"/>
      <c r="AZ362" s="1"/>
      <c r="BA362" s="1"/>
      <c r="BB362" s="1"/>
      <c r="BC362" s="1"/>
      <c r="BD362" s="1"/>
      <c r="BE362" s="1135"/>
      <c r="BF362" s="1135"/>
      <c r="BG362" s="1135"/>
      <c r="BH362" s="1135"/>
      <c r="BI362" s="1135"/>
      <c r="BJ362" s="1135"/>
      <c r="BK362" s="1135"/>
      <c r="BL362" s="1135"/>
    </row>
    <row r="363">
      <c r="A363" s="901"/>
      <c r="B363" s="1142" t="s">
        <v>55</v>
      </c>
      <c r="C363" s="1142" t="s">
        <v>174</v>
      </c>
      <c r="D363" s="1009" t="s">
        <v>70</v>
      </c>
      <c r="E363" s="1009" t="s">
        <v>70</v>
      </c>
      <c r="F363" s="1009" t="s">
        <v>70</v>
      </c>
      <c r="G363" s="1009" t="s">
        <v>70</v>
      </c>
      <c r="H363" s="1009" t="s">
        <v>70</v>
      </c>
      <c r="I363" s="973" t="s">
        <v>69</v>
      </c>
      <c r="J363" s="973" t="s">
        <v>69</v>
      </c>
      <c r="K363" s="1009" t="s">
        <v>70</v>
      </c>
      <c r="L363" s="1009" t="s">
        <v>70</v>
      </c>
      <c r="M363" s="1009" t="s">
        <v>70</v>
      </c>
      <c r="N363" s="973" t="s">
        <v>69</v>
      </c>
      <c r="O363" s="973" t="s">
        <v>69</v>
      </c>
      <c r="P363" s="973"/>
      <c r="Q363" s="973" t="s">
        <v>69</v>
      </c>
      <c r="R363" s="973" t="s">
        <v>69</v>
      </c>
      <c r="S363" s="973" t="s">
        <v>69</v>
      </c>
      <c r="T363" s="1009" t="s">
        <v>70</v>
      </c>
      <c r="U363" s="1009" t="s">
        <v>1215</v>
      </c>
      <c r="V363" s="973" t="s">
        <v>1193</v>
      </c>
      <c r="W363" s="973" t="s">
        <v>1193</v>
      </c>
      <c r="X363" s="1009" t="s">
        <v>1215</v>
      </c>
      <c r="Y363" s="1009" t="s">
        <v>1215</v>
      </c>
      <c r="Z363" s="973" t="s">
        <v>1193</v>
      </c>
      <c r="AA363" s="1009" t="s">
        <v>1215</v>
      </c>
      <c r="AB363" s="973" t="s">
        <v>69</v>
      </c>
      <c r="AC363" s="973" t="s">
        <v>69</v>
      </c>
      <c r="AD363" s="1009" t="s">
        <v>70</v>
      </c>
      <c r="AE363" s="1009" t="s">
        <v>70</v>
      </c>
      <c r="AF363" s="1009" t="s">
        <v>70</v>
      </c>
      <c r="AG363" s="1009" t="s">
        <v>70</v>
      </c>
      <c r="AH363" s="973" t="s">
        <v>69</v>
      </c>
      <c r="AI363" s="973" t="s">
        <v>69</v>
      </c>
      <c r="AJ363" s="973" t="s">
        <v>69</v>
      </c>
      <c r="AK363" s="973" t="s">
        <v>69</v>
      </c>
      <c r="AL363" s="917"/>
      <c r="AM363" s="1040"/>
      <c r="AN363" s="1040"/>
      <c r="AO363" s="1040"/>
      <c r="AP363" s="1040"/>
      <c r="AQ363" s="1040"/>
      <c r="AR363" s="1040"/>
      <c r="AS363" s="1040"/>
      <c r="AT363" s="1040"/>
      <c r="AU363" s="1040"/>
      <c r="AV363" s="1040"/>
      <c r="AW363" s="1040"/>
      <c r="AX363" s="1040"/>
      <c r="AY363" s="1040"/>
      <c r="AZ363" s="1"/>
      <c r="BA363" s="1"/>
      <c r="BB363" s="1"/>
      <c r="BC363" s="1"/>
      <c r="BD363" s="1"/>
      <c r="BE363" s="1135"/>
      <c r="BF363" s="1135"/>
      <c r="BG363" s="1135"/>
      <c r="BH363" s="1135"/>
      <c r="BI363" s="1135"/>
      <c r="BJ363" s="1135"/>
      <c r="BK363" s="1135"/>
      <c r="BL363" s="1135"/>
    </row>
    <row r="364">
      <c r="A364" s="901"/>
      <c r="B364" s="1143" t="s">
        <v>1208</v>
      </c>
      <c r="C364" s="1143" t="s">
        <v>174</v>
      </c>
      <c r="D364" s="1019" t="s">
        <v>70</v>
      </c>
      <c r="E364" s="1022" t="s">
        <v>70</v>
      </c>
      <c r="F364" s="1022" t="s">
        <v>70</v>
      </c>
      <c r="G364" s="1108"/>
      <c r="AY364" s="1052"/>
      <c r="AZ364" s="3"/>
      <c r="BA364" s="1"/>
      <c r="BB364" s="1"/>
      <c r="BC364" s="1"/>
      <c r="BD364" s="1"/>
      <c r="BE364" s="1135"/>
      <c r="BF364" s="1135"/>
      <c r="BG364" s="1135"/>
      <c r="BH364" s="1135"/>
      <c r="BI364" s="1135"/>
      <c r="BJ364" s="1135"/>
      <c r="BK364" s="1135"/>
      <c r="BL364" s="1135"/>
    </row>
    <row r="365">
      <c r="A365" s="901"/>
      <c r="B365" s="1144" t="s">
        <v>1182</v>
      </c>
      <c r="C365" s="1144" t="s">
        <v>337</v>
      </c>
      <c r="D365" s="1019" t="s">
        <v>70</v>
      </c>
      <c r="E365" s="1031" t="s">
        <v>99</v>
      </c>
      <c r="F365" s="1022" t="s">
        <v>70</v>
      </c>
      <c r="G365" s="1010" t="s">
        <v>70</v>
      </c>
      <c r="H365" s="1145" t="s">
        <v>99</v>
      </c>
      <c r="I365" s="1017" t="s">
        <v>69</v>
      </c>
      <c r="J365" s="1017" t="s">
        <v>69</v>
      </c>
      <c r="K365" s="1017" t="s">
        <v>69</v>
      </c>
      <c r="L365" s="1010" t="s">
        <v>70</v>
      </c>
      <c r="M365" s="1017" t="s">
        <v>69</v>
      </c>
      <c r="N365" s="1146"/>
      <c r="O365" s="1045"/>
      <c r="P365" s="1045"/>
      <c r="Q365" s="1045"/>
      <c r="R365" s="1045"/>
      <c r="S365" s="1045"/>
      <c r="T365" s="1046"/>
      <c r="U365" s="1147"/>
      <c r="V365" s="1045"/>
      <c r="W365" s="1045"/>
      <c r="X365" s="1045"/>
      <c r="Y365" s="1045"/>
      <c r="Z365" s="1045"/>
      <c r="AA365" s="1045"/>
      <c r="AB365" s="1045"/>
      <c r="AC365" s="1045"/>
      <c r="AD365" s="1045"/>
      <c r="AE365" s="1045"/>
      <c r="AF365" s="1045"/>
      <c r="AG365" s="1045"/>
      <c r="AH365" s="1045"/>
      <c r="AI365" s="1045"/>
      <c r="AJ365" s="1045"/>
      <c r="AK365" s="1045"/>
      <c r="AL365" s="1045"/>
      <c r="AM365" s="1045"/>
      <c r="AN365" s="1045"/>
      <c r="AO365" s="1045"/>
      <c r="AP365" s="1045"/>
      <c r="AQ365" s="1045"/>
      <c r="AR365" s="1045"/>
      <c r="AS365" s="1045"/>
      <c r="AT365" s="1045"/>
      <c r="AU365" s="1045"/>
      <c r="AV365" s="1045"/>
      <c r="AW365" s="1045"/>
      <c r="AX365" s="1045"/>
      <c r="AY365" s="1046"/>
      <c r="AZ365" s="3"/>
      <c r="BA365" s="1"/>
      <c r="BB365" s="1"/>
      <c r="BC365" s="1"/>
      <c r="BD365" s="1"/>
      <c r="BE365" s="1135"/>
      <c r="BF365" s="1135"/>
      <c r="BG365" s="1135"/>
      <c r="BH365" s="1135"/>
      <c r="BI365" s="1135"/>
      <c r="BJ365" s="1135"/>
      <c r="BK365" s="1135"/>
      <c r="BL365" s="1135"/>
    </row>
    <row r="366">
      <c r="A366" s="901"/>
      <c r="B366" s="1148" t="s">
        <v>1260</v>
      </c>
      <c r="C366" s="1148" t="s">
        <v>337</v>
      </c>
      <c r="D366" s="1137" t="s">
        <v>70</v>
      </c>
      <c r="E366" s="1138" t="s">
        <v>70</v>
      </c>
      <c r="F366" s="1149" t="s">
        <v>69</v>
      </c>
      <c r="G366" s="1150" t="s">
        <v>100</v>
      </c>
      <c r="H366" s="1150" t="s">
        <v>100</v>
      </c>
      <c r="I366" s="1150" t="s">
        <v>100</v>
      </c>
      <c r="J366" s="1150" t="s">
        <v>100</v>
      </c>
      <c r="K366" s="1150" t="s">
        <v>100</v>
      </c>
      <c r="L366" s="1150" t="s">
        <v>100</v>
      </c>
      <c r="M366" s="1150" t="s">
        <v>100</v>
      </c>
      <c r="N366" s="1056"/>
      <c r="O366" s="1056"/>
      <c r="P366" s="1056"/>
      <c r="Q366" s="1056"/>
      <c r="R366" s="1056"/>
      <c r="S366" s="1056"/>
      <c r="T366" s="1058"/>
      <c r="U366" s="1051"/>
      <c r="AY366" s="1052"/>
      <c r="AZ366" s="917"/>
      <c r="BA366" s="1040"/>
      <c r="BB366" s="1040"/>
      <c r="BC366" s="1040"/>
      <c r="BD366" s="1040"/>
      <c r="BE366" s="730"/>
      <c r="BF366" s="730"/>
      <c r="BG366" s="730"/>
      <c r="BH366" s="730"/>
      <c r="BI366" s="730"/>
      <c r="BJ366" s="730"/>
      <c r="BK366" s="730"/>
      <c r="BL366" s="730"/>
    </row>
    <row r="367">
      <c r="A367" s="1013"/>
      <c r="B367" s="1148" t="s">
        <v>61</v>
      </c>
      <c r="C367" s="1148" t="s">
        <v>337</v>
      </c>
      <c r="D367" s="1065"/>
      <c r="E367" s="108"/>
      <c r="F367" s="108"/>
      <c r="G367" s="108"/>
      <c r="H367" s="108"/>
      <c r="I367" s="108"/>
      <c r="J367" s="108"/>
      <c r="K367" s="108"/>
      <c r="L367" s="108"/>
      <c r="M367" s="109"/>
      <c r="N367" s="973" t="s">
        <v>69</v>
      </c>
      <c r="O367" s="973" t="s">
        <v>69</v>
      </c>
      <c r="P367" s="973"/>
      <c r="Q367" s="973" t="s">
        <v>69</v>
      </c>
      <c r="R367" s="973" t="s">
        <v>69</v>
      </c>
      <c r="S367" s="973" t="s">
        <v>69</v>
      </c>
      <c r="T367" s="1009" t="s">
        <v>70</v>
      </c>
      <c r="U367" s="1057"/>
      <c r="V367" s="1056"/>
      <c r="W367" s="1056"/>
      <c r="X367" s="1056"/>
      <c r="Y367" s="1056"/>
      <c r="Z367" s="1056"/>
      <c r="AA367" s="1056"/>
      <c r="AB367" s="1056"/>
      <c r="AC367" s="1056"/>
      <c r="AD367" s="1056"/>
      <c r="AE367" s="1056"/>
      <c r="AF367" s="1056"/>
      <c r="AG367" s="1056"/>
      <c r="AH367" s="1056"/>
      <c r="AI367" s="1056"/>
      <c r="AJ367" s="1056"/>
      <c r="AK367" s="1056"/>
      <c r="AL367" s="1056"/>
      <c r="AM367" s="1056"/>
      <c r="AN367" s="1056"/>
      <c r="AO367" s="1056"/>
      <c r="AP367" s="1056"/>
      <c r="AQ367" s="1056"/>
      <c r="AR367" s="1056"/>
      <c r="AS367" s="1056"/>
      <c r="AT367" s="1056"/>
      <c r="AU367" s="1056"/>
      <c r="AV367" s="1056"/>
      <c r="AW367" s="1056"/>
      <c r="AX367" s="1056"/>
      <c r="AY367" s="1058"/>
      <c r="AZ367" s="3"/>
      <c r="BA367" s="1"/>
      <c r="BB367" s="1"/>
      <c r="BC367" s="1"/>
      <c r="BD367" s="1"/>
      <c r="BE367" s="1135"/>
      <c r="BF367" s="1135"/>
      <c r="BG367" s="1135"/>
      <c r="BH367" s="1135"/>
      <c r="BI367" s="1135"/>
      <c r="BJ367" s="1135"/>
      <c r="BK367" s="1135"/>
      <c r="BL367" s="1135"/>
    </row>
    <row r="368">
      <c r="A368" s="899" t="s">
        <v>1275</v>
      </c>
      <c r="B368" s="1151" t="s">
        <v>1194</v>
      </c>
      <c r="C368" s="1151" t="s">
        <v>200</v>
      </c>
      <c r="D368" s="1019" t="s">
        <v>70</v>
      </c>
      <c r="E368" s="1020" t="s">
        <v>69</v>
      </c>
      <c r="F368" s="973" t="s">
        <v>69</v>
      </c>
      <c r="G368" s="1009" t="s">
        <v>70</v>
      </c>
      <c r="H368" s="973" t="s">
        <v>69</v>
      </c>
      <c r="I368" s="973" t="s">
        <v>69</v>
      </c>
      <c r="J368" s="973" t="s">
        <v>69</v>
      </c>
      <c r="K368" s="973" t="s">
        <v>69</v>
      </c>
      <c r="L368" s="973" t="s">
        <v>69</v>
      </c>
      <c r="M368" s="1009" t="s">
        <v>70</v>
      </c>
      <c r="N368" s="1141" t="s">
        <v>99</v>
      </c>
      <c r="O368" s="973" t="s">
        <v>69</v>
      </c>
      <c r="P368" s="973"/>
      <c r="Q368" s="1009" t="s">
        <v>70</v>
      </c>
      <c r="R368" s="1141" t="s">
        <v>99</v>
      </c>
      <c r="S368" s="973" t="s">
        <v>69</v>
      </c>
      <c r="T368" s="973" t="s">
        <v>69</v>
      </c>
      <c r="U368" s="973" t="s">
        <v>1193</v>
      </c>
      <c r="V368" s="973" t="s">
        <v>1193</v>
      </c>
      <c r="W368" s="973" t="s">
        <v>1193</v>
      </c>
      <c r="X368" s="973" t="s">
        <v>1193</v>
      </c>
      <c r="Y368" s="973" t="s">
        <v>1193</v>
      </c>
      <c r="Z368" s="1009" t="s">
        <v>1215</v>
      </c>
      <c r="AA368" s="973" t="s">
        <v>1193</v>
      </c>
      <c r="AB368" s="973" t="s">
        <v>69</v>
      </c>
      <c r="AC368" s="973" t="s">
        <v>69</v>
      </c>
      <c r="AD368" s="1035" t="s">
        <v>100</v>
      </c>
      <c r="AE368" s="1035" t="s">
        <v>100</v>
      </c>
      <c r="AF368" s="1035" t="s">
        <v>100</v>
      </c>
      <c r="AG368" s="1035" t="s">
        <v>100</v>
      </c>
      <c r="AH368" s="1035" t="s">
        <v>100</v>
      </c>
      <c r="AI368" s="1035" t="s">
        <v>100</v>
      </c>
      <c r="AJ368" s="1035" t="s">
        <v>100</v>
      </c>
      <c r="AK368" s="1035" t="s">
        <v>100</v>
      </c>
      <c r="AL368" s="1152"/>
      <c r="AM368" s="1064"/>
      <c r="AN368" s="1064"/>
      <c r="AO368" s="1064"/>
      <c r="AP368" s="1064"/>
      <c r="AQ368" s="1064"/>
      <c r="AR368" s="1064"/>
      <c r="AS368" s="1064"/>
      <c r="AT368" s="1064"/>
      <c r="AU368" s="1064"/>
      <c r="AV368" s="1064"/>
      <c r="AW368" s="1064"/>
      <c r="AX368" s="1064"/>
      <c r="AY368" s="1064"/>
      <c r="AZ368" s="1"/>
      <c r="BA368" s="1"/>
      <c r="BB368" s="1"/>
      <c r="BC368" s="1"/>
      <c r="BD368" s="1"/>
      <c r="BE368" s="1135"/>
      <c r="BF368" s="1135"/>
      <c r="BG368" s="1135"/>
      <c r="BH368" s="1135"/>
      <c r="BI368" s="1135"/>
      <c r="BJ368" s="1135"/>
      <c r="BK368" s="1135"/>
      <c r="BL368" s="1135"/>
    </row>
    <row r="369">
      <c r="A369" s="901"/>
      <c r="B369" s="1153" t="s">
        <v>67</v>
      </c>
      <c r="C369" s="1153" t="s">
        <v>200</v>
      </c>
      <c r="D369" s="1019" t="s">
        <v>70</v>
      </c>
      <c r="E369" s="1020" t="s">
        <v>69</v>
      </c>
      <c r="F369" s="1020" t="s">
        <v>69</v>
      </c>
      <c r="G369" s="1022" t="s">
        <v>70</v>
      </c>
      <c r="H369" s="1020" t="s">
        <v>69</v>
      </c>
      <c r="I369" s="1020" t="s">
        <v>69</v>
      </c>
      <c r="J369" s="1020" t="s">
        <v>69</v>
      </c>
      <c r="K369" s="1020" t="s">
        <v>69</v>
      </c>
      <c r="L369" s="1020" t="s">
        <v>69</v>
      </c>
      <c r="M369" s="1022" t="s">
        <v>70</v>
      </c>
      <c r="N369" s="1031" t="s">
        <v>99</v>
      </c>
      <c r="O369" s="1020" t="s">
        <v>69</v>
      </c>
      <c r="P369" s="1020"/>
      <c r="Q369" s="1022" t="s">
        <v>70</v>
      </c>
      <c r="R369" s="1031" t="s">
        <v>99</v>
      </c>
      <c r="S369" s="1020" t="s">
        <v>69</v>
      </c>
      <c r="T369" s="1020" t="s">
        <v>69</v>
      </c>
      <c r="U369" s="1020" t="s">
        <v>1193</v>
      </c>
      <c r="V369" s="1020" t="s">
        <v>1193</v>
      </c>
      <c r="W369" s="1020" t="s">
        <v>1193</v>
      </c>
      <c r="X369" s="1020" t="s">
        <v>1193</v>
      </c>
      <c r="Y369" s="1020" t="s">
        <v>1193</v>
      </c>
      <c r="Z369" s="1022" t="s">
        <v>1215</v>
      </c>
      <c r="AA369" s="1020" t="s">
        <v>1193</v>
      </c>
      <c r="AB369" s="1020" t="s">
        <v>69</v>
      </c>
      <c r="AC369" s="1020" t="s">
        <v>69</v>
      </c>
      <c r="AD369" s="1020" t="s">
        <v>69</v>
      </c>
      <c r="AE369" s="1020" t="s">
        <v>69</v>
      </c>
      <c r="AF369" s="1020" t="s">
        <v>69</v>
      </c>
      <c r="AG369" s="1020" t="s">
        <v>69</v>
      </c>
      <c r="AH369" s="1020" t="s">
        <v>69</v>
      </c>
      <c r="AI369" s="1020" t="s">
        <v>69</v>
      </c>
      <c r="AJ369" s="1020" t="s">
        <v>69</v>
      </c>
      <c r="AK369" s="1154" t="s">
        <v>70</v>
      </c>
      <c r="AL369" s="1040"/>
      <c r="AM369" s="1040"/>
      <c r="AN369" s="1040"/>
      <c r="AO369" s="1040"/>
      <c r="AP369" s="1040"/>
      <c r="AQ369" s="1040"/>
      <c r="AR369" s="1040"/>
      <c r="AS369" s="1040"/>
      <c r="AT369" s="1040"/>
      <c r="AU369" s="1040"/>
      <c r="AV369" s="1040"/>
      <c r="AW369" s="1040"/>
      <c r="AX369" s="1040"/>
      <c r="AY369" s="1040"/>
      <c r="AZ369" s="1"/>
      <c r="BA369" s="1"/>
      <c r="BB369" s="1"/>
      <c r="BC369" s="1"/>
      <c r="BD369" s="1"/>
      <c r="BE369" s="1135"/>
      <c r="BF369" s="1135"/>
      <c r="BG369" s="1135"/>
      <c r="BH369" s="1135"/>
      <c r="BI369" s="1135"/>
      <c r="BJ369" s="1135"/>
      <c r="BK369" s="1135"/>
      <c r="BL369" s="1135"/>
    </row>
    <row r="370">
      <c r="A370" s="901"/>
      <c r="B370" s="1153" t="s">
        <v>1246</v>
      </c>
      <c r="C370" s="1153" t="s">
        <v>200</v>
      </c>
      <c r="D370" s="1019" t="s">
        <v>70</v>
      </c>
      <c r="E370" s="1020" t="s">
        <v>69</v>
      </c>
      <c r="F370" s="1020" t="s">
        <v>69</v>
      </c>
      <c r="G370" s="1022" t="s">
        <v>70</v>
      </c>
      <c r="H370" s="1020" t="s">
        <v>69</v>
      </c>
      <c r="I370" s="1020" t="s">
        <v>69</v>
      </c>
      <c r="J370" s="1020" t="s">
        <v>69</v>
      </c>
      <c r="K370" s="1031" t="s">
        <v>99</v>
      </c>
      <c r="L370" s="1022" t="s">
        <v>70</v>
      </c>
      <c r="M370" s="1022" t="s">
        <v>70</v>
      </c>
      <c r="N370" s="1020" t="s">
        <v>69</v>
      </c>
      <c r="O370" s="1020" t="s">
        <v>69</v>
      </c>
      <c r="P370" s="1020"/>
      <c r="Q370" s="1022" t="s">
        <v>70</v>
      </c>
      <c r="R370" s="1020" t="s">
        <v>69</v>
      </c>
      <c r="S370" s="1020" t="s">
        <v>69</v>
      </c>
      <c r="T370" s="1031" t="s">
        <v>99</v>
      </c>
      <c r="U370" s="1020" t="s">
        <v>1193</v>
      </c>
      <c r="V370" s="1020" t="s">
        <v>1193</v>
      </c>
      <c r="W370" s="1020" t="s">
        <v>1193</v>
      </c>
      <c r="X370" s="1020" t="s">
        <v>1193</v>
      </c>
      <c r="Y370" s="1020" t="s">
        <v>1193</v>
      </c>
      <c r="Z370" s="1022" t="s">
        <v>1215</v>
      </c>
      <c r="AA370" s="1020" t="s">
        <v>1193</v>
      </c>
      <c r="AB370" s="1020" t="s">
        <v>69</v>
      </c>
      <c r="AC370" s="1020" t="s">
        <v>69</v>
      </c>
      <c r="AD370" s="1031" t="s">
        <v>99</v>
      </c>
      <c r="AE370" s="1031" t="s">
        <v>99</v>
      </c>
      <c r="AF370" s="1020" t="s">
        <v>69</v>
      </c>
      <c r="AG370" s="1020" t="s">
        <v>69</v>
      </c>
      <c r="AH370" s="1020" t="s">
        <v>69</v>
      </c>
      <c r="AI370" s="1020" t="s">
        <v>69</v>
      </c>
      <c r="AJ370" s="1020" t="s">
        <v>69</v>
      </c>
      <c r="AK370" s="1155" t="s">
        <v>69</v>
      </c>
      <c r="AL370" s="1040"/>
      <c r="AM370" s="1040"/>
      <c r="AN370" s="1040"/>
      <c r="AO370" s="1040"/>
      <c r="AP370" s="1040"/>
      <c r="AQ370" s="1040"/>
      <c r="AR370" s="1040"/>
      <c r="AS370" s="1040"/>
      <c r="AT370" s="1040"/>
      <c r="AU370" s="1040"/>
      <c r="AV370" s="1040"/>
      <c r="AW370" s="1040"/>
      <c r="AX370" s="1040"/>
      <c r="AY370" s="1040"/>
      <c r="AZ370" s="1"/>
      <c r="BA370" s="1"/>
      <c r="BB370" s="1"/>
      <c r="BC370" s="1"/>
      <c r="BD370" s="1"/>
      <c r="BE370" s="1135"/>
      <c r="BF370" s="1135"/>
      <c r="BG370" s="1135"/>
      <c r="BH370" s="1135"/>
      <c r="BI370" s="1135"/>
      <c r="BJ370" s="1135"/>
      <c r="BK370" s="1135"/>
      <c r="BL370" s="1135"/>
    </row>
    <row r="371">
      <c r="A371" s="901"/>
      <c r="B371" s="1153" t="s">
        <v>1276</v>
      </c>
      <c r="C371" s="1153" t="s">
        <v>200</v>
      </c>
      <c r="D371" s="1019" t="s">
        <v>70</v>
      </c>
      <c r="E371" s="1020" t="s">
        <v>69</v>
      </c>
      <c r="F371" s="1020" t="s">
        <v>69</v>
      </c>
      <c r="G371" s="1022" t="s">
        <v>70</v>
      </c>
      <c r="H371" s="1020" t="s">
        <v>69</v>
      </c>
      <c r="I371" s="1020" t="s">
        <v>69</v>
      </c>
      <c r="J371" s="1020" t="s">
        <v>69</v>
      </c>
      <c r="K371" s="1031" t="s">
        <v>99</v>
      </c>
      <c r="L371" s="1022" t="s">
        <v>70</v>
      </c>
      <c r="M371" s="1022" t="s">
        <v>70</v>
      </c>
      <c r="N371" s="1020" t="s">
        <v>69</v>
      </c>
      <c r="O371" s="1020" t="s">
        <v>69</v>
      </c>
      <c r="P371" s="1020"/>
      <c r="Q371" s="1022" t="s">
        <v>70</v>
      </c>
      <c r="R371" s="1020" t="s">
        <v>69</v>
      </c>
      <c r="S371" s="1020" t="s">
        <v>69</v>
      </c>
      <c r="T371" s="1020" t="s">
        <v>69</v>
      </c>
      <c r="U371" s="1020" t="s">
        <v>1193</v>
      </c>
      <c r="V371" s="1020" t="s">
        <v>1193</v>
      </c>
      <c r="W371" s="1020" t="s">
        <v>1193</v>
      </c>
      <c r="X371" s="1020" t="s">
        <v>1193</v>
      </c>
      <c r="Y371" s="1020" t="s">
        <v>1193</v>
      </c>
      <c r="Z371" s="1156" t="s">
        <v>1215</v>
      </c>
      <c r="AA371" s="1157" t="s">
        <v>1193</v>
      </c>
      <c r="AB371" s="1157" t="s">
        <v>69</v>
      </c>
      <c r="AC371" s="1157" t="s">
        <v>69</v>
      </c>
      <c r="AD371" s="1158" t="s">
        <v>100</v>
      </c>
      <c r="AE371" s="1158" t="s">
        <v>100</v>
      </c>
      <c r="AF371" s="1158" t="s">
        <v>100</v>
      </c>
      <c r="AG371" s="1158" t="s">
        <v>100</v>
      </c>
      <c r="AH371" s="1158" t="s">
        <v>100</v>
      </c>
      <c r="AI371" s="1158" t="s">
        <v>100</v>
      </c>
      <c r="AJ371" s="1158" t="s">
        <v>100</v>
      </c>
      <c r="AK371" s="1159" t="s">
        <v>100</v>
      </c>
      <c r="AL371" s="1"/>
      <c r="AM371" s="1"/>
      <c r="AN371" s="1"/>
      <c r="AO371" s="1"/>
      <c r="AP371" s="1"/>
      <c r="AQ371" s="1"/>
      <c r="AR371" s="1"/>
      <c r="AS371" s="1"/>
      <c r="AT371" s="1"/>
      <c r="AU371" s="1"/>
      <c r="AV371" s="1"/>
      <c r="AW371" s="1"/>
      <c r="AX371" s="1"/>
      <c r="AY371" s="1"/>
      <c r="AZ371" s="1"/>
      <c r="BA371" s="1"/>
      <c r="BB371" s="1"/>
      <c r="BC371" s="1"/>
      <c r="BD371" s="1"/>
      <c r="BE371" s="1135"/>
      <c r="BF371" s="1135"/>
      <c r="BG371" s="1135"/>
      <c r="BH371" s="1135"/>
      <c r="BI371" s="1135"/>
      <c r="BJ371" s="1135"/>
      <c r="BK371" s="1135"/>
      <c r="BL371" s="1135"/>
    </row>
    <row r="372">
      <c r="A372" s="901"/>
      <c r="B372" s="1089" t="s">
        <v>1197</v>
      </c>
      <c r="C372" s="1089" t="s">
        <v>177</v>
      </c>
      <c r="D372" s="1021" t="s">
        <v>69</v>
      </c>
      <c r="E372" s="1020" t="s">
        <v>69</v>
      </c>
      <c r="F372" s="1020" t="s">
        <v>69</v>
      </c>
      <c r="G372" s="1031" t="s">
        <v>99</v>
      </c>
      <c r="H372" s="1020" t="s">
        <v>69</v>
      </c>
      <c r="I372" s="1020" t="s">
        <v>69</v>
      </c>
      <c r="J372" s="1020" t="s">
        <v>69</v>
      </c>
      <c r="K372" s="1031" t="s">
        <v>99</v>
      </c>
      <c r="L372" s="1020" t="s">
        <v>69</v>
      </c>
      <c r="M372" s="1022" t="s">
        <v>70</v>
      </c>
      <c r="N372" s="1020" t="s">
        <v>69</v>
      </c>
      <c r="O372" s="1020" t="s">
        <v>69</v>
      </c>
      <c r="P372" s="1020"/>
      <c r="Q372" s="1022" t="s">
        <v>70</v>
      </c>
      <c r="R372" s="1020" t="s">
        <v>69</v>
      </c>
      <c r="S372" s="1020" t="s">
        <v>69</v>
      </c>
      <c r="T372" s="1020" t="s">
        <v>69</v>
      </c>
      <c r="U372" s="1020" t="s">
        <v>1193</v>
      </c>
      <c r="V372" s="1020" t="s">
        <v>1193</v>
      </c>
      <c r="W372" s="1020" t="s">
        <v>1193</v>
      </c>
      <c r="X372" s="1020" t="s">
        <v>1193</v>
      </c>
      <c r="Y372" s="1020" t="s">
        <v>1193</v>
      </c>
      <c r="Z372" s="1022" t="s">
        <v>1215</v>
      </c>
      <c r="AA372" s="1020" t="s">
        <v>1193</v>
      </c>
      <c r="AB372" s="1020" t="s">
        <v>69</v>
      </c>
      <c r="AC372" s="1020" t="s">
        <v>69</v>
      </c>
      <c r="AD372" s="1020" t="s">
        <v>69</v>
      </c>
      <c r="AE372" s="1020" t="s">
        <v>69</v>
      </c>
      <c r="AF372" s="1020" t="s">
        <v>69</v>
      </c>
      <c r="AG372" s="1020" t="s">
        <v>69</v>
      </c>
      <c r="AH372" s="1020" t="s">
        <v>69</v>
      </c>
      <c r="AI372" s="1020" t="s">
        <v>69</v>
      </c>
      <c r="AJ372" s="1022" t="s">
        <v>70</v>
      </c>
      <c r="AK372" s="1154" t="s">
        <v>70</v>
      </c>
      <c r="AL372" s="1040"/>
      <c r="AM372" s="1040"/>
      <c r="AN372" s="1040"/>
      <c r="AO372" s="1040"/>
      <c r="AP372" s="1040"/>
      <c r="AQ372" s="1040"/>
      <c r="AR372" s="1040"/>
      <c r="AS372" s="1040"/>
      <c r="AT372" s="1040"/>
      <c r="AU372" s="1040"/>
      <c r="AV372" s="1040"/>
      <c r="AW372" s="1040"/>
      <c r="AX372" s="1040"/>
      <c r="AY372" s="1040"/>
      <c r="AZ372" s="1"/>
      <c r="BA372" s="1"/>
      <c r="BB372" s="1"/>
      <c r="BC372" s="1"/>
      <c r="BD372" s="1"/>
      <c r="BE372" s="1135"/>
      <c r="BF372" s="1135"/>
      <c r="BG372" s="1135"/>
      <c r="BH372" s="1135"/>
      <c r="BI372" s="1135"/>
      <c r="BJ372" s="1135"/>
      <c r="BK372" s="1135"/>
      <c r="BL372" s="1135"/>
    </row>
    <row r="373">
      <c r="A373" s="901"/>
      <c r="B373" s="1160" t="s">
        <v>1277</v>
      </c>
      <c r="C373" s="1160" t="s">
        <v>177</v>
      </c>
      <c r="D373" s="1021" t="s">
        <v>69</v>
      </c>
      <c r="E373" s="1020" t="s">
        <v>69</v>
      </c>
      <c r="F373" s="1020" t="s">
        <v>69</v>
      </c>
      <c r="G373" s="1020" t="s">
        <v>69</v>
      </c>
      <c r="H373" s="1020" t="s">
        <v>69</v>
      </c>
      <c r="I373" s="1020" t="s">
        <v>69</v>
      </c>
      <c r="J373" s="1020" t="s">
        <v>69</v>
      </c>
      <c r="K373" s="1022" t="s">
        <v>70</v>
      </c>
      <c r="L373" s="1020" t="s">
        <v>69</v>
      </c>
      <c r="M373" s="1022" t="s">
        <v>70</v>
      </c>
      <c r="N373" s="1020" t="s">
        <v>69</v>
      </c>
      <c r="O373" s="1020" t="s">
        <v>69</v>
      </c>
      <c r="P373" s="1020"/>
      <c r="Q373" s="1022" t="s">
        <v>70</v>
      </c>
      <c r="R373" s="1020" t="s">
        <v>69</v>
      </c>
      <c r="S373" s="1020" t="s">
        <v>69</v>
      </c>
      <c r="T373" s="1020" t="s">
        <v>69</v>
      </c>
      <c r="U373" s="1020" t="s">
        <v>1193</v>
      </c>
      <c r="V373" s="1020" t="s">
        <v>1193</v>
      </c>
      <c r="W373" s="1020" t="s">
        <v>1193</v>
      </c>
      <c r="X373" s="1020" t="s">
        <v>1193</v>
      </c>
      <c r="Y373" s="1020" t="s">
        <v>1193</v>
      </c>
      <c r="Z373" s="1031" t="s">
        <v>99</v>
      </c>
      <c r="AA373" s="1020" t="s">
        <v>1193</v>
      </c>
      <c r="AB373" s="1020" t="s">
        <v>69</v>
      </c>
      <c r="AC373" s="1020" t="s">
        <v>69</v>
      </c>
      <c r="AD373" s="1020" t="s">
        <v>69</v>
      </c>
      <c r="AE373" s="1020" t="s">
        <v>69</v>
      </c>
      <c r="AF373" s="1020" t="s">
        <v>69</v>
      </c>
      <c r="AG373" s="1020" t="s">
        <v>69</v>
      </c>
      <c r="AH373" s="1020" t="s">
        <v>69</v>
      </c>
      <c r="AI373" s="1020" t="s">
        <v>69</v>
      </c>
      <c r="AJ373" s="1022" t="s">
        <v>70</v>
      </c>
      <c r="AK373" s="1154" t="s">
        <v>70</v>
      </c>
      <c r="AL373" s="1040"/>
      <c r="AM373" s="1040"/>
      <c r="AN373" s="1040"/>
      <c r="AO373" s="1040"/>
      <c r="AP373" s="1040"/>
      <c r="AQ373" s="1040"/>
      <c r="AR373" s="1040"/>
      <c r="AS373" s="1040"/>
      <c r="AT373" s="1040"/>
      <c r="AU373" s="1040"/>
      <c r="AV373" s="1040"/>
      <c r="AW373" s="1040"/>
      <c r="AX373" s="1040"/>
      <c r="AY373" s="1040"/>
      <c r="AZ373" s="1"/>
      <c r="BA373" s="1"/>
      <c r="BB373" s="1"/>
      <c r="BC373" s="1"/>
      <c r="BD373" s="1"/>
      <c r="BE373" s="1135"/>
      <c r="BF373" s="1135"/>
      <c r="BG373" s="1135"/>
      <c r="BH373" s="1135"/>
      <c r="BI373" s="1135"/>
      <c r="BJ373" s="1135"/>
      <c r="BK373" s="1135"/>
      <c r="BL373" s="1135"/>
    </row>
    <row r="374">
      <c r="A374" s="901"/>
      <c r="B374" s="1160" t="s">
        <v>1257</v>
      </c>
      <c r="C374" s="1160" t="s">
        <v>177</v>
      </c>
      <c r="D374" s="1021" t="s">
        <v>69</v>
      </c>
      <c r="E374" s="1020" t="s">
        <v>69</v>
      </c>
      <c r="F374" s="1020" t="s">
        <v>69</v>
      </c>
      <c r="G374" s="1031" t="s">
        <v>99</v>
      </c>
      <c r="H374" s="1020" t="s">
        <v>69</v>
      </c>
      <c r="I374" s="1020" t="s">
        <v>69</v>
      </c>
      <c r="J374" s="1020" t="s">
        <v>69</v>
      </c>
      <c r="K374" s="1020" t="s">
        <v>69</v>
      </c>
      <c r="L374" s="1020" t="s">
        <v>69</v>
      </c>
      <c r="M374" s="1022" t="s">
        <v>70</v>
      </c>
      <c r="N374" s="1020" t="s">
        <v>69</v>
      </c>
      <c r="O374" s="1020" t="s">
        <v>69</v>
      </c>
      <c r="P374" s="1020"/>
      <c r="Q374" s="1022" t="s">
        <v>70</v>
      </c>
      <c r="R374" s="1020" t="s">
        <v>69</v>
      </c>
      <c r="S374" s="1020" t="s">
        <v>69</v>
      </c>
      <c r="T374" s="1031" t="s">
        <v>99</v>
      </c>
      <c r="U374" s="1020" t="s">
        <v>1193</v>
      </c>
      <c r="V374" s="1020" t="s">
        <v>1193</v>
      </c>
      <c r="W374" s="1020" t="s">
        <v>1193</v>
      </c>
      <c r="X374" s="1020" t="s">
        <v>1193</v>
      </c>
      <c r="Y374" s="1020" t="s">
        <v>1193</v>
      </c>
      <c r="Z374" s="1022" t="s">
        <v>1215</v>
      </c>
      <c r="AA374" s="1020" t="s">
        <v>1193</v>
      </c>
      <c r="AB374" s="1020" t="s">
        <v>69</v>
      </c>
      <c r="AC374" s="1020" t="s">
        <v>69</v>
      </c>
      <c r="AD374" s="1020" t="s">
        <v>69</v>
      </c>
      <c r="AE374" s="1157" t="s">
        <v>69</v>
      </c>
      <c r="AF374" s="1157" t="s">
        <v>69</v>
      </c>
      <c r="AG374" s="1157" t="s">
        <v>69</v>
      </c>
      <c r="AH374" s="1157" t="s">
        <v>69</v>
      </c>
      <c r="AI374" s="1157" t="s">
        <v>69</v>
      </c>
      <c r="AJ374" s="1156" t="s">
        <v>70</v>
      </c>
      <c r="AK374" s="1161" t="s">
        <v>70</v>
      </c>
      <c r="AL374" s="1"/>
      <c r="AM374" s="1"/>
      <c r="AN374" s="1"/>
      <c r="AO374" s="1"/>
      <c r="AP374" s="1"/>
      <c r="AQ374" s="1"/>
      <c r="AR374" s="1"/>
      <c r="AS374" s="1"/>
      <c r="AT374" s="1"/>
      <c r="AU374" s="1"/>
      <c r="AV374" s="1"/>
      <c r="AW374" s="1"/>
      <c r="AX374" s="1"/>
      <c r="AY374" s="1"/>
      <c r="AZ374" s="1"/>
      <c r="BA374" s="1"/>
      <c r="BB374" s="1"/>
      <c r="BC374" s="1"/>
      <c r="BD374" s="1"/>
      <c r="BE374" s="1135"/>
      <c r="BF374" s="1135"/>
      <c r="BG374" s="1135"/>
      <c r="BH374" s="1135"/>
      <c r="BI374" s="1135"/>
      <c r="BJ374" s="1135"/>
      <c r="BK374" s="1135"/>
      <c r="BL374" s="1135"/>
    </row>
    <row r="375">
      <c r="A375" s="901"/>
      <c r="B375" s="1162" t="s">
        <v>1232</v>
      </c>
      <c r="C375" s="1162" t="s">
        <v>263</v>
      </c>
      <c r="D375" s="1163" t="s">
        <v>69</v>
      </c>
      <c r="E375" s="1149" t="s">
        <v>69</v>
      </c>
      <c r="F375" s="1149" t="s">
        <v>69</v>
      </c>
      <c r="G375" s="1138" t="s">
        <v>70</v>
      </c>
      <c r="H375" s="1149" t="s">
        <v>69</v>
      </c>
      <c r="I375" s="1149" t="s">
        <v>69</v>
      </c>
      <c r="J375" s="1149" t="s">
        <v>69</v>
      </c>
      <c r="K375" s="1138" t="s">
        <v>70</v>
      </c>
      <c r="L375" s="1149" t="s">
        <v>69</v>
      </c>
      <c r="M375" s="1138" t="s">
        <v>70</v>
      </c>
      <c r="N375" s="1149" t="s">
        <v>69</v>
      </c>
      <c r="O375" s="1149" t="s">
        <v>69</v>
      </c>
      <c r="P375" s="1149"/>
      <c r="Q375" s="1138" t="s">
        <v>70</v>
      </c>
      <c r="R375" s="1149" t="s">
        <v>69</v>
      </c>
      <c r="S375" s="1149" t="s">
        <v>69</v>
      </c>
      <c r="T375" s="1149" t="s">
        <v>69</v>
      </c>
      <c r="U375" s="1149" t="s">
        <v>1193</v>
      </c>
      <c r="V375" s="1149" t="s">
        <v>1193</v>
      </c>
      <c r="W375" s="1149" t="s">
        <v>1193</v>
      </c>
      <c r="X375" s="1149" t="s">
        <v>1193</v>
      </c>
      <c r="Y375" s="1149" t="s">
        <v>1193</v>
      </c>
      <c r="Z375" s="1149" t="s">
        <v>1193</v>
      </c>
      <c r="AA375" s="1138" t="s">
        <v>1215</v>
      </c>
      <c r="AB375" s="1020" t="s">
        <v>69</v>
      </c>
      <c r="AC375" s="1020" t="s">
        <v>69</v>
      </c>
      <c r="AD375" s="1020" t="s">
        <v>69</v>
      </c>
      <c r="AE375" s="1031" t="s">
        <v>99</v>
      </c>
      <c r="AF375" s="1020" t="s">
        <v>69</v>
      </c>
      <c r="AG375" s="1020" t="s">
        <v>69</v>
      </c>
      <c r="AH375" s="1020" t="s">
        <v>69</v>
      </c>
      <c r="AI375" s="1020" t="s">
        <v>69</v>
      </c>
      <c r="AJ375" s="1020" t="s">
        <v>69</v>
      </c>
      <c r="AK375" s="1154" t="s">
        <v>70</v>
      </c>
      <c r="AL375" s="1040"/>
      <c r="AM375" s="1040"/>
      <c r="AN375" s="1040"/>
      <c r="AO375" s="1040"/>
      <c r="AP375" s="1040"/>
      <c r="AQ375" s="1040"/>
      <c r="AR375" s="1040"/>
      <c r="AS375" s="1040"/>
      <c r="AT375" s="1040"/>
      <c r="AU375" s="1040"/>
      <c r="AV375" s="1040"/>
      <c r="AW375" s="1040"/>
      <c r="AX375" s="1040"/>
      <c r="AY375" s="1040"/>
      <c r="AZ375" s="1"/>
      <c r="BA375" s="1"/>
      <c r="BB375" s="1"/>
      <c r="BC375" s="1"/>
      <c r="BD375" s="1"/>
      <c r="BE375" s="1135"/>
      <c r="BF375" s="1135"/>
      <c r="BG375" s="1135"/>
      <c r="BH375" s="1135"/>
      <c r="BI375" s="1135"/>
      <c r="BJ375" s="1135"/>
      <c r="BK375" s="1135"/>
      <c r="BL375" s="1135"/>
    </row>
    <row r="376">
      <c r="A376" s="901"/>
      <c r="B376" s="1164" t="s">
        <v>1278</v>
      </c>
      <c r="C376" s="1164" t="s">
        <v>263</v>
      </c>
      <c r="D376" s="1065"/>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c r="AA376" s="109"/>
      <c r="AB376" s="1149" t="s">
        <v>69</v>
      </c>
      <c r="AC376" s="1138" t="s">
        <v>70</v>
      </c>
      <c r="AD376" s="1149" t="s">
        <v>69</v>
      </c>
      <c r="AE376" s="1139" t="s">
        <v>99</v>
      </c>
      <c r="AF376" s="1149" t="s">
        <v>69</v>
      </c>
      <c r="AG376" s="1149" t="s">
        <v>69</v>
      </c>
      <c r="AH376" s="1149" t="s">
        <v>69</v>
      </c>
      <c r="AI376" s="1138" t="s">
        <v>70</v>
      </c>
      <c r="AJ376" s="1149" t="s">
        <v>69</v>
      </c>
      <c r="AK376" s="1165" t="s">
        <v>70</v>
      </c>
      <c r="AL376" s="1040"/>
      <c r="AM376" s="1040"/>
      <c r="AN376" s="1040"/>
      <c r="AO376" s="1040"/>
      <c r="AP376" s="1040"/>
      <c r="AQ376" s="1040"/>
      <c r="AR376" s="1040"/>
      <c r="AS376" s="1040"/>
      <c r="AT376" s="1040"/>
      <c r="AU376" s="1040"/>
      <c r="AV376" s="1040"/>
      <c r="AW376" s="1040"/>
      <c r="AX376" s="1040"/>
      <c r="AY376" s="1040"/>
      <c r="AZ376" s="1"/>
      <c r="BA376" s="1"/>
      <c r="BB376" s="1"/>
      <c r="BC376" s="1"/>
      <c r="BD376" s="1"/>
      <c r="BE376" s="1135"/>
      <c r="BF376" s="1135"/>
      <c r="BG376" s="1135"/>
      <c r="BH376" s="1135"/>
      <c r="BI376" s="1135"/>
      <c r="BJ376" s="1135"/>
      <c r="BK376" s="1135"/>
      <c r="BL376" s="1135"/>
    </row>
    <row r="377">
      <c r="A377" s="901"/>
      <c r="B377" s="1166" t="s">
        <v>1188</v>
      </c>
      <c r="C377" s="1166" t="s">
        <v>263</v>
      </c>
      <c r="D377" s="1021" t="s">
        <v>69</v>
      </c>
      <c r="E377" s="1020" t="s">
        <v>69</v>
      </c>
      <c r="F377" s="1167" t="s">
        <v>69</v>
      </c>
      <c r="G377" s="1167" t="s">
        <v>69</v>
      </c>
      <c r="H377" s="1167" t="s">
        <v>69</v>
      </c>
      <c r="I377" s="1167" t="s">
        <v>69</v>
      </c>
      <c r="J377" s="1167" t="s">
        <v>69</v>
      </c>
      <c r="K377" s="1168" t="s">
        <v>70</v>
      </c>
      <c r="L377" s="1167" t="s">
        <v>69</v>
      </c>
      <c r="M377" s="1168" t="s">
        <v>70</v>
      </c>
      <c r="N377" s="1169" t="s">
        <v>100</v>
      </c>
      <c r="O377" s="1169" t="s">
        <v>100</v>
      </c>
      <c r="P377" s="1169"/>
      <c r="Q377" s="1169" t="s">
        <v>100</v>
      </c>
      <c r="R377" s="1169" t="s">
        <v>100</v>
      </c>
      <c r="S377" s="1169" t="s">
        <v>100</v>
      </c>
      <c r="T377" s="1169" t="s">
        <v>100</v>
      </c>
      <c r="U377" s="1020" t="s">
        <v>1193</v>
      </c>
      <c r="V377" s="1020" t="s">
        <v>1193</v>
      </c>
      <c r="W377" s="1020" t="s">
        <v>1193</v>
      </c>
      <c r="X377" s="1020" t="s">
        <v>1193</v>
      </c>
      <c r="Y377" s="1020" t="s">
        <v>1193</v>
      </c>
      <c r="Z377" s="1020" t="s">
        <v>1193</v>
      </c>
      <c r="AA377" s="1154" t="s">
        <v>1215</v>
      </c>
      <c r="AB377" s="1065"/>
      <c r="AC377" s="108"/>
      <c r="AD377" s="108"/>
      <c r="AE377" s="108"/>
      <c r="AF377" s="108"/>
      <c r="AG377" s="108"/>
      <c r="AH377" s="108"/>
      <c r="AI377" s="108"/>
      <c r="AJ377" s="108"/>
      <c r="AK377" s="108"/>
      <c r="AL377" s="1170"/>
      <c r="AM377" s="914"/>
      <c r="AN377" s="914"/>
      <c r="AO377" s="914"/>
      <c r="AP377" s="914"/>
      <c r="AQ377" s="914"/>
      <c r="AR377" s="914"/>
      <c r="AS377" s="914"/>
      <c r="AT377" s="914"/>
      <c r="AU377" s="914"/>
      <c r="AV377" s="914"/>
      <c r="AW377" s="914"/>
      <c r="AX377" s="915"/>
      <c r="AY377" s="1171"/>
      <c r="AZ377" s="1"/>
      <c r="BA377" s="1"/>
      <c r="BB377" s="1"/>
      <c r="BC377" s="1"/>
      <c r="BD377" s="1"/>
      <c r="BE377" s="1135"/>
      <c r="BF377" s="1135"/>
      <c r="BG377" s="1135"/>
      <c r="BH377" s="1135"/>
      <c r="BI377" s="1135"/>
      <c r="BJ377" s="1135"/>
      <c r="BK377" s="1135"/>
      <c r="BL377" s="1135"/>
    </row>
    <row r="378">
      <c r="A378" s="901"/>
      <c r="B378" s="1074" t="s">
        <v>1253</v>
      </c>
      <c r="C378" s="1074" t="s">
        <v>290</v>
      </c>
      <c r="D378" s="1021" t="s">
        <v>69</v>
      </c>
      <c r="E378" s="1020" t="s">
        <v>69</v>
      </c>
      <c r="F378" s="1020" t="s">
        <v>69</v>
      </c>
      <c r="G378" s="1020" t="s">
        <v>69</v>
      </c>
      <c r="H378" s="1020" t="s">
        <v>69</v>
      </c>
      <c r="I378" s="1020" t="s">
        <v>69</v>
      </c>
      <c r="J378" s="1020" t="s">
        <v>69</v>
      </c>
      <c r="K378" s="1020" t="s">
        <v>69</v>
      </c>
      <c r="L378" s="1020" t="s">
        <v>69</v>
      </c>
      <c r="M378" s="1022" t="s">
        <v>70</v>
      </c>
      <c r="N378" s="1020" t="s">
        <v>69</v>
      </c>
      <c r="O378" s="1020" t="s">
        <v>69</v>
      </c>
      <c r="P378" s="1020"/>
      <c r="Q378" s="1022" t="s">
        <v>70</v>
      </c>
      <c r="R378" s="1020" t="s">
        <v>69</v>
      </c>
      <c r="S378" s="1020" t="s">
        <v>69</v>
      </c>
      <c r="T378" s="1031" t="s">
        <v>99</v>
      </c>
      <c r="U378" s="1020" t="s">
        <v>1193</v>
      </c>
      <c r="V378" s="1020" t="s">
        <v>1193</v>
      </c>
      <c r="W378" s="1020" t="s">
        <v>1193</v>
      </c>
      <c r="X378" s="1020" t="s">
        <v>1193</v>
      </c>
      <c r="Y378" s="1020" t="s">
        <v>1193</v>
      </c>
      <c r="Z378" s="1031" t="s">
        <v>99</v>
      </c>
      <c r="AA378" s="1020" t="s">
        <v>1193</v>
      </c>
      <c r="AB378" s="1020" t="s">
        <v>69</v>
      </c>
      <c r="AC378" s="1022" t="s">
        <v>70</v>
      </c>
      <c r="AD378" s="1020" t="s">
        <v>69</v>
      </c>
      <c r="AE378" s="1022" t="s">
        <v>70</v>
      </c>
      <c r="AF378" s="1020" t="s">
        <v>69</v>
      </c>
      <c r="AG378" s="1020" t="s">
        <v>69</v>
      </c>
      <c r="AH378" s="1020" t="s">
        <v>69</v>
      </c>
      <c r="AI378" s="1022" t="s">
        <v>70</v>
      </c>
      <c r="AJ378" s="1020" t="s">
        <v>69</v>
      </c>
      <c r="AK378" s="1154" t="s">
        <v>70</v>
      </c>
      <c r="AL378" s="1040"/>
      <c r="AM378" s="1040"/>
      <c r="AN378" s="1040"/>
      <c r="AO378" s="1040"/>
      <c r="AP378" s="1040"/>
      <c r="AQ378" s="1040"/>
      <c r="AR378" s="1040"/>
      <c r="AS378" s="1040"/>
      <c r="AT378" s="1040"/>
      <c r="AU378" s="1040"/>
      <c r="AV378" s="1040"/>
      <c r="AW378" s="1040"/>
      <c r="AX378" s="1040"/>
      <c r="AY378" s="1040"/>
      <c r="AZ378" s="1"/>
      <c r="BA378" s="1"/>
      <c r="BB378" s="1"/>
      <c r="BC378" s="1"/>
      <c r="BD378" s="1"/>
      <c r="BE378" s="1135"/>
      <c r="BF378" s="1135"/>
      <c r="BG378" s="1135"/>
      <c r="BH378" s="1135"/>
      <c r="BI378" s="1135"/>
      <c r="BJ378" s="1135"/>
      <c r="BK378" s="1135"/>
      <c r="BL378" s="1135"/>
    </row>
    <row r="379">
      <c r="A379" s="901"/>
      <c r="B379" s="1172" t="s">
        <v>1187</v>
      </c>
      <c r="C379" s="1172" t="s">
        <v>290</v>
      </c>
      <c r="D379" s="1163" t="s">
        <v>69</v>
      </c>
      <c r="E379" s="1149" t="s">
        <v>69</v>
      </c>
      <c r="F379" s="1149" t="s">
        <v>69</v>
      </c>
      <c r="G379" s="1149" t="s">
        <v>69</v>
      </c>
      <c r="H379" s="1149" t="s">
        <v>69</v>
      </c>
      <c r="I379" s="1149" t="s">
        <v>69</v>
      </c>
      <c r="J379" s="1149" t="s">
        <v>69</v>
      </c>
      <c r="K379" s="1149" t="s">
        <v>69</v>
      </c>
      <c r="L379" s="1149" t="s">
        <v>69</v>
      </c>
      <c r="M379" s="1138" t="s">
        <v>70</v>
      </c>
      <c r="N379" s="1149" t="s">
        <v>69</v>
      </c>
      <c r="O379" s="1149" t="s">
        <v>69</v>
      </c>
      <c r="P379" s="1149"/>
      <c r="Q379" s="1138" t="s">
        <v>70</v>
      </c>
      <c r="R379" s="1149" t="s">
        <v>69</v>
      </c>
      <c r="S379" s="1149" t="s">
        <v>69</v>
      </c>
      <c r="T379" s="1149" t="s">
        <v>69</v>
      </c>
      <c r="U379" s="1020" t="s">
        <v>1193</v>
      </c>
      <c r="V379" s="1020" t="s">
        <v>1193</v>
      </c>
      <c r="W379" s="1020" t="s">
        <v>1193</v>
      </c>
      <c r="X379" s="1020" t="s">
        <v>1193</v>
      </c>
      <c r="Y379" s="1020" t="s">
        <v>1193</v>
      </c>
      <c r="Z379" s="1031" t="s">
        <v>99</v>
      </c>
      <c r="AA379" s="1020" t="s">
        <v>1193</v>
      </c>
      <c r="AB379" s="1020" t="s">
        <v>69</v>
      </c>
      <c r="AC379" s="1020" t="s">
        <v>69</v>
      </c>
      <c r="AD379" s="1020" t="s">
        <v>69</v>
      </c>
      <c r="AE379" s="1031" t="s">
        <v>99</v>
      </c>
      <c r="AF379" s="1020" t="s">
        <v>69</v>
      </c>
      <c r="AG379" s="1020" t="s">
        <v>69</v>
      </c>
      <c r="AH379" s="1020" t="s">
        <v>69</v>
      </c>
      <c r="AI379" s="1020" t="s">
        <v>69</v>
      </c>
      <c r="AJ379" s="1020" t="s">
        <v>69</v>
      </c>
      <c r="AK379" s="1154" t="s">
        <v>70</v>
      </c>
      <c r="AL379" s="1040"/>
      <c r="AM379" s="1040"/>
      <c r="AN379" s="1040"/>
      <c r="AO379" s="1040"/>
      <c r="AP379" s="1040"/>
      <c r="AQ379" s="1040"/>
      <c r="AR379" s="1040"/>
      <c r="AS379" s="1040"/>
      <c r="AT379" s="1040"/>
      <c r="AU379" s="1040"/>
      <c r="AV379" s="1040"/>
      <c r="AW379" s="1040"/>
      <c r="AX379" s="1040"/>
      <c r="AY379" s="1040"/>
      <c r="AZ379" s="1"/>
      <c r="BA379" s="1"/>
      <c r="BB379" s="1"/>
      <c r="BC379" s="1"/>
      <c r="BD379" s="1"/>
      <c r="BE379" s="1135"/>
      <c r="BF379" s="1135"/>
      <c r="BG379" s="1135"/>
      <c r="BH379" s="1135"/>
      <c r="BI379" s="1135"/>
      <c r="BJ379" s="1135"/>
      <c r="BK379" s="1135"/>
      <c r="BL379" s="1135"/>
    </row>
    <row r="380">
      <c r="A380" s="901"/>
      <c r="B380" s="1172" t="s">
        <v>61</v>
      </c>
      <c r="C380" s="1172" t="s">
        <v>290</v>
      </c>
      <c r="D380" s="1065"/>
      <c r="E380" s="108"/>
      <c r="F380" s="108"/>
      <c r="G380" s="108"/>
      <c r="H380" s="108"/>
      <c r="I380" s="108"/>
      <c r="J380" s="108"/>
      <c r="K380" s="108"/>
      <c r="L380" s="108"/>
      <c r="M380" s="108"/>
      <c r="N380" s="108"/>
      <c r="O380" s="108"/>
      <c r="P380" s="108"/>
      <c r="Q380" s="108"/>
      <c r="R380" s="108"/>
      <c r="S380" s="108"/>
      <c r="T380" s="109"/>
      <c r="U380" s="1020" t="s">
        <v>1193</v>
      </c>
      <c r="V380" s="1020" t="s">
        <v>1193</v>
      </c>
      <c r="W380" s="1020" t="s">
        <v>1193</v>
      </c>
      <c r="X380" s="1020" t="s">
        <v>1193</v>
      </c>
      <c r="Y380" s="1020" t="s">
        <v>1193</v>
      </c>
      <c r="Z380" s="1031" t="s">
        <v>99</v>
      </c>
      <c r="AA380" s="1020" t="s">
        <v>1193</v>
      </c>
      <c r="AB380" s="1020" t="s">
        <v>69</v>
      </c>
      <c r="AC380" s="1031" t="s">
        <v>99</v>
      </c>
      <c r="AD380" s="1029" t="s">
        <v>100</v>
      </c>
      <c r="AE380" s="1029" t="s">
        <v>100</v>
      </c>
      <c r="AF380" s="1029" t="s">
        <v>100</v>
      </c>
      <c r="AG380" s="1029" t="s">
        <v>100</v>
      </c>
      <c r="AH380" s="1029" t="s">
        <v>100</v>
      </c>
      <c r="AI380" s="1029" t="s">
        <v>100</v>
      </c>
      <c r="AJ380" s="1029" t="s">
        <v>100</v>
      </c>
      <c r="AK380" s="1173" t="s">
        <v>100</v>
      </c>
      <c r="AL380" s="1040"/>
      <c r="AM380" s="1040"/>
      <c r="AN380" s="1040"/>
      <c r="AO380" s="1040"/>
      <c r="AP380" s="1040"/>
      <c r="AQ380" s="1040"/>
      <c r="AR380" s="1040"/>
      <c r="AS380" s="1040"/>
      <c r="AT380" s="1040"/>
      <c r="AU380" s="1040"/>
      <c r="AV380" s="1040"/>
      <c r="AW380" s="1040"/>
      <c r="AX380" s="1040"/>
      <c r="AY380" s="1040"/>
      <c r="AZ380" s="1"/>
      <c r="BA380" s="1"/>
      <c r="BB380" s="1"/>
      <c r="BC380" s="1"/>
      <c r="BD380" s="1"/>
      <c r="BE380" s="1135"/>
      <c r="BF380" s="1135"/>
      <c r="BG380" s="1135"/>
      <c r="BH380" s="1135"/>
      <c r="BI380" s="1135"/>
      <c r="BJ380" s="1135"/>
      <c r="BK380" s="1135"/>
      <c r="BL380" s="1135"/>
    </row>
    <row r="381">
      <c r="A381" s="1013"/>
      <c r="B381" s="1174" t="s">
        <v>132</v>
      </c>
      <c r="C381" s="1174" t="s">
        <v>168</v>
      </c>
      <c r="D381" s="1019" t="s">
        <v>70</v>
      </c>
      <c r="E381" s="1020" t="s">
        <v>69</v>
      </c>
      <c r="F381" s="1022" t="s">
        <v>70</v>
      </c>
      <c r="G381" s="1031" t="s">
        <v>99</v>
      </c>
      <c r="H381" s="1020" t="s">
        <v>69</v>
      </c>
      <c r="I381" s="1020" t="s">
        <v>69</v>
      </c>
      <c r="J381" s="1020" t="s">
        <v>69</v>
      </c>
      <c r="K381" s="1031" t="s">
        <v>99</v>
      </c>
      <c r="L381" s="1020" t="s">
        <v>69</v>
      </c>
      <c r="M381" s="1022" t="s">
        <v>70</v>
      </c>
      <c r="N381" s="1020" t="s">
        <v>69</v>
      </c>
      <c r="O381" s="1020" t="s">
        <v>69</v>
      </c>
      <c r="P381" s="1020"/>
      <c r="Q381" s="1022" t="s">
        <v>70</v>
      </c>
      <c r="R381" s="1020" t="s">
        <v>69</v>
      </c>
      <c r="S381" s="1020" t="s">
        <v>69</v>
      </c>
      <c r="T381" s="1020" t="s">
        <v>69</v>
      </c>
      <c r="U381" s="1020" t="s">
        <v>1193</v>
      </c>
      <c r="V381" s="1020" t="s">
        <v>1193</v>
      </c>
      <c r="W381" s="1020" t="s">
        <v>1193</v>
      </c>
      <c r="X381" s="1020" t="s">
        <v>1193</v>
      </c>
      <c r="Y381" s="1020" t="s">
        <v>1193</v>
      </c>
      <c r="Z381" s="1022" t="s">
        <v>1215</v>
      </c>
      <c r="AA381" s="1031" t="s">
        <v>99</v>
      </c>
      <c r="AB381" s="1020" t="s">
        <v>69</v>
      </c>
      <c r="AC381" s="1022" t="s">
        <v>70</v>
      </c>
      <c r="AD381" s="1020" t="s">
        <v>69</v>
      </c>
      <c r="AE381" s="1020" t="s">
        <v>69</v>
      </c>
      <c r="AF381" s="1031" t="s">
        <v>99</v>
      </c>
      <c r="AG381" s="1031" t="s">
        <v>99</v>
      </c>
      <c r="AH381" s="1020" t="s">
        <v>69</v>
      </c>
      <c r="AI381" s="1022" t="s">
        <v>70</v>
      </c>
      <c r="AJ381" s="1020" t="s">
        <v>69</v>
      </c>
      <c r="AK381" s="1154" t="s">
        <v>70</v>
      </c>
      <c r="AL381" s="1040"/>
      <c r="AM381" s="1040"/>
      <c r="AN381" s="1040"/>
      <c r="AO381" s="1040"/>
      <c r="AP381" s="1040"/>
      <c r="AQ381" s="1040"/>
      <c r="AR381" s="1040"/>
      <c r="AS381" s="1040"/>
      <c r="AT381" s="1040"/>
      <c r="AU381" s="1040"/>
      <c r="AV381" s="1040"/>
      <c r="AW381" s="1040"/>
      <c r="AX381" s="1040"/>
      <c r="AY381" s="1040"/>
      <c r="AZ381" s="1"/>
      <c r="BA381" s="1"/>
      <c r="BB381" s="1"/>
      <c r="BC381" s="1"/>
      <c r="BD381" s="1"/>
      <c r="BE381" s="1135"/>
      <c r="BF381" s="1135"/>
      <c r="BG381" s="1135"/>
      <c r="BH381" s="1135"/>
      <c r="BI381" s="1135"/>
      <c r="BJ381" s="1135"/>
      <c r="BK381" s="1135"/>
      <c r="BL381" s="1135"/>
    </row>
    <row r="382">
      <c r="A382" s="899" t="s">
        <v>68</v>
      </c>
      <c r="B382" s="900"/>
      <c r="D382" s="918"/>
      <c r="AL382" s="1131"/>
      <c r="AM382" s="1"/>
      <c r="AN382" s="1"/>
      <c r="AO382" s="1"/>
      <c r="AP382" s="1"/>
      <c r="AQ382" s="1"/>
      <c r="AR382" s="1"/>
      <c r="AS382" s="1"/>
      <c r="AT382" s="1"/>
      <c r="AU382" s="1"/>
      <c r="AV382" s="1"/>
      <c r="AW382" s="1"/>
      <c r="AX382" s="1"/>
      <c r="AY382" s="1"/>
      <c r="AZ382" s="1"/>
      <c r="BA382" s="1"/>
      <c r="BB382" s="1"/>
      <c r="BC382" s="1"/>
      <c r="BD382" s="1"/>
      <c r="BE382" s="1135"/>
      <c r="BF382" s="1135"/>
      <c r="BG382" s="1135"/>
      <c r="BH382" s="1135"/>
      <c r="BI382" s="1135"/>
      <c r="BJ382" s="1135"/>
      <c r="BK382" s="1135"/>
      <c r="BL382" s="1135"/>
    </row>
    <row r="383">
      <c r="A383" s="901"/>
      <c r="B383" s="790" t="s">
        <v>69</v>
      </c>
      <c r="D383" s="1113">
        <f t="shared" ref="D383:O383" si="118">COUNTIF(D355:D381,"Voor")</f>
        <v>7</v>
      </c>
      <c r="E383" s="1114">
        <f t="shared" si="118"/>
        <v>12</v>
      </c>
      <c r="F383" s="1114">
        <f t="shared" si="118"/>
        <v>12</v>
      </c>
      <c r="G383" s="1114">
        <f t="shared" si="118"/>
        <v>4</v>
      </c>
      <c r="H383" s="1114">
        <f t="shared" si="118"/>
        <v>14</v>
      </c>
      <c r="I383" s="1114">
        <f t="shared" si="118"/>
        <v>19</v>
      </c>
      <c r="J383" s="1114">
        <f t="shared" si="118"/>
        <v>20</v>
      </c>
      <c r="K383" s="1114">
        <f t="shared" si="118"/>
        <v>7</v>
      </c>
      <c r="L383" s="1114">
        <f t="shared" si="118"/>
        <v>10</v>
      </c>
      <c r="M383" s="1114">
        <f t="shared" si="118"/>
        <v>1</v>
      </c>
      <c r="N383" s="1114">
        <f t="shared" si="118"/>
        <v>16</v>
      </c>
      <c r="O383" s="1114">
        <f t="shared" si="118"/>
        <v>18</v>
      </c>
      <c r="P383" s="1114"/>
      <c r="Q383" s="1114">
        <f t="shared" ref="Q383:AK383" si="119">COUNTIF(Q355:Q381,"Voor")</f>
        <v>8</v>
      </c>
      <c r="R383" s="1114">
        <f t="shared" si="119"/>
        <v>14</v>
      </c>
      <c r="S383" s="1114">
        <f t="shared" si="119"/>
        <v>21</v>
      </c>
      <c r="T383" s="1114">
        <f t="shared" si="119"/>
        <v>9</v>
      </c>
      <c r="U383" s="1114">
        <f t="shared" si="119"/>
        <v>15</v>
      </c>
      <c r="V383" s="1114">
        <f t="shared" si="119"/>
        <v>19</v>
      </c>
      <c r="W383" s="1114">
        <f t="shared" si="119"/>
        <v>22</v>
      </c>
      <c r="X383" s="1114">
        <f t="shared" si="119"/>
        <v>17</v>
      </c>
      <c r="Y383" s="1114">
        <f t="shared" si="119"/>
        <v>15</v>
      </c>
      <c r="Z383" s="1114">
        <f t="shared" si="119"/>
        <v>9</v>
      </c>
      <c r="AA383" s="1114">
        <f t="shared" si="119"/>
        <v>12</v>
      </c>
      <c r="AB383" s="1114">
        <f t="shared" si="119"/>
        <v>16</v>
      </c>
      <c r="AC383" s="1114">
        <f t="shared" si="119"/>
        <v>16</v>
      </c>
      <c r="AD383" s="1114">
        <f t="shared" si="119"/>
        <v>12</v>
      </c>
      <c r="AE383" s="1114">
        <f t="shared" si="119"/>
        <v>5</v>
      </c>
      <c r="AF383" s="1114">
        <f t="shared" si="119"/>
        <v>10</v>
      </c>
      <c r="AG383" s="1114">
        <f t="shared" si="119"/>
        <v>10</v>
      </c>
      <c r="AH383" s="1114">
        <f t="shared" si="119"/>
        <v>18</v>
      </c>
      <c r="AI383" s="1114">
        <f t="shared" si="119"/>
        <v>10</v>
      </c>
      <c r="AJ383" s="1114">
        <f t="shared" si="119"/>
        <v>14</v>
      </c>
      <c r="AK383" s="1114">
        <f t="shared" si="119"/>
        <v>7</v>
      </c>
      <c r="AL383" s="1175"/>
      <c r="AM383" s="1175"/>
      <c r="AN383" s="1175"/>
      <c r="AO383" s="1175"/>
      <c r="AP383" s="1175"/>
      <c r="AQ383" s="1175"/>
      <c r="AR383" s="1175"/>
      <c r="AS383" s="1175"/>
      <c r="AT383" s="1175"/>
      <c r="AU383" s="1175"/>
      <c r="AV383" s="1175"/>
      <c r="AW383" s="1175"/>
      <c r="AX383" s="1175"/>
      <c r="AY383" s="1175"/>
      <c r="AZ383" s="1"/>
      <c r="BA383" s="1"/>
      <c r="BB383" s="1"/>
      <c r="BC383" s="1"/>
      <c r="BD383" s="1"/>
      <c r="BE383" s="1135"/>
      <c r="BF383" s="1135"/>
      <c r="BG383" s="1135"/>
      <c r="BH383" s="1135"/>
      <c r="BI383" s="1135"/>
      <c r="BJ383" s="1135"/>
      <c r="BK383" s="1135"/>
      <c r="BL383" s="1135"/>
    </row>
    <row r="384">
      <c r="A384" s="901"/>
      <c r="B384" s="792" t="s">
        <v>70</v>
      </c>
      <c r="D384" s="1116">
        <f t="shared" ref="D384:O384" si="120">COUNTIF(D355:D381,"Tegen")</f>
        <v>15</v>
      </c>
      <c r="E384" s="1117">
        <f t="shared" si="120"/>
        <v>8</v>
      </c>
      <c r="F384" s="1117">
        <f t="shared" si="120"/>
        <v>10</v>
      </c>
      <c r="G384" s="1117">
        <f t="shared" si="120"/>
        <v>14</v>
      </c>
      <c r="H384" s="1117">
        <f t="shared" si="120"/>
        <v>6</v>
      </c>
      <c r="I384" s="1117">
        <f t="shared" si="120"/>
        <v>2</v>
      </c>
      <c r="J384" s="1117">
        <f t="shared" si="120"/>
        <v>1</v>
      </c>
      <c r="K384" s="1117">
        <f t="shared" si="120"/>
        <v>9</v>
      </c>
      <c r="L384" s="1117">
        <f t="shared" si="120"/>
        <v>11</v>
      </c>
      <c r="M384" s="1117">
        <f t="shared" si="120"/>
        <v>20</v>
      </c>
      <c r="N384" s="1117">
        <f t="shared" si="120"/>
        <v>3</v>
      </c>
      <c r="O384" s="1117">
        <f t="shared" si="120"/>
        <v>3</v>
      </c>
      <c r="P384" s="1117"/>
      <c r="Q384" s="1117">
        <f t="shared" ref="Q384:AK384" si="121">COUNTIF(Q355:Q381,"Tegen")</f>
        <v>13</v>
      </c>
      <c r="R384" s="1117">
        <f t="shared" si="121"/>
        <v>4</v>
      </c>
      <c r="S384" s="1117">
        <f t="shared" si="121"/>
        <v>0</v>
      </c>
      <c r="T384" s="1117">
        <f t="shared" si="121"/>
        <v>9</v>
      </c>
      <c r="U384" s="1117">
        <f t="shared" si="121"/>
        <v>7</v>
      </c>
      <c r="V384" s="1117">
        <f t="shared" si="121"/>
        <v>3</v>
      </c>
      <c r="W384" s="1117">
        <f t="shared" si="121"/>
        <v>0</v>
      </c>
      <c r="X384" s="1117">
        <f t="shared" si="121"/>
        <v>4</v>
      </c>
      <c r="Y384" s="1117">
        <f t="shared" si="121"/>
        <v>6</v>
      </c>
      <c r="Z384" s="1117">
        <f t="shared" si="121"/>
        <v>9</v>
      </c>
      <c r="AA384" s="1117">
        <f t="shared" si="121"/>
        <v>9</v>
      </c>
      <c r="AB384" s="1117">
        <f t="shared" si="121"/>
        <v>3</v>
      </c>
      <c r="AC384" s="1117">
        <f t="shared" si="121"/>
        <v>3</v>
      </c>
      <c r="AD384" s="1117">
        <f t="shared" si="121"/>
        <v>5</v>
      </c>
      <c r="AE384" s="1117">
        <f t="shared" si="121"/>
        <v>9</v>
      </c>
      <c r="AF384" s="1117">
        <f t="shared" si="121"/>
        <v>7</v>
      </c>
      <c r="AG384" s="1117">
        <f t="shared" si="121"/>
        <v>7</v>
      </c>
      <c r="AH384" s="1117">
        <f t="shared" si="121"/>
        <v>0</v>
      </c>
      <c r="AI384" s="1117">
        <f t="shared" si="121"/>
        <v>8</v>
      </c>
      <c r="AJ384" s="1117">
        <f t="shared" si="121"/>
        <v>4</v>
      </c>
      <c r="AK384" s="1117">
        <f t="shared" si="121"/>
        <v>10</v>
      </c>
      <c r="AL384" s="1175"/>
      <c r="AM384" s="1175"/>
      <c r="AN384" s="1175"/>
      <c r="AO384" s="1175"/>
      <c r="AP384" s="1175"/>
      <c r="AQ384" s="1175"/>
      <c r="AR384" s="1175"/>
      <c r="AS384" s="1175"/>
      <c r="AT384" s="1175"/>
      <c r="AU384" s="1175"/>
      <c r="AV384" s="1175"/>
      <c r="AW384" s="1175"/>
      <c r="AX384" s="1175"/>
      <c r="AY384" s="1175"/>
      <c r="AZ384" s="1"/>
      <c r="BA384" s="1"/>
      <c r="BB384" s="1"/>
      <c r="BC384" s="1"/>
      <c r="BD384" s="1"/>
      <c r="BE384" s="1135"/>
      <c r="BF384" s="1135"/>
      <c r="BG384" s="1135"/>
      <c r="BH384" s="1135"/>
      <c r="BI384" s="1135"/>
      <c r="BJ384" s="1135"/>
      <c r="BK384" s="1135"/>
      <c r="BL384" s="1135"/>
    </row>
    <row r="385">
      <c r="A385" s="901"/>
      <c r="B385" s="794" t="s">
        <v>71</v>
      </c>
      <c r="D385" s="1118">
        <f t="shared" ref="D385:O385" si="122">COUNTIF(D355:D381,"SO")</f>
        <v>0</v>
      </c>
      <c r="E385" s="1119">
        <f t="shared" si="122"/>
        <v>2</v>
      </c>
      <c r="F385" s="1119">
        <f t="shared" si="122"/>
        <v>0</v>
      </c>
      <c r="G385" s="1119">
        <f t="shared" si="122"/>
        <v>3</v>
      </c>
      <c r="H385" s="1119">
        <f t="shared" si="122"/>
        <v>1</v>
      </c>
      <c r="I385" s="1119">
        <f t="shared" si="122"/>
        <v>0</v>
      </c>
      <c r="J385" s="1119">
        <f t="shared" si="122"/>
        <v>0</v>
      </c>
      <c r="K385" s="1119">
        <f t="shared" si="122"/>
        <v>5</v>
      </c>
      <c r="L385" s="1119">
        <f t="shared" si="122"/>
        <v>0</v>
      </c>
      <c r="M385" s="1119">
        <f t="shared" si="122"/>
        <v>0</v>
      </c>
      <c r="N385" s="1119">
        <f t="shared" si="122"/>
        <v>2</v>
      </c>
      <c r="O385" s="1119">
        <f t="shared" si="122"/>
        <v>0</v>
      </c>
      <c r="P385" s="1119"/>
      <c r="Q385" s="1119">
        <f t="shared" ref="Q385:AK385" si="123">COUNTIF(Q355:Q381,"SO")</f>
        <v>0</v>
      </c>
      <c r="R385" s="1119">
        <f t="shared" si="123"/>
        <v>3</v>
      </c>
      <c r="S385" s="1119">
        <f t="shared" si="123"/>
        <v>0</v>
      </c>
      <c r="T385" s="1119">
        <f t="shared" si="123"/>
        <v>3</v>
      </c>
      <c r="U385" s="1119">
        <f t="shared" si="123"/>
        <v>0</v>
      </c>
      <c r="V385" s="1119">
        <f t="shared" si="123"/>
        <v>0</v>
      </c>
      <c r="W385" s="1119">
        <f t="shared" si="123"/>
        <v>0</v>
      </c>
      <c r="X385" s="1119">
        <f t="shared" si="123"/>
        <v>1</v>
      </c>
      <c r="Y385" s="1119">
        <f t="shared" si="123"/>
        <v>1</v>
      </c>
      <c r="Z385" s="1119">
        <f t="shared" si="123"/>
        <v>4</v>
      </c>
      <c r="AA385" s="1119">
        <f t="shared" si="123"/>
        <v>1</v>
      </c>
      <c r="AB385" s="1119">
        <f t="shared" si="123"/>
        <v>1</v>
      </c>
      <c r="AC385" s="1119">
        <f t="shared" si="123"/>
        <v>1</v>
      </c>
      <c r="AD385" s="1119">
        <f t="shared" si="123"/>
        <v>1</v>
      </c>
      <c r="AE385" s="1119">
        <f t="shared" si="123"/>
        <v>4</v>
      </c>
      <c r="AF385" s="1119">
        <f t="shared" si="123"/>
        <v>1</v>
      </c>
      <c r="AG385" s="1119">
        <f t="shared" si="123"/>
        <v>1</v>
      </c>
      <c r="AH385" s="1119">
        <f t="shared" si="123"/>
        <v>0</v>
      </c>
      <c r="AI385" s="1119">
        <f t="shared" si="123"/>
        <v>0</v>
      </c>
      <c r="AJ385" s="1119">
        <f t="shared" si="123"/>
        <v>0</v>
      </c>
      <c r="AK385" s="1119">
        <f t="shared" si="123"/>
        <v>1</v>
      </c>
      <c r="AL385" s="1175"/>
      <c r="AM385" s="1175"/>
      <c r="AN385" s="1175"/>
      <c r="AO385" s="1175"/>
      <c r="AP385" s="1175"/>
      <c r="AQ385" s="1175"/>
      <c r="AR385" s="1175"/>
      <c r="AS385" s="1175"/>
      <c r="AT385" s="1175"/>
      <c r="AU385" s="1175"/>
      <c r="AV385" s="1175"/>
      <c r="AW385" s="1175"/>
      <c r="AX385" s="1175"/>
      <c r="AY385" s="1175"/>
      <c r="AZ385" s="1"/>
      <c r="BA385" s="1"/>
      <c r="BB385" s="1"/>
      <c r="BC385" s="1"/>
      <c r="BD385" s="1"/>
      <c r="BE385" s="1135"/>
      <c r="BF385" s="1135"/>
      <c r="BG385" s="1135"/>
      <c r="BH385" s="1135"/>
      <c r="BI385" s="1135"/>
      <c r="BJ385" s="1135"/>
      <c r="BK385" s="1135"/>
      <c r="BL385" s="1135"/>
    </row>
    <row r="386">
      <c r="A386" s="901"/>
      <c r="B386" s="796" t="s">
        <v>72</v>
      </c>
      <c r="D386" s="1120">
        <f t="shared" ref="D386:O386" si="124">COUNTIF(D355:D381,"NG")</f>
        <v>0</v>
      </c>
      <c r="E386" s="1121">
        <f t="shared" si="124"/>
        <v>0</v>
      </c>
      <c r="F386" s="1121">
        <f t="shared" si="124"/>
        <v>0</v>
      </c>
      <c r="G386" s="1121">
        <f t="shared" si="124"/>
        <v>1</v>
      </c>
      <c r="H386" s="1121">
        <f t="shared" si="124"/>
        <v>1</v>
      </c>
      <c r="I386" s="1121">
        <f t="shared" si="124"/>
        <v>1</v>
      </c>
      <c r="J386" s="1121">
        <f t="shared" si="124"/>
        <v>1</v>
      </c>
      <c r="K386" s="1121">
        <f t="shared" si="124"/>
        <v>1</v>
      </c>
      <c r="L386" s="1121">
        <f t="shared" si="124"/>
        <v>1</v>
      </c>
      <c r="M386" s="1121">
        <f t="shared" si="124"/>
        <v>1</v>
      </c>
      <c r="N386" s="1121">
        <f t="shared" si="124"/>
        <v>1</v>
      </c>
      <c r="O386" s="1121">
        <f t="shared" si="124"/>
        <v>1</v>
      </c>
      <c r="P386" s="1121"/>
      <c r="Q386" s="1121">
        <f t="shared" ref="Q386:AK386" si="125">COUNTIF(Q355:Q381,"NG")</f>
        <v>1</v>
      </c>
      <c r="R386" s="1121">
        <f t="shared" si="125"/>
        <v>1</v>
      </c>
      <c r="S386" s="1121">
        <f t="shared" si="125"/>
        <v>1</v>
      </c>
      <c r="T386" s="1121">
        <f t="shared" si="125"/>
        <v>1</v>
      </c>
      <c r="U386" s="1121">
        <f t="shared" si="125"/>
        <v>0</v>
      </c>
      <c r="V386" s="1121">
        <f t="shared" si="125"/>
        <v>0</v>
      </c>
      <c r="W386" s="1121">
        <f t="shared" si="125"/>
        <v>0</v>
      </c>
      <c r="X386" s="1121">
        <f t="shared" si="125"/>
        <v>0</v>
      </c>
      <c r="Y386" s="1121">
        <f t="shared" si="125"/>
        <v>0</v>
      </c>
      <c r="Z386" s="1121">
        <f t="shared" si="125"/>
        <v>0</v>
      </c>
      <c r="AA386" s="1121">
        <f t="shared" si="125"/>
        <v>0</v>
      </c>
      <c r="AB386" s="1121">
        <f t="shared" si="125"/>
        <v>2</v>
      </c>
      <c r="AC386" s="1121">
        <f t="shared" si="125"/>
        <v>2</v>
      </c>
      <c r="AD386" s="1121">
        <f t="shared" si="125"/>
        <v>4</v>
      </c>
      <c r="AE386" s="1121">
        <f t="shared" si="125"/>
        <v>4</v>
      </c>
      <c r="AF386" s="1121">
        <f t="shared" si="125"/>
        <v>4</v>
      </c>
      <c r="AG386" s="1121">
        <f t="shared" si="125"/>
        <v>4</v>
      </c>
      <c r="AH386" s="1121">
        <f t="shared" si="125"/>
        <v>4</v>
      </c>
      <c r="AI386" s="1121">
        <f t="shared" si="125"/>
        <v>4</v>
      </c>
      <c r="AJ386" s="1121">
        <f t="shared" si="125"/>
        <v>4</v>
      </c>
      <c r="AK386" s="1121">
        <f t="shared" si="125"/>
        <v>4</v>
      </c>
      <c r="AL386" s="1176"/>
      <c r="AM386" s="1176"/>
      <c r="AN386" s="1176"/>
      <c r="AO386" s="1176"/>
      <c r="AP386" s="1176"/>
      <c r="AQ386" s="1176"/>
      <c r="AR386" s="1176"/>
      <c r="AS386" s="1176"/>
      <c r="AT386" s="1176"/>
      <c r="AU386" s="1176"/>
      <c r="AV386" s="1176"/>
      <c r="AW386" s="1176"/>
      <c r="AX386" s="1176"/>
      <c r="AY386" s="1176"/>
      <c r="AZ386" s="1"/>
      <c r="BA386" s="1"/>
      <c r="BB386" s="1"/>
      <c r="BC386" s="1"/>
      <c r="BD386" s="1"/>
      <c r="BE386" s="1135"/>
      <c r="BF386" s="1135"/>
      <c r="BG386" s="1135"/>
      <c r="BH386" s="1135"/>
      <c r="BI386" s="1135"/>
      <c r="BJ386" s="1135"/>
      <c r="BK386" s="1135"/>
      <c r="BL386" s="1135"/>
    </row>
    <row r="387">
      <c r="A387" s="901"/>
      <c r="B387" s="798" t="s">
        <v>73</v>
      </c>
      <c r="D387" s="1122">
        <f t="shared" ref="D387:O387" si="126">SUM(D383:D386)</f>
        <v>22</v>
      </c>
      <c r="E387" s="1123">
        <f t="shared" si="126"/>
        <v>22</v>
      </c>
      <c r="F387" s="1123">
        <f t="shared" si="126"/>
        <v>22</v>
      </c>
      <c r="G387" s="1123">
        <f t="shared" si="126"/>
        <v>22</v>
      </c>
      <c r="H387" s="1123">
        <f t="shared" si="126"/>
        <v>22</v>
      </c>
      <c r="I387" s="1123">
        <f t="shared" si="126"/>
        <v>22</v>
      </c>
      <c r="J387" s="1123">
        <f t="shared" si="126"/>
        <v>22</v>
      </c>
      <c r="K387" s="1123">
        <f t="shared" si="126"/>
        <v>22</v>
      </c>
      <c r="L387" s="1123">
        <f t="shared" si="126"/>
        <v>22</v>
      </c>
      <c r="M387" s="1123">
        <f t="shared" si="126"/>
        <v>22</v>
      </c>
      <c r="N387" s="1123">
        <f t="shared" si="126"/>
        <v>22</v>
      </c>
      <c r="O387" s="1123">
        <f t="shared" si="126"/>
        <v>22</v>
      </c>
      <c r="P387" s="1123"/>
      <c r="Q387" s="1123">
        <f t="shared" ref="Q387:AK387" si="127">SUM(Q383:Q386)</f>
        <v>22</v>
      </c>
      <c r="R387" s="1123">
        <f t="shared" si="127"/>
        <v>22</v>
      </c>
      <c r="S387" s="1123">
        <f t="shared" si="127"/>
        <v>22</v>
      </c>
      <c r="T387" s="1123">
        <f t="shared" si="127"/>
        <v>22</v>
      </c>
      <c r="U387" s="1123">
        <f t="shared" si="127"/>
        <v>22</v>
      </c>
      <c r="V387" s="1123">
        <f t="shared" si="127"/>
        <v>22</v>
      </c>
      <c r="W387" s="1123">
        <f t="shared" si="127"/>
        <v>22</v>
      </c>
      <c r="X387" s="1123">
        <f t="shared" si="127"/>
        <v>22</v>
      </c>
      <c r="Y387" s="1123">
        <f t="shared" si="127"/>
        <v>22</v>
      </c>
      <c r="Z387" s="1123">
        <f t="shared" si="127"/>
        <v>22</v>
      </c>
      <c r="AA387" s="1123">
        <f t="shared" si="127"/>
        <v>22</v>
      </c>
      <c r="AB387" s="1123">
        <f t="shared" si="127"/>
        <v>22</v>
      </c>
      <c r="AC387" s="1123">
        <f t="shared" si="127"/>
        <v>22</v>
      </c>
      <c r="AD387" s="1123">
        <f t="shared" si="127"/>
        <v>22</v>
      </c>
      <c r="AE387" s="1123">
        <f t="shared" si="127"/>
        <v>22</v>
      </c>
      <c r="AF387" s="1123">
        <f t="shared" si="127"/>
        <v>22</v>
      </c>
      <c r="AG387" s="1123">
        <f t="shared" si="127"/>
        <v>22</v>
      </c>
      <c r="AH387" s="1123">
        <f t="shared" si="127"/>
        <v>22</v>
      </c>
      <c r="AI387" s="1123">
        <f t="shared" si="127"/>
        <v>22</v>
      </c>
      <c r="AJ387" s="1123">
        <f t="shared" si="127"/>
        <v>22</v>
      </c>
      <c r="AK387" s="1123">
        <f t="shared" si="127"/>
        <v>22</v>
      </c>
      <c r="AL387" s="1177"/>
      <c r="AM387" s="1177"/>
      <c r="AN387" s="1177"/>
      <c r="AO387" s="1177"/>
      <c r="AP387" s="1177"/>
      <c r="AQ387" s="1177"/>
      <c r="AR387" s="1177"/>
      <c r="AS387" s="1177"/>
      <c r="AT387" s="1177"/>
      <c r="AU387" s="1177"/>
      <c r="AV387" s="1177"/>
      <c r="AW387" s="1177"/>
      <c r="AX387" s="1177"/>
      <c r="AY387" s="1177"/>
      <c r="AZ387" s="1"/>
      <c r="BA387" s="1"/>
      <c r="BB387" s="1"/>
      <c r="BC387" s="1"/>
      <c r="BD387" s="1"/>
      <c r="BE387" s="1135"/>
      <c r="BF387" s="1135"/>
      <c r="BG387" s="1135"/>
      <c r="BH387" s="1135"/>
      <c r="BI387" s="1135"/>
      <c r="BJ387" s="1135"/>
      <c r="BK387" s="1135"/>
      <c r="BL387" s="1135"/>
    </row>
    <row r="388">
      <c r="A388" s="901"/>
      <c r="B388" s="800" t="s">
        <v>74</v>
      </c>
      <c r="D388" s="1124">
        <f t="shared" ref="D388:O388" si="128">D383+D384+D385</f>
        <v>22</v>
      </c>
      <c r="E388" s="1125">
        <f t="shared" si="128"/>
        <v>22</v>
      </c>
      <c r="F388" s="1125">
        <f t="shared" si="128"/>
        <v>22</v>
      </c>
      <c r="G388" s="1125">
        <f t="shared" si="128"/>
        <v>21</v>
      </c>
      <c r="H388" s="1125">
        <f t="shared" si="128"/>
        <v>21</v>
      </c>
      <c r="I388" s="1125">
        <f t="shared" si="128"/>
        <v>21</v>
      </c>
      <c r="J388" s="1125">
        <f t="shared" si="128"/>
        <v>21</v>
      </c>
      <c r="K388" s="1125">
        <f t="shared" si="128"/>
        <v>21</v>
      </c>
      <c r="L388" s="1125">
        <f t="shared" si="128"/>
        <v>21</v>
      </c>
      <c r="M388" s="1125">
        <f t="shared" si="128"/>
        <v>21</v>
      </c>
      <c r="N388" s="1125">
        <f t="shared" si="128"/>
        <v>21</v>
      </c>
      <c r="O388" s="1125">
        <f t="shared" si="128"/>
        <v>21</v>
      </c>
      <c r="P388" s="1125"/>
      <c r="Q388" s="1125">
        <f t="shared" ref="Q388:AK388" si="129">Q383+Q384+Q385</f>
        <v>21</v>
      </c>
      <c r="R388" s="1125">
        <f t="shared" si="129"/>
        <v>21</v>
      </c>
      <c r="S388" s="1125">
        <f t="shared" si="129"/>
        <v>21</v>
      </c>
      <c r="T388" s="1125">
        <f t="shared" si="129"/>
        <v>21</v>
      </c>
      <c r="U388" s="1125">
        <f t="shared" si="129"/>
        <v>22</v>
      </c>
      <c r="V388" s="1125">
        <f t="shared" si="129"/>
        <v>22</v>
      </c>
      <c r="W388" s="1125">
        <f t="shared" si="129"/>
        <v>22</v>
      </c>
      <c r="X388" s="1125">
        <f t="shared" si="129"/>
        <v>22</v>
      </c>
      <c r="Y388" s="1125">
        <f t="shared" si="129"/>
        <v>22</v>
      </c>
      <c r="Z388" s="1125">
        <f t="shared" si="129"/>
        <v>22</v>
      </c>
      <c r="AA388" s="1125">
        <f t="shared" si="129"/>
        <v>22</v>
      </c>
      <c r="AB388" s="1125">
        <f t="shared" si="129"/>
        <v>20</v>
      </c>
      <c r="AC388" s="1125">
        <f t="shared" si="129"/>
        <v>20</v>
      </c>
      <c r="AD388" s="1125">
        <f t="shared" si="129"/>
        <v>18</v>
      </c>
      <c r="AE388" s="1125">
        <f t="shared" si="129"/>
        <v>18</v>
      </c>
      <c r="AF388" s="1125">
        <f t="shared" si="129"/>
        <v>18</v>
      </c>
      <c r="AG388" s="1125">
        <f t="shared" si="129"/>
        <v>18</v>
      </c>
      <c r="AH388" s="1125">
        <f t="shared" si="129"/>
        <v>18</v>
      </c>
      <c r="AI388" s="1125">
        <f t="shared" si="129"/>
        <v>18</v>
      </c>
      <c r="AJ388" s="1125">
        <f t="shared" si="129"/>
        <v>18</v>
      </c>
      <c r="AK388" s="1125">
        <f t="shared" si="129"/>
        <v>18</v>
      </c>
      <c r="AL388" s="1177"/>
      <c r="AM388" s="1177"/>
      <c r="AN388" s="1177"/>
      <c r="AO388" s="1177"/>
      <c r="AP388" s="1177"/>
      <c r="AQ388" s="1177"/>
      <c r="AR388" s="1177"/>
      <c r="AS388" s="1177"/>
      <c r="AT388" s="1177"/>
      <c r="AU388" s="1177"/>
      <c r="AV388" s="1177"/>
      <c r="AW388" s="1177"/>
      <c r="AX388" s="1177"/>
      <c r="AY388" s="1177"/>
      <c r="AZ388" s="1"/>
      <c r="BA388" s="1"/>
      <c r="BB388" s="1"/>
      <c r="BC388" s="1"/>
      <c r="BD388" s="1"/>
      <c r="BE388" s="1135"/>
      <c r="BF388" s="1135"/>
      <c r="BG388" s="1135"/>
      <c r="BH388" s="1135"/>
      <c r="BI388" s="1135"/>
      <c r="BJ388" s="1135"/>
      <c r="BK388" s="1135"/>
      <c r="BL388" s="1135"/>
    </row>
    <row r="389">
      <c r="A389" s="901"/>
      <c r="B389" s="854" t="s">
        <v>75</v>
      </c>
      <c r="D389" s="1126">
        <f t="shared" ref="D389:O389" si="130">IFERROR(D388/D387,"")</f>
        <v>1</v>
      </c>
      <c r="E389" s="1127">
        <f t="shared" si="130"/>
        <v>1</v>
      </c>
      <c r="F389" s="1127">
        <f t="shared" si="130"/>
        <v>1</v>
      </c>
      <c r="G389" s="1127">
        <f t="shared" si="130"/>
        <v>0.9545454545</v>
      </c>
      <c r="H389" s="1127">
        <f t="shared" si="130"/>
        <v>0.9545454545</v>
      </c>
      <c r="I389" s="1127">
        <f t="shared" si="130"/>
        <v>0.9545454545</v>
      </c>
      <c r="J389" s="1127">
        <f t="shared" si="130"/>
        <v>0.9545454545</v>
      </c>
      <c r="K389" s="1127">
        <f t="shared" si="130"/>
        <v>0.9545454545</v>
      </c>
      <c r="L389" s="1127">
        <f t="shared" si="130"/>
        <v>0.9545454545</v>
      </c>
      <c r="M389" s="1127">
        <f t="shared" si="130"/>
        <v>0.9545454545</v>
      </c>
      <c r="N389" s="1127">
        <f t="shared" si="130"/>
        <v>0.9545454545</v>
      </c>
      <c r="O389" s="1127">
        <f t="shared" si="130"/>
        <v>0.9545454545</v>
      </c>
      <c r="P389" s="1127"/>
      <c r="Q389" s="1127">
        <f t="shared" ref="Q389:AK389" si="131">IFERROR(Q388/Q387,"")</f>
        <v>0.9545454545</v>
      </c>
      <c r="R389" s="1127">
        <f t="shared" si="131"/>
        <v>0.9545454545</v>
      </c>
      <c r="S389" s="1127">
        <f t="shared" si="131"/>
        <v>0.9545454545</v>
      </c>
      <c r="T389" s="1127">
        <f t="shared" si="131"/>
        <v>0.9545454545</v>
      </c>
      <c r="U389" s="1127">
        <f t="shared" si="131"/>
        <v>1</v>
      </c>
      <c r="V389" s="1127">
        <f t="shared" si="131"/>
        <v>1</v>
      </c>
      <c r="W389" s="1127">
        <f t="shared" si="131"/>
        <v>1</v>
      </c>
      <c r="X389" s="1127">
        <f t="shared" si="131"/>
        <v>1</v>
      </c>
      <c r="Y389" s="1127">
        <f t="shared" si="131"/>
        <v>1</v>
      </c>
      <c r="Z389" s="1127">
        <f t="shared" si="131"/>
        <v>1</v>
      </c>
      <c r="AA389" s="1127">
        <f t="shared" si="131"/>
        <v>1</v>
      </c>
      <c r="AB389" s="1127">
        <f t="shared" si="131"/>
        <v>0.9090909091</v>
      </c>
      <c r="AC389" s="1127">
        <f t="shared" si="131"/>
        <v>0.9090909091</v>
      </c>
      <c r="AD389" s="1127">
        <f t="shared" si="131"/>
        <v>0.8181818182</v>
      </c>
      <c r="AE389" s="1127">
        <f t="shared" si="131"/>
        <v>0.8181818182</v>
      </c>
      <c r="AF389" s="1127">
        <f t="shared" si="131"/>
        <v>0.8181818182</v>
      </c>
      <c r="AG389" s="1127">
        <f t="shared" si="131"/>
        <v>0.8181818182</v>
      </c>
      <c r="AH389" s="1127">
        <f t="shared" si="131"/>
        <v>0.8181818182</v>
      </c>
      <c r="AI389" s="1127">
        <f t="shared" si="131"/>
        <v>0.8181818182</v>
      </c>
      <c r="AJ389" s="1127">
        <f t="shared" si="131"/>
        <v>0.8181818182</v>
      </c>
      <c r="AK389" s="1127">
        <f t="shared" si="131"/>
        <v>0.8181818182</v>
      </c>
      <c r="AL389" s="1178"/>
      <c r="AM389" s="1178"/>
      <c r="AN389" s="1178"/>
      <c r="AO389" s="1178"/>
      <c r="AP389" s="1178"/>
      <c r="AQ389" s="1178"/>
      <c r="AR389" s="1178"/>
      <c r="AS389" s="1178"/>
      <c r="AT389" s="1178"/>
      <c r="AU389" s="1178"/>
      <c r="AV389" s="1178"/>
      <c r="AW389" s="1178"/>
      <c r="AX389" s="1178"/>
      <c r="AY389" s="1178"/>
      <c r="AZ389" s="1178"/>
      <c r="BA389" s="1178"/>
      <c r="BB389" s="1178"/>
      <c r="BC389" s="1178"/>
      <c r="BD389" s="1178"/>
      <c r="BE389" s="1179"/>
      <c r="BF389" s="1179"/>
      <c r="BG389" s="1179"/>
      <c r="BH389" s="1179"/>
      <c r="BI389" s="1179"/>
      <c r="BJ389" s="1179"/>
      <c r="BK389" s="1179"/>
      <c r="BL389" s="1179"/>
    </row>
    <row r="390">
      <c r="A390" s="912"/>
      <c r="D390" s="1180"/>
      <c r="BE390" s="1129"/>
      <c r="BF390" s="1129"/>
      <c r="BG390" s="1129"/>
      <c r="BH390" s="1129"/>
      <c r="BI390" s="1129"/>
      <c r="BJ390" s="1129"/>
      <c r="BK390" s="1129"/>
      <c r="BL390" s="1129"/>
    </row>
    <row r="391">
      <c r="A391" s="731"/>
      <c r="B391" s="732" t="s">
        <v>1170</v>
      </c>
      <c r="C391" s="732" t="s">
        <v>7</v>
      </c>
      <c r="D391" s="918"/>
      <c r="AM391" s="1082"/>
      <c r="AN391" s="1082"/>
      <c r="AO391" s="1082"/>
      <c r="AP391" s="1082"/>
      <c r="AQ391" s="1082"/>
      <c r="AR391" s="1082"/>
      <c r="AS391" s="1082"/>
      <c r="AT391" s="1082"/>
      <c r="AU391" s="1082"/>
      <c r="AV391" s="1082"/>
      <c r="AW391" s="1082"/>
      <c r="AX391" s="1082"/>
      <c r="AY391" s="1082"/>
      <c r="AZ391" s="1"/>
      <c r="BA391" s="1"/>
      <c r="BB391" s="1"/>
      <c r="BC391" s="1"/>
      <c r="BD391" s="1"/>
      <c r="BE391" s="1135"/>
      <c r="BF391" s="1135"/>
      <c r="BG391" s="1135"/>
      <c r="BH391" s="1135"/>
      <c r="BI391" s="1135"/>
      <c r="BJ391" s="1135"/>
      <c r="BK391" s="1135"/>
      <c r="BL391" s="1135"/>
    </row>
    <row r="392">
      <c r="A392" s="1132" t="s">
        <v>288</v>
      </c>
      <c r="B392" s="390"/>
      <c r="C392" s="390"/>
      <c r="D392" s="1181" t="s">
        <v>674</v>
      </c>
      <c r="E392" s="1182" t="s">
        <v>275</v>
      </c>
      <c r="F392" s="1182" t="s">
        <v>276</v>
      </c>
      <c r="G392" s="1182" t="s">
        <v>279</v>
      </c>
      <c r="H392" s="1182" t="s">
        <v>284</v>
      </c>
      <c r="I392" s="1182" t="s">
        <v>286</v>
      </c>
      <c r="J392" s="1182" t="s">
        <v>289</v>
      </c>
      <c r="K392" s="1182" t="s">
        <v>291</v>
      </c>
      <c r="L392" s="1182" t="s">
        <v>292</v>
      </c>
      <c r="M392" s="1182" t="s">
        <v>294</v>
      </c>
      <c r="N392" s="1182" t="s">
        <v>295</v>
      </c>
      <c r="O392" s="1182" t="s">
        <v>296</v>
      </c>
      <c r="P392" s="1182"/>
      <c r="Q392" s="1182" t="s">
        <v>297</v>
      </c>
      <c r="R392" s="1182" t="s">
        <v>298</v>
      </c>
      <c r="S392" s="1182" t="s">
        <v>299</v>
      </c>
      <c r="T392" s="1182" t="s">
        <v>300</v>
      </c>
      <c r="U392" s="1182" t="s">
        <v>1279</v>
      </c>
      <c r="V392" s="1182" t="s">
        <v>679</v>
      </c>
      <c r="W392" s="1182" t="s">
        <v>293</v>
      </c>
      <c r="X392" s="1182" t="s">
        <v>301</v>
      </c>
      <c r="Y392" s="1182" t="s">
        <v>302</v>
      </c>
      <c r="Z392" s="1182" t="s">
        <v>677</v>
      </c>
      <c r="AA392" s="1182" t="s">
        <v>680</v>
      </c>
      <c r="AB392" s="1182" t="s">
        <v>304</v>
      </c>
      <c r="AC392" s="1182" t="s">
        <v>305</v>
      </c>
      <c r="AD392" s="1182" t="s">
        <v>306</v>
      </c>
      <c r="AE392" s="1182" t="s">
        <v>682</v>
      </c>
      <c r="AF392" s="1182" t="s">
        <v>308</v>
      </c>
      <c r="AG392" s="1182" t="s">
        <v>309</v>
      </c>
      <c r="AH392" s="1182" t="s">
        <v>684</v>
      </c>
      <c r="AI392" s="1182" t="s">
        <v>310</v>
      </c>
      <c r="AJ392" s="1182" t="s">
        <v>311</v>
      </c>
      <c r="AK392" s="1182" t="s">
        <v>685</v>
      </c>
      <c r="AL392" s="1182" t="s">
        <v>312</v>
      </c>
      <c r="AM392" s="1182" t="s">
        <v>313</v>
      </c>
      <c r="AN392" s="1182" t="s">
        <v>314</v>
      </c>
      <c r="AO392" s="1182" t="s">
        <v>315</v>
      </c>
      <c r="AP392" s="1182" t="s">
        <v>316</v>
      </c>
      <c r="AQ392" s="1182" t="s">
        <v>317</v>
      </c>
      <c r="AR392" s="1182" t="s">
        <v>318</v>
      </c>
      <c r="AS392" s="1182" t="s">
        <v>319</v>
      </c>
      <c r="AT392" s="1182" t="s">
        <v>320</v>
      </c>
      <c r="AU392" s="1182" t="s">
        <v>321</v>
      </c>
      <c r="AV392" s="1182" t="s">
        <v>322</v>
      </c>
      <c r="AW392" s="1182" t="s">
        <v>323</v>
      </c>
      <c r="AX392" s="1182" t="s">
        <v>324</v>
      </c>
      <c r="AY392" s="1182" t="s">
        <v>325</v>
      </c>
      <c r="AZ392" s="1040"/>
      <c r="BA392" s="1040"/>
      <c r="BB392" s="1040"/>
      <c r="BC392" s="1040"/>
      <c r="BD392" s="1040"/>
      <c r="BE392" s="730"/>
      <c r="BF392" s="730"/>
      <c r="BG392" s="730"/>
      <c r="BH392" s="730"/>
      <c r="BI392" s="730"/>
      <c r="BJ392" s="730"/>
      <c r="BK392" s="730"/>
      <c r="BL392" s="730"/>
    </row>
    <row r="393">
      <c r="A393" s="899" t="s">
        <v>1205</v>
      </c>
      <c r="B393" s="929" t="s">
        <v>1262</v>
      </c>
      <c r="C393" s="929" t="s">
        <v>21</v>
      </c>
      <c r="D393" s="1183" t="s">
        <v>69</v>
      </c>
      <c r="E393" s="1184" t="s">
        <v>69</v>
      </c>
      <c r="F393" s="1184" t="s">
        <v>69</v>
      </c>
      <c r="G393" s="1184" t="s">
        <v>69</v>
      </c>
      <c r="H393" s="1184" t="s">
        <v>69</v>
      </c>
      <c r="I393" s="1184" t="s">
        <v>69</v>
      </c>
      <c r="J393" s="1184" t="s">
        <v>69</v>
      </c>
      <c r="K393" s="1184" t="s">
        <v>69</v>
      </c>
      <c r="L393" s="1184" t="s">
        <v>69</v>
      </c>
      <c r="M393" s="1185" t="s">
        <v>70</v>
      </c>
      <c r="N393" s="1185" t="s">
        <v>70</v>
      </c>
      <c r="O393" s="1184" t="s">
        <v>69</v>
      </c>
      <c r="P393" s="1184"/>
      <c r="Q393" s="1184" t="s">
        <v>69</v>
      </c>
      <c r="R393" s="1185" t="s">
        <v>70</v>
      </c>
      <c r="S393" s="1184" t="s">
        <v>69</v>
      </c>
      <c r="T393" s="1185" t="s">
        <v>70</v>
      </c>
      <c r="U393" s="1184" t="s">
        <v>69</v>
      </c>
      <c r="V393" s="1185" t="s">
        <v>70</v>
      </c>
      <c r="W393" s="1185" t="s">
        <v>70</v>
      </c>
      <c r="X393" s="1185" t="s">
        <v>70</v>
      </c>
      <c r="Y393" s="1185" t="s">
        <v>70</v>
      </c>
      <c r="Z393" s="1184" t="s">
        <v>69</v>
      </c>
      <c r="AA393" s="1184" t="s">
        <v>69</v>
      </c>
      <c r="AB393" s="1185" t="s">
        <v>70</v>
      </c>
      <c r="AC393" s="1185" t="s">
        <v>70</v>
      </c>
      <c r="AD393" s="1184" t="s">
        <v>69</v>
      </c>
      <c r="AE393" s="1184" t="s">
        <v>69</v>
      </c>
      <c r="AF393" s="1184" t="s">
        <v>69</v>
      </c>
      <c r="AG393" s="1184" t="s">
        <v>69</v>
      </c>
      <c r="AH393" s="1185" t="s">
        <v>70</v>
      </c>
      <c r="AI393" s="1184" t="s">
        <v>69</v>
      </c>
      <c r="AJ393" s="1185" t="s">
        <v>70</v>
      </c>
      <c r="AK393" s="1184" t="s">
        <v>69</v>
      </c>
      <c r="AL393" s="1186" t="s">
        <v>69</v>
      </c>
      <c r="AM393" s="1187" t="s">
        <v>70</v>
      </c>
      <c r="AN393" s="1187" t="s">
        <v>70</v>
      </c>
      <c r="AO393" s="1187" t="s">
        <v>70</v>
      </c>
      <c r="AP393" s="1186" t="s">
        <v>69</v>
      </c>
      <c r="AQ393" s="1187" t="s">
        <v>70</v>
      </c>
      <c r="AR393" s="1187" t="s">
        <v>70</v>
      </c>
      <c r="AS393" s="1186" t="s">
        <v>69</v>
      </c>
      <c r="AT393" s="1187" t="s">
        <v>70</v>
      </c>
      <c r="AU393" s="1186" t="s">
        <v>69</v>
      </c>
      <c r="AV393" s="1186" t="s">
        <v>69</v>
      </c>
      <c r="AW393" s="1187" t="s">
        <v>70</v>
      </c>
      <c r="AX393" s="1187" t="s">
        <v>70</v>
      </c>
      <c r="AY393" s="1188" t="s">
        <v>69</v>
      </c>
      <c r="AZ393" s="1"/>
      <c r="BA393" s="1"/>
      <c r="BB393" s="1"/>
      <c r="BC393" s="1"/>
      <c r="BD393" s="1"/>
      <c r="BE393" s="1135"/>
      <c r="BF393" s="1135"/>
      <c r="BG393" s="1135"/>
      <c r="BH393" s="1135"/>
      <c r="BI393" s="1135"/>
      <c r="BJ393" s="1135"/>
      <c r="BK393" s="1135"/>
      <c r="BL393" s="1135"/>
    </row>
    <row r="394">
      <c r="A394" s="901"/>
      <c r="B394" s="929" t="s">
        <v>1280</v>
      </c>
      <c r="C394" s="929" t="s">
        <v>21</v>
      </c>
      <c r="D394" s="1189" t="s">
        <v>100</v>
      </c>
      <c r="E394" s="1190" t="s">
        <v>100</v>
      </c>
      <c r="F394" s="1190" t="s">
        <v>100</v>
      </c>
      <c r="G394" s="1190" t="s">
        <v>100</v>
      </c>
      <c r="H394" s="1190" t="s">
        <v>100</v>
      </c>
      <c r="I394" s="1190" t="s">
        <v>100</v>
      </c>
      <c r="J394" s="1190" t="s">
        <v>100</v>
      </c>
      <c r="K394" s="1190" t="s">
        <v>100</v>
      </c>
      <c r="L394" s="1190" t="s">
        <v>100</v>
      </c>
      <c r="M394" s="1190" t="s">
        <v>100</v>
      </c>
      <c r="N394" s="1190" t="s">
        <v>100</v>
      </c>
      <c r="O394" s="1190" t="s">
        <v>100</v>
      </c>
      <c r="P394" s="1190"/>
      <c r="Q394" s="1190" t="s">
        <v>100</v>
      </c>
      <c r="R394" s="1190" t="s">
        <v>100</v>
      </c>
      <c r="S394" s="1190" t="s">
        <v>100</v>
      </c>
      <c r="T394" s="1190" t="s">
        <v>100</v>
      </c>
      <c r="U394" s="1190" t="s">
        <v>100</v>
      </c>
      <c r="V394" s="1190" t="s">
        <v>100</v>
      </c>
      <c r="W394" s="1190" t="s">
        <v>100</v>
      </c>
      <c r="X394" s="1190" t="s">
        <v>100</v>
      </c>
      <c r="Y394" s="1190" t="s">
        <v>100</v>
      </c>
      <c r="Z394" s="1190" t="s">
        <v>100</v>
      </c>
      <c r="AA394" s="1190" t="s">
        <v>100</v>
      </c>
      <c r="AB394" s="1190" t="s">
        <v>100</v>
      </c>
      <c r="AC394" s="1190" t="s">
        <v>100</v>
      </c>
      <c r="AD394" s="1190" t="s">
        <v>100</v>
      </c>
      <c r="AE394" s="1190" t="s">
        <v>100</v>
      </c>
      <c r="AF394" s="1190" t="s">
        <v>100</v>
      </c>
      <c r="AG394" s="1190" t="s">
        <v>100</v>
      </c>
      <c r="AH394" s="1190" t="s">
        <v>100</v>
      </c>
      <c r="AI394" s="1190" t="s">
        <v>100</v>
      </c>
      <c r="AJ394" s="1190" t="s">
        <v>100</v>
      </c>
      <c r="AK394" s="1190" t="s">
        <v>100</v>
      </c>
      <c r="AL394" s="1191" t="s">
        <v>100</v>
      </c>
      <c r="AM394" s="1191" t="s">
        <v>100</v>
      </c>
      <c r="AN394" s="1191" t="s">
        <v>100</v>
      </c>
      <c r="AO394" s="1191" t="s">
        <v>100</v>
      </c>
      <c r="AP394" s="1191" t="s">
        <v>100</v>
      </c>
      <c r="AQ394" s="1191" t="s">
        <v>100</v>
      </c>
      <c r="AR394" s="1191" t="s">
        <v>100</v>
      </c>
      <c r="AS394" s="1191" t="s">
        <v>100</v>
      </c>
      <c r="AT394" s="1191" t="s">
        <v>100</v>
      </c>
      <c r="AU394" s="1191" t="s">
        <v>100</v>
      </c>
      <c r="AV394" s="1191" t="s">
        <v>100</v>
      </c>
      <c r="AW394" s="1191" t="s">
        <v>100</v>
      </c>
      <c r="AX394" s="1191" t="s">
        <v>100</v>
      </c>
      <c r="AY394" s="1192" t="s">
        <v>100</v>
      </c>
      <c r="AZ394" s="1"/>
      <c r="BA394" s="1"/>
      <c r="BB394" s="1"/>
      <c r="BC394" s="1"/>
      <c r="BD394" s="1"/>
      <c r="BE394" s="1135"/>
      <c r="BF394" s="1135"/>
      <c r="BG394" s="1135"/>
      <c r="BH394" s="1135"/>
      <c r="BI394" s="1135"/>
      <c r="BJ394" s="1135"/>
      <c r="BK394" s="1135"/>
      <c r="BL394" s="1135"/>
    </row>
    <row r="395">
      <c r="A395" s="901"/>
      <c r="B395" s="929" t="s">
        <v>1274</v>
      </c>
      <c r="C395" s="929" t="s">
        <v>21</v>
      </c>
      <c r="D395" s="1183" t="s">
        <v>69</v>
      </c>
      <c r="E395" s="1184" t="s">
        <v>69</v>
      </c>
      <c r="F395" s="1184" t="s">
        <v>69</v>
      </c>
      <c r="G395" s="1184" t="s">
        <v>69</v>
      </c>
      <c r="H395" s="1184" t="s">
        <v>69</v>
      </c>
      <c r="I395" s="1184" t="s">
        <v>69</v>
      </c>
      <c r="J395" s="1185" t="s">
        <v>70</v>
      </c>
      <c r="K395" s="1184" t="s">
        <v>69</v>
      </c>
      <c r="L395" s="1185" t="s">
        <v>70</v>
      </c>
      <c r="M395" s="1185" t="s">
        <v>70</v>
      </c>
      <c r="N395" s="1185" t="s">
        <v>70</v>
      </c>
      <c r="O395" s="1184" t="s">
        <v>69</v>
      </c>
      <c r="P395" s="1184"/>
      <c r="Q395" s="1184" t="s">
        <v>69</v>
      </c>
      <c r="R395" s="1184" t="s">
        <v>69</v>
      </c>
      <c r="S395" s="1184" t="s">
        <v>69</v>
      </c>
      <c r="T395" s="1185" t="s">
        <v>70</v>
      </c>
      <c r="U395" s="1184" t="s">
        <v>69</v>
      </c>
      <c r="V395" s="1184" t="s">
        <v>69</v>
      </c>
      <c r="W395" s="1185" t="s">
        <v>70</v>
      </c>
      <c r="X395" s="1185" t="s">
        <v>70</v>
      </c>
      <c r="Y395" s="1185" t="s">
        <v>70</v>
      </c>
      <c r="Z395" s="1184" t="s">
        <v>69</v>
      </c>
      <c r="AA395" s="1184" t="s">
        <v>69</v>
      </c>
      <c r="AB395" s="1185" t="s">
        <v>70</v>
      </c>
      <c r="AC395" s="1185" t="s">
        <v>70</v>
      </c>
      <c r="AD395" s="1185" t="s">
        <v>70</v>
      </c>
      <c r="AE395" s="1184" t="s">
        <v>69</v>
      </c>
      <c r="AF395" s="1184" t="s">
        <v>69</v>
      </c>
      <c r="AG395" s="1185" t="s">
        <v>70</v>
      </c>
      <c r="AH395" s="1190" t="s">
        <v>100</v>
      </c>
      <c r="AI395" s="1184" t="s">
        <v>69</v>
      </c>
      <c r="AJ395" s="1185" t="s">
        <v>70</v>
      </c>
      <c r="AK395" s="1184" t="s">
        <v>69</v>
      </c>
      <c r="AL395" s="1186" t="s">
        <v>69</v>
      </c>
      <c r="AM395" s="1187" t="s">
        <v>70</v>
      </c>
      <c r="AN395" s="1193" t="s">
        <v>70</v>
      </c>
      <c r="AO395" s="1187" t="s">
        <v>70</v>
      </c>
      <c r="AP395" s="1186" t="s">
        <v>69</v>
      </c>
      <c r="AQ395" s="1187" t="s">
        <v>70</v>
      </c>
      <c r="AR395" s="1187" t="s">
        <v>70</v>
      </c>
      <c r="AS395" s="1187" t="s">
        <v>70</v>
      </c>
      <c r="AT395" s="1187" t="s">
        <v>70</v>
      </c>
      <c r="AU395" s="1186" t="s">
        <v>69</v>
      </c>
      <c r="AV395" s="1187" t="s">
        <v>70</v>
      </c>
      <c r="AW395" s="1187" t="s">
        <v>70</v>
      </c>
      <c r="AX395" s="1187" t="s">
        <v>70</v>
      </c>
      <c r="AY395" s="1194" t="s">
        <v>70</v>
      </c>
      <c r="AZ395" s="1"/>
      <c r="BA395" s="1"/>
      <c r="BB395" s="1"/>
      <c r="BC395" s="1"/>
      <c r="BD395" s="1"/>
      <c r="BE395" s="1135"/>
      <c r="BF395" s="1135"/>
      <c r="BG395" s="1135"/>
      <c r="BH395" s="1135"/>
      <c r="BI395" s="1135"/>
      <c r="BJ395" s="1135"/>
      <c r="BK395" s="1135"/>
      <c r="BL395" s="1135"/>
    </row>
    <row r="396">
      <c r="A396" s="901"/>
      <c r="B396" s="929" t="s">
        <v>1281</v>
      </c>
      <c r="C396" s="929" t="s">
        <v>21</v>
      </c>
      <c r="D396" s="1195" t="s">
        <v>100</v>
      </c>
      <c r="E396" s="1191" t="s">
        <v>100</v>
      </c>
      <c r="F396" s="1191" t="s">
        <v>100</v>
      </c>
      <c r="G396" s="1191" t="s">
        <v>100</v>
      </c>
      <c r="H396" s="1191" t="s">
        <v>100</v>
      </c>
      <c r="I396" s="1191" t="s">
        <v>100</v>
      </c>
      <c r="J396" s="1191" t="s">
        <v>100</v>
      </c>
      <c r="K396" s="1191" t="s">
        <v>100</v>
      </c>
      <c r="L396" s="1191" t="s">
        <v>100</v>
      </c>
      <c r="M396" s="1191" t="s">
        <v>100</v>
      </c>
      <c r="N396" s="1191" t="s">
        <v>100</v>
      </c>
      <c r="O396" s="1191" t="s">
        <v>100</v>
      </c>
      <c r="P396" s="1191"/>
      <c r="Q396" s="1191" t="s">
        <v>100</v>
      </c>
      <c r="R396" s="1191" t="s">
        <v>100</v>
      </c>
      <c r="S396" s="1191" t="s">
        <v>100</v>
      </c>
      <c r="T396" s="1191" t="s">
        <v>100</v>
      </c>
      <c r="U396" s="1191" t="s">
        <v>100</v>
      </c>
      <c r="V396" s="1191" t="s">
        <v>100</v>
      </c>
      <c r="W396" s="1191" t="s">
        <v>100</v>
      </c>
      <c r="X396" s="1191" t="s">
        <v>100</v>
      </c>
      <c r="Y396" s="1191" t="s">
        <v>100</v>
      </c>
      <c r="Z396" s="1191" t="s">
        <v>100</v>
      </c>
      <c r="AA396" s="1191" t="s">
        <v>100</v>
      </c>
      <c r="AB396" s="1191" t="s">
        <v>100</v>
      </c>
      <c r="AC396" s="1191" t="s">
        <v>100</v>
      </c>
      <c r="AD396" s="1191" t="s">
        <v>100</v>
      </c>
      <c r="AE396" s="1191" t="s">
        <v>100</v>
      </c>
      <c r="AF396" s="1191" t="s">
        <v>100</v>
      </c>
      <c r="AG396" s="1191" t="s">
        <v>100</v>
      </c>
      <c r="AH396" s="1191" t="s">
        <v>100</v>
      </c>
      <c r="AI396" s="1191" t="s">
        <v>100</v>
      </c>
      <c r="AJ396" s="1191" t="s">
        <v>100</v>
      </c>
      <c r="AK396" s="1191" t="s">
        <v>100</v>
      </c>
      <c r="AL396" s="1191" t="s">
        <v>100</v>
      </c>
      <c r="AM396" s="1191" t="s">
        <v>100</v>
      </c>
      <c r="AN396" s="1191" t="s">
        <v>100</v>
      </c>
      <c r="AO396" s="1191" t="s">
        <v>100</v>
      </c>
      <c r="AP396" s="1191" t="s">
        <v>100</v>
      </c>
      <c r="AQ396" s="1191" t="s">
        <v>100</v>
      </c>
      <c r="AR396" s="1191" t="s">
        <v>100</v>
      </c>
      <c r="AS396" s="1191" t="s">
        <v>100</v>
      </c>
      <c r="AT396" s="1191" t="s">
        <v>100</v>
      </c>
      <c r="AU396" s="1191" t="s">
        <v>100</v>
      </c>
      <c r="AV396" s="1191" t="s">
        <v>100</v>
      </c>
      <c r="AW396" s="1191" t="s">
        <v>100</v>
      </c>
      <c r="AX396" s="1191" t="s">
        <v>100</v>
      </c>
      <c r="AY396" s="1192" t="s">
        <v>100</v>
      </c>
      <c r="AZ396" s="1"/>
      <c r="BA396" s="1"/>
      <c r="BB396" s="1"/>
      <c r="BC396" s="1"/>
      <c r="BD396" s="1"/>
      <c r="BE396" s="1135"/>
      <c r="BF396" s="1135"/>
      <c r="BG396" s="1135"/>
      <c r="BH396" s="1135"/>
      <c r="BI396" s="1135"/>
      <c r="BJ396" s="1135"/>
      <c r="BK396" s="1135"/>
      <c r="BL396" s="1135"/>
    </row>
    <row r="397">
      <c r="A397" s="901"/>
      <c r="B397" s="929" t="s">
        <v>1282</v>
      </c>
      <c r="C397" s="929" t="s">
        <v>21</v>
      </c>
      <c r="D397" s="1196" t="s">
        <v>1283</v>
      </c>
      <c r="E397" s="1197"/>
      <c r="F397" s="1197"/>
      <c r="G397" s="1197"/>
      <c r="H397" s="1197"/>
      <c r="I397" s="1197"/>
      <c r="J397" s="1197"/>
      <c r="K397" s="1197"/>
      <c r="L397" s="1197"/>
      <c r="M397" s="1197"/>
      <c r="N397" s="1197"/>
      <c r="O397" s="1197"/>
      <c r="P397" s="1197"/>
      <c r="Q397" s="1197"/>
      <c r="R397" s="1197"/>
      <c r="S397" s="1197"/>
      <c r="T397" s="1197"/>
      <c r="U397" s="1197"/>
      <c r="V397" s="1197"/>
      <c r="W397" s="1197"/>
      <c r="X397" s="1197"/>
      <c r="Y397" s="1197"/>
      <c r="Z397" s="1197"/>
      <c r="AA397" s="1197"/>
      <c r="AB397" s="1197"/>
      <c r="AC397" s="1197"/>
      <c r="AD397" s="1197"/>
      <c r="AE397" s="1197"/>
      <c r="AF397" s="1197"/>
      <c r="AG397" s="1197"/>
      <c r="AH397" s="1198"/>
      <c r="AI397" s="1184" t="s">
        <v>69</v>
      </c>
      <c r="AJ397" s="1185" t="s">
        <v>70</v>
      </c>
      <c r="AK397" s="1184" t="s">
        <v>69</v>
      </c>
      <c r="AL397" s="1186" t="s">
        <v>69</v>
      </c>
      <c r="AM397" s="1187" t="s">
        <v>70</v>
      </c>
      <c r="AN397" s="1187" t="s">
        <v>70</v>
      </c>
      <c r="AO397" s="1186" t="s">
        <v>69</v>
      </c>
      <c r="AP397" s="1186" t="s">
        <v>69</v>
      </c>
      <c r="AQ397" s="1187" t="s">
        <v>70</v>
      </c>
      <c r="AR397" s="1187" t="s">
        <v>70</v>
      </c>
      <c r="AS397" s="1187" t="s">
        <v>70</v>
      </c>
      <c r="AT397" s="1187" t="s">
        <v>70</v>
      </c>
      <c r="AU397" s="1187" t="s">
        <v>70</v>
      </c>
      <c r="AV397" s="1191" t="s">
        <v>100</v>
      </c>
      <c r="AW397" s="1191" t="s">
        <v>100</v>
      </c>
      <c r="AX397" s="1191" t="s">
        <v>100</v>
      </c>
      <c r="AY397" s="1192" t="s">
        <v>100</v>
      </c>
      <c r="AZ397" s="1"/>
      <c r="BA397" s="1"/>
      <c r="BB397" s="1"/>
      <c r="BC397" s="1"/>
      <c r="BD397" s="1"/>
      <c r="BE397" s="1135"/>
      <c r="BF397" s="1135"/>
      <c r="BG397" s="1135"/>
      <c r="BH397" s="1135"/>
      <c r="BI397" s="1135"/>
      <c r="BJ397" s="1135"/>
      <c r="BK397" s="1135"/>
      <c r="BL397" s="1135"/>
    </row>
    <row r="398">
      <c r="A398" s="901"/>
      <c r="B398" s="1199" t="s">
        <v>1284</v>
      </c>
      <c r="C398" s="1199" t="s">
        <v>21</v>
      </c>
      <c r="D398" s="1183" t="s">
        <v>69</v>
      </c>
      <c r="E398" s="1184" t="s">
        <v>69</v>
      </c>
      <c r="F398" s="1184" t="s">
        <v>69</v>
      </c>
      <c r="G398" s="1184" t="s">
        <v>69</v>
      </c>
      <c r="H398" s="1184" t="s">
        <v>69</v>
      </c>
      <c r="I398" s="1184" t="s">
        <v>69</v>
      </c>
      <c r="J398" s="1184" t="s">
        <v>69</v>
      </c>
      <c r="K398" s="1184" t="s">
        <v>69</v>
      </c>
      <c r="L398" s="1184" t="s">
        <v>69</v>
      </c>
      <c r="M398" s="1185" t="s">
        <v>70</v>
      </c>
      <c r="N398" s="1185" t="s">
        <v>70</v>
      </c>
      <c r="O398" s="1184" t="s">
        <v>69</v>
      </c>
      <c r="P398" s="1184"/>
      <c r="Q398" s="1184" t="s">
        <v>69</v>
      </c>
      <c r="R398" s="1185" t="s">
        <v>70</v>
      </c>
      <c r="S398" s="1184" t="s">
        <v>69</v>
      </c>
      <c r="T398" s="1185" t="s">
        <v>70</v>
      </c>
      <c r="U398" s="1184" t="s">
        <v>69</v>
      </c>
      <c r="V398" s="1200" t="s">
        <v>99</v>
      </c>
      <c r="W398" s="1184" t="s">
        <v>69</v>
      </c>
      <c r="X398" s="1185" t="s">
        <v>70</v>
      </c>
      <c r="Y398" s="1185" t="s">
        <v>70</v>
      </c>
      <c r="Z398" s="1184" t="s">
        <v>69</v>
      </c>
      <c r="AA398" s="1184" t="s">
        <v>69</v>
      </c>
      <c r="AB398" s="1185" t="s">
        <v>70</v>
      </c>
      <c r="AC398" s="1185" t="s">
        <v>70</v>
      </c>
      <c r="AD398" s="1184" t="s">
        <v>69</v>
      </c>
      <c r="AE398" s="1184" t="s">
        <v>69</v>
      </c>
      <c r="AF398" s="1184" t="s">
        <v>69</v>
      </c>
      <c r="AG398" s="1200" t="s">
        <v>99</v>
      </c>
      <c r="AH398" s="1190" t="s">
        <v>100</v>
      </c>
      <c r="AI398" s="1201" t="s">
        <v>1283</v>
      </c>
      <c r="AJ398" s="1197"/>
      <c r="AK398" s="1197"/>
      <c r="AL398" s="1197"/>
      <c r="AM398" s="1197"/>
      <c r="AN398" s="1197"/>
      <c r="AO398" s="1197"/>
      <c r="AP398" s="1197"/>
      <c r="AQ398" s="1197"/>
      <c r="AR398" s="1197"/>
      <c r="AS398" s="1197"/>
      <c r="AT398" s="1197"/>
      <c r="AU398" s="1197"/>
      <c r="AV398" s="1197"/>
      <c r="AW398" s="1197"/>
      <c r="AX398" s="1197"/>
      <c r="AY398" s="1197"/>
      <c r="AZ398" s="1202"/>
      <c r="BA398" s="1202"/>
      <c r="BB398" s="1202"/>
      <c r="BC398" s="1202"/>
      <c r="BD398" s="1202"/>
      <c r="BE398" s="1203"/>
      <c r="BF398" s="1203"/>
      <c r="BG398" s="1203"/>
      <c r="BH398" s="1203"/>
      <c r="BI398" s="1203"/>
      <c r="BJ398" s="1203"/>
      <c r="BK398" s="1203"/>
      <c r="BL398" s="1203"/>
    </row>
    <row r="399">
      <c r="A399" s="901"/>
      <c r="B399" s="950" t="s">
        <v>1249</v>
      </c>
      <c r="C399" s="950" t="s">
        <v>12</v>
      </c>
      <c r="D399" s="1183" t="s">
        <v>69</v>
      </c>
      <c r="E399" s="1185" t="s">
        <v>70</v>
      </c>
      <c r="F399" s="1184" t="s">
        <v>69</v>
      </c>
      <c r="G399" s="1185" t="s">
        <v>70</v>
      </c>
      <c r="H399" s="1184" t="s">
        <v>69</v>
      </c>
      <c r="I399" s="1184" t="s">
        <v>69</v>
      </c>
      <c r="J399" s="1185" t="s">
        <v>70</v>
      </c>
      <c r="K399" s="1184" t="s">
        <v>69</v>
      </c>
      <c r="L399" s="1185" t="s">
        <v>70</v>
      </c>
      <c r="M399" s="1185" t="s">
        <v>70</v>
      </c>
      <c r="N399" s="1184" t="s">
        <v>69</v>
      </c>
      <c r="O399" s="1200" t="s">
        <v>99</v>
      </c>
      <c r="P399" s="1200"/>
      <c r="Q399" s="1185" t="s">
        <v>70</v>
      </c>
      <c r="R399" s="1185" t="s">
        <v>70</v>
      </c>
      <c r="S399" s="1184" t="s">
        <v>69</v>
      </c>
      <c r="T399" s="1185" t="s">
        <v>70</v>
      </c>
      <c r="U399" s="1184" t="s">
        <v>69</v>
      </c>
      <c r="V399" s="1200" t="s">
        <v>99</v>
      </c>
      <c r="W399" s="1185" t="s">
        <v>70</v>
      </c>
      <c r="X399" s="1185" t="s">
        <v>70</v>
      </c>
      <c r="Y399" s="1200" t="s">
        <v>99</v>
      </c>
      <c r="Z399" s="1184" t="s">
        <v>69</v>
      </c>
      <c r="AA399" s="1184" t="s">
        <v>69</v>
      </c>
      <c r="AB399" s="1185" t="s">
        <v>70</v>
      </c>
      <c r="AC399" s="1185" t="s">
        <v>70</v>
      </c>
      <c r="AD399" s="1184" t="s">
        <v>69</v>
      </c>
      <c r="AE399" s="1184" t="s">
        <v>69</v>
      </c>
      <c r="AF399" s="1185" t="s">
        <v>70</v>
      </c>
      <c r="AG399" s="1184" t="s">
        <v>69</v>
      </c>
      <c r="AH399" s="1204" t="s">
        <v>70</v>
      </c>
      <c r="AI399" s="1205" t="s">
        <v>69</v>
      </c>
      <c r="AJ399" s="1205" t="s">
        <v>69</v>
      </c>
      <c r="AK399" s="1205" t="s">
        <v>69</v>
      </c>
      <c r="AL399" s="1206" t="s">
        <v>69</v>
      </c>
      <c r="AM399" s="1207" t="s">
        <v>70</v>
      </c>
      <c r="AN399" s="1207" t="s">
        <v>70</v>
      </c>
      <c r="AO399" s="1207" t="s">
        <v>70</v>
      </c>
      <c r="AP399" s="1206" t="s">
        <v>69</v>
      </c>
      <c r="AQ399" s="1206" t="s">
        <v>69</v>
      </c>
      <c r="AR399" s="1207" t="s">
        <v>70</v>
      </c>
      <c r="AS399" s="1206" t="s">
        <v>69</v>
      </c>
      <c r="AT399" s="1207" t="s">
        <v>70</v>
      </c>
      <c r="AU399" s="1208" t="s">
        <v>99</v>
      </c>
      <c r="AV399" s="1207" t="s">
        <v>70</v>
      </c>
      <c r="AW399" s="1207" t="s">
        <v>70</v>
      </c>
      <c r="AX399" s="1208" t="s">
        <v>99</v>
      </c>
      <c r="AY399" s="1209" t="s">
        <v>70</v>
      </c>
      <c r="AZ399" s="1"/>
      <c r="BA399" s="1"/>
      <c r="BB399" s="1"/>
      <c r="BC399" s="1"/>
      <c r="BD399" s="1"/>
      <c r="BE399" s="1135"/>
      <c r="BF399" s="1135"/>
      <c r="BG399" s="1135"/>
      <c r="BH399" s="1135"/>
      <c r="BI399" s="1135"/>
      <c r="BJ399" s="1135"/>
      <c r="BK399" s="1135"/>
      <c r="BL399" s="1135"/>
    </row>
    <row r="400">
      <c r="A400" s="901"/>
      <c r="B400" s="1210" t="s">
        <v>1285</v>
      </c>
      <c r="C400" s="1136" t="s">
        <v>12</v>
      </c>
      <c r="D400" s="1195" t="s">
        <v>100</v>
      </c>
      <c r="E400" s="1191" t="s">
        <v>100</v>
      </c>
      <c r="F400" s="1191" t="s">
        <v>100</v>
      </c>
      <c r="G400" s="1191" t="s">
        <v>100</v>
      </c>
      <c r="H400" s="1191" t="s">
        <v>100</v>
      </c>
      <c r="I400" s="1191" t="s">
        <v>100</v>
      </c>
      <c r="J400" s="1191" t="s">
        <v>100</v>
      </c>
      <c r="K400" s="1191" t="s">
        <v>100</v>
      </c>
      <c r="L400" s="1191" t="s">
        <v>100</v>
      </c>
      <c r="M400" s="1191" t="s">
        <v>100</v>
      </c>
      <c r="N400" s="1191" t="s">
        <v>100</v>
      </c>
      <c r="O400" s="1191" t="s">
        <v>100</v>
      </c>
      <c r="P400" s="1191"/>
      <c r="Q400" s="1191" t="s">
        <v>100</v>
      </c>
      <c r="R400" s="1191" t="s">
        <v>100</v>
      </c>
      <c r="S400" s="1191" t="s">
        <v>100</v>
      </c>
      <c r="T400" s="1191" t="s">
        <v>100</v>
      </c>
      <c r="U400" s="1191" t="s">
        <v>100</v>
      </c>
      <c r="V400" s="1191" t="s">
        <v>100</v>
      </c>
      <c r="W400" s="1191" t="s">
        <v>100</v>
      </c>
      <c r="X400" s="1191" t="s">
        <v>100</v>
      </c>
      <c r="Y400" s="1191" t="s">
        <v>100</v>
      </c>
      <c r="Z400" s="1191" t="s">
        <v>100</v>
      </c>
      <c r="AA400" s="1191" t="s">
        <v>100</v>
      </c>
      <c r="AB400" s="1190" t="s">
        <v>100</v>
      </c>
      <c r="AC400" s="1190" t="s">
        <v>100</v>
      </c>
      <c r="AD400" s="1190" t="s">
        <v>100</v>
      </c>
      <c r="AE400" s="1190" t="s">
        <v>100</v>
      </c>
      <c r="AF400" s="1190" t="s">
        <v>100</v>
      </c>
      <c r="AG400" s="1211" t="s">
        <v>100</v>
      </c>
      <c r="AH400" s="1212" t="s">
        <v>1283</v>
      </c>
      <c r="AI400" s="108"/>
      <c r="AJ400" s="108"/>
      <c r="AK400" s="108"/>
      <c r="AL400" s="108"/>
      <c r="AM400" s="108"/>
      <c r="AN400" s="108"/>
      <c r="AO400" s="108"/>
      <c r="AP400" s="108"/>
      <c r="AQ400" s="108"/>
      <c r="AR400" s="108"/>
      <c r="AS400" s="108"/>
      <c r="AT400" s="108"/>
      <c r="AU400" s="108"/>
      <c r="AV400" s="108"/>
      <c r="AW400" s="108"/>
      <c r="AX400" s="108"/>
      <c r="AY400" s="1213"/>
      <c r="AZ400" s="1"/>
      <c r="BA400" s="1"/>
      <c r="BB400" s="1"/>
      <c r="BC400" s="1"/>
      <c r="BD400" s="1"/>
      <c r="BE400" s="1135"/>
      <c r="BF400" s="1135"/>
      <c r="BG400" s="1135"/>
      <c r="BH400" s="1135"/>
      <c r="BI400" s="1135"/>
      <c r="BJ400" s="1135"/>
      <c r="BK400" s="1135"/>
      <c r="BL400" s="1135"/>
    </row>
    <row r="401">
      <c r="A401" s="901"/>
      <c r="B401" s="1136" t="s">
        <v>1286</v>
      </c>
      <c r="C401" s="1136" t="s">
        <v>12</v>
      </c>
      <c r="D401" s="1183" t="s">
        <v>69</v>
      </c>
      <c r="E401" s="1200" t="s">
        <v>99</v>
      </c>
      <c r="F401" s="1185" t="s">
        <v>70</v>
      </c>
      <c r="G401" s="1185" t="s">
        <v>70</v>
      </c>
      <c r="H401" s="1184" t="s">
        <v>69</v>
      </c>
      <c r="I401" s="1184" t="s">
        <v>69</v>
      </c>
      <c r="J401" s="1185" t="s">
        <v>70</v>
      </c>
      <c r="K401" s="1184" t="s">
        <v>69</v>
      </c>
      <c r="L401" s="1185" t="s">
        <v>70</v>
      </c>
      <c r="M401" s="1185" t="s">
        <v>70</v>
      </c>
      <c r="N401" s="1184" t="s">
        <v>69</v>
      </c>
      <c r="O401" s="1185" t="s">
        <v>70</v>
      </c>
      <c r="P401" s="1185"/>
      <c r="Q401" s="1185" t="s">
        <v>70</v>
      </c>
      <c r="R401" s="1185" t="s">
        <v>70</v>
      </c>
      <c r="S401" s="1184" t="s">
        <v>69</v>
      </c>
      <c r="T401" s="1185" t="s">
        <v>70</v>
      </c>
      <c r="U401" s="1184" t="s">
        <v>69</v>
      </c>
      <c r="V401" s="1184" t="s">
        <v>69</v>
      </c>
      <c r="W401" s="1185" t="s">
        <v>70</v>
      </c>
      <c r="X401" s="1185" t="s">
        <v>70</v>
      </c>
      <c r="Y401" s="1185" t="s">
        <v>70</v>
      </c>
      <c r="Z401" s="1184" t="s">
        <v>69</v>
      </c>
      <c r="AA401" s="1184" t="s">
        <v>69</v>
      </c>
      <c r="AB401" s="1187" t="s">
        <v>70</v>
      </c>
      <c r="AC401" s="1187" t="s">
        <v>70</v>
      </c>
      <c r="AD401" s="1186" t="s">
        <v>69</v>
      </c>
      <c r="AE401" s="1186" t="s">
        <v>69</v>
      </c>
      <c r="AF401" s="1214" t="s">
        <v>99</v>
      </c>
      <c r="AG401" s="1186" t="s">
        <v>69</v>
      </c>
      <c r="AH401" s="1187" t="s">
        <v>70</v>
      </c>
      <c r="AI401" s="1186" t="s">
        <v>69</v>
      </c>
      <c r="AJ401" s="1186" t="s">
        <v>69</v>
      </c>
      <c r="AK401" s="1186" t="s">
        <v>69</v>
      </c>
      <c r="AL401" s="1186" t="s">
        <v>69</v>
      </c>
      <c r="AM401" s="1187" t="s">
        <v>70</v>
      </c>
      <c r="AN401" s="1187" t="s">
        <v>70</v>
      </c>
      <c r="AO401" s="1187" t="s">
        <v>70</v>
      </c>
      <c r="AP401" s="1186" t="s">
        <v>69</v>
      </c>
      <c r="AQ401" s="1186" t="s">
        <v>69</v>
      </c>
      <c r="AR401" s="1187" t="s">
        <v>70</v>
      </c>
      <c r="AS401" s="1187" t="s">
        <v>70</v>
      </c>
      <c r="AT401" s="1187" t="s">
        <v>70</v>
      </c>
      <c r="AU401" s="1214" t="s">
        <v>99</v>
      </c>
      <c r="AV401" s="1187" t="s">
        <v>70</v>
      </c>
      <c r="AW401" s="1187" t="s">
        <v>70</v>
      </c>
      <c r="AX401" s="1187" t="s">
        <v>70</v>
      </c>
      <c r="AY401" s="1194" t="s">
        <v>70</v>
      </c>
      <c r="AZ401" s="1"/>
      <c r="BA401" s="1"/>
      <c r="BB401" s="1"/>
      <c r="BC401" s="1"/>
      <c r="BD401" s="1"/>
      <c r="BE401" s="1135"/>
      <c r="BF401" s="1135"/>
      <c r="BG401" s="1135"/>
      <c r="BH401" s="1135"/>
      <c r="BI401" s="1135"/>
      <c r="BJ401" s="1135"/>
      <c r="BK401" s="1135"/>
      <c r="BL401" s="1135"/>
    </row>
    <row r="402">
      <c r="A402" s="901"/>
      <c r="B402" s="1215" t="s">
        <v>1202</v>
      </c>
      <c r="C402" s="1215" t="s">
        <v>1287</v>
      </c>
      <c r="D402" s="1183" t="s">
        <v>69</v>
      </c>
      <c r="E402" s="1185" t="s">
        <v>70</v>
      </c>
      <c r="F402" s="1184" t="s">
        <v>69</v>
      </c>
      <c r="G402" s="1185" t="s">
        <v>70</v>
      </c>
      <c r="H402" s="1184" t="s">
        <v>69</v>
      </c>
      <c r="I402" s="1184" t="s">
        <v>69</v>
      </c>
      <c r="J402" s="1200" t="s">
        <v>99</v>
      </c>
      <c r="K402" s="1184" t="s">
        <v>69</v>
      </c>
      <c r="L402" s="1184" t="s">
        <v>69</v>
      </c>
      <c r="M402" s="1185" t="s">
        <v>70</v>
      </c>
      <c r="N402" s="1200" t="s">
        <v>99</v>
      </c>
      <c r="O402" s="1185" t="s">
        <v>70</v>
      </c>
      <c r="P402" s="1185"/>
      <c r="Q402" s="1185" t="s">
        <v>70</v>
      </c>
      <c r="R402" s="1184" t="s">
        <v>69</v>
      </c>
      <c r="S402" s="1184" t="s">
        <v>69</v>
      </c>
      <c r="T402" s="1185" t="s">
        <v>70</v>
      </c>
      <c r="U402" s="1184" t="s">
        <v>69</v>
      </c>
      <c r="V402" s="1200" t="s">
        <v>99</v>
      </c>
      <c r="W402" s="1185" t="s">
        <v>70</v>
      </c>
      <c r="X402" s="1185" t="s">
        <v>70</v>
      </c>
      <c r="Y402" s="1185" t="s">
        <v>70</v>
      </c>
      <c r="Z402" s="1186" t="s">
        <v>69</v>
      </c>
      <c r="AA402" s="1186" t="s">
        <v>69</v>
      </c>
      <c r="AB402" s="1187" t="s">
        <v>70</v>
      </c>
      <c r="AC402" s="1187" t="s">
        <v>70</v>
      </c>
      <c r="AD402" s="1186" t="s">
        <v>69</v>
      </c>
      <c r="AE402" s="1186" t="s">
        <v>69</v>
      </c>
      <c r="AF402" s="1187" t="s">
        <v>70</v>
      </c>
      <c r="AG402" s="1186" t="s">
        <v>69</v>
      </c>
      <c r="AH402" s="1187" t="s">
        <v>70</v>
      </c>
      <c r="AI402" s="1186" t="s">
        <v>69</v>
      </c>
      <c r="AJ402" s="1187" t="s">
        <v>70</v>
      </c>
      <c r="AK402" s="1186" t="s">
        <v>69</v>
      </c>
      <c r="AL402" s="1186" t="s">
        <v>69</v>
      </c>
      <c r="AM402" s="1187" t="s">
        <v>70</v>
      </c>
      <c r="AN402" s="1187" t="s">
        <v>70</v>
      </c>
      <c r="AO402" s="1187" t="s">
        <v>70</v>
      </c>
      <c r="AP402" s="1186" t="s">
        <v>69</v>
      </c>
      <c r="AQ402" s="1187" t="s">
        <v>70</v>
      </c>
      <c r="AR402" s="1187" t="s">
        <v>70</v>
      </c>
      <c r="AS402" s="1187" t="s">
        <v>70</v>
      </c>
      <c r="AT402" s="1187" t="s">
        <v>70</v>
      </c>
      <c r="AU402" s="1187" t="s">
        <v>70</v>
      </c>
      <c r="AV402" s="1187" t="s">
        <v>70</v>
      </c>
      <c r="AW402" s="1187" t="s">
        <v>70</v>
      </c>
      <c r="AX402" s="1187" t="s">
        <v>70</v>
      </c>
      <c r="AY402" s="1194" t="s">
        <v>70</v>
      </c>
      <c r="AZ402" s="1"/>
      <c r="BA402" s="1"/>
      <c r="BB402" s="1"/>
      <c r="BC402" s="1"/>
      <c r="BD402" s="1"/>
      <c r="BE402" s="1135"/>
      <c r="BF402" s="1135"/>
      <c r="BG402" s="1135"/>
      <c r="BH402" s="1135"/>
      <c r="BI402" s="1135"/>
      <c r="BJ402" s="1135"/>
      <c r="BK402" s="1135"/>
      <c r="BL402" s="1135"/>
    </row>
    <row r="403">
      <c r="A403" s="901"/>
      <c r="B403" s="1216" t="s">
        <v>927</v>
      </c>
      <c r="C403" s="1216" t="s">
        <v>1287</v>
      </c>
      <c r="D403" s="1183" t="s">
        <v>69</v>
      </c>
      <c r="E403" s="1184" t="s">
        <v>69</v>
      </c>
      <c r="F403" s="1185" t="s">
        <v>70</v>
      </c>
      <c r="G403" s="1185" t="s">
        <v>70</v>
      </c>
      <c r="H403" s="1184" t="s">
        <v>69</v>
      </c>
      <c r="I403" s="1184" t="s">
        <v>69</v>
      </c>
      <c r="J403" s="1184" t="s">
        <v>69</v>
      </c>
      <c r="K403" s="1184" t="s">
        <v>69</v>
      </c>
      <c r="L403" s="1184" t="s">
        <v>69</v>
      </c>
      <c r="M403" s="1185" t="s">
        <v>70</v>
      </c>
      <c r="N403" s="1184" t="s">
        <v>69</v>
      </c>
      <c r="O403" s="1200" t="s">
        <v>99</v>
      </c>
      <c r="P403" s="1200"/>
      <c r="Q403" s="1185" t="s">
        <v>70</v>
      </c>
      <c r="R403" s="1184" t="s">
        <v>69</v>
      </c>
      <c r="S403" s="1184" t="s">
        <v>69</v>
      </c>
      <c r="T403" s="1185" t="s">
        <v>70</v>
      </c>
      <c r="U403" s="1184" t="s">
        <v>69</v>
      </c>
      <c r="V403" s="1200" t="s">
        <v>99</v>
      </c>
      <c r="W403" s="1184" t="s">
        <v>69</v>
      </c>
      <c r="X403" s="1185" t="s">
        <v>70</v>
      </c>
      <c r="Y403" s="1200" t="s">
        <v>99</v>
      </c>
      <c r="Z403" s="1186" t="s">
        <v>69</v>
      </c>
      <c r="AA403" s="1186" t="s">
        <v>69</v>
      </c>
      <c r="AB403" s="1187" t="s">
        <v>70</v>
      </c>
      <c r="AC403" s="1187" t="s">
        <v>70</v>
      </c>
      <c r="AD403" s="1186" t="s">
        <v>69</v>
      </c>
      <c r="AE403" s="1186" t="s">
        <v>69</v>
      </c>
      <c r="AF403" s="1214" t="s">
        <v>99</v>
      </c>
      <c r="AG403" s="1187" t="s">
        <v>70</v>
      </c>
      <c r="AH403" s="1187" t="s">
        <v>70</v>
      </c>
      <c r="AI403" s="1186" t="s">
        <v>69</v>
      </c>
      <c r="AJ403" s="1187" t="s">
        <v>70</v>
      </c>
      <c r="AK403" s="1186" t="s">
        <v>69</v>
      </c>
      <c r="AL403" s="1186" t="s">
        <v>69</v>
      </c>
      <c r="AM403" s="1187" t="s">
        <v>70</v>
      </c>
      <c r="AN403" s="1187" t="s">
        <v>70</v>
      </c>
      <c r="AO403" s="1186" t="s">
        <v>69</v>
      </c>
      <c r="AP403" s="1214" t="s">
        <v>99</v>
      </c>
      <c r="AQ403" s="1191" t="s">
        <v>100</v>
      </c>
      <c r="AR403" s="1191" t="s">
        <v>100</v>
      </c>
      <c r="AS403" s="1191" t="s">
        <v>100</v>
      </c>
      <c r="AT403" s="1191" t="s">
        <v>100</v>
      </c>
      <c r="AU403" s="1191" t="s">
        <v>100</v>
      </c>
      <c r="AV403" s="1187" t="s">
        <v>70</v>
      </c>
      <c r="AW403" s="1187" t="s">
        <v>70</v>
      </c>
      <c r="AX403" s="1214" t="s">
        <v>99</v>
      </c>
      <c r="AY403" s="1194" t="s">
        <v>70</v>
      </c>
      <c r="AZ403" s="1"/>
      <c r="BA403" s="1"/>
      <c r="BB403" s="1"/>
      <c r="BC403" s="1"/>
      <c r="BD403" s="1"/>
      <c r="BE403" s="1135"/>
      <c r="BF403" s="1135"/>
      <c r="BG403" s="1135"/>
      <c r="BH403" s="1135"/>
      <c r="BI403" s="1135"/>
      <c r="BJ403" s="1135"/>
      <c r="BK403" s="1135"/>
      <c r="BL403" s="1135"/>
    </row>
    <row r="404">
      <c r="A404" s="901"/>
      <c r="B404" s="1095" t="s">
        <v>51</v>
      </c>
      <c r="C404" s="1095" t="s">
        <v>174</v>
      </c>
      <c r="D404" s="1217" t="s">
        <v>70</v>
      </c>
      <c r="E404" s="1204" t="s">
        <v>70</v>
      </c>
      <c r="F404" s="1205" t="s">
        <v>69</v>
      </c>
      <c r="G404" s="1205" t="s">
        <v>69</v>
      </c>
      <c r="H404" s="1204" t="s">
        <v>70</v>
      </c>
      <c r="I404" s="1204" t="s">
        <v>70</v>
      </c>
      <c r="J404" s="1218" t="s">
        <v>99</v>
      </c>
      <c r="K404" s="1204" t="s">
        <v>70</v>
      </c>
      <c r="L404" s="1205" t="s">
        <v>69</v>
      </c>
      <c r="M404" s="1205" t="s">
        <v>69</v>
      </c>
      <c r="N404" s="1204" t="s">
        <v>70</v>
      </c>
      <c r="O404" s="1205" t="s">
        <v>69</v>
      </c>
      <c r="P404" s="1205"/>
      <c r="Q404" s="1204" t="s">
        <v>70</v>
      </c>
      <c r="R404" s="1204" t="s">
        <v>70</v>
      </c>
      <c r="S404" s="1205" t="s">
        <v>69</v>
      </c>
      <c r="T404" s="1204" t="s">
        <v>70</v>
      </c>
      <c r="U404" s="1205" t="s">
        <v>69</v>
      </c>
      <c r="V404" s="1185" t="s">
        <v>70</v>
      </c>
      <c r="W404" s="1185" t="s">
        <v>70</v>
      </c>
      <c r="X404" s="1185" t="s">
        <v>70</v>
      </c>
      <c r="Y404" s="1184" t="s">
        <v>69</v>
      </c>
      <c r="Z404" s="1186" t="s">
        <v>69</v>
      </c>
      <c r="AA404" s="1186" t="s">
        <v>69</v>
      </c>
      <c r="AB404" s="1187" t="s">
        <v>70</v>
      </c>
      <c r="AC404" s="1187" t="s">
        <v>70</v>
      </c>
      <c r="AD404" s="1187" t="s">
        <v>70</v>
      </c>
      <c r="AE404" s="1214" t="s">
        <v>99</v>
      </c>
      <c r="AF404" s="1186" t="s">
        <v>69</v>
      </c>
      <c r="AG404" s="1186" t="s">
        <v>69</v>
      </c>
      <c r="AH404" s="1187" t="s">
        <v>70</v>
      </c>
      <c r="AI404" s="1186" t="s">
        <v>69</v>
      </c>
      <c r="AJ404" s="1186" t="s">
        <v>69</v>
      </c>
      <c r="AK404" s="1186" t="s">
        <v>69</v>
      </c>
      <c r="AL404" s="1186" t="s">
        <v>69</v>
      </c>
      <c r="AM404" s="1187" t="s">
        <v>70</v>
      </c>
      <c r="AN404" s="1187" t="s">
        <v>70</v>
      </c>
      <c r="AO404" s="1186" t="s">
        <v>69</v>
      </c>
      <c r="AP404" s="1186" t="s">
        <v>69</v>
      </c>
      <c r="AQ404" s="1186" t="s">
        <v>69</v>
      </c>
      <c r="AR404" s="1186" t="s">
        <v>69</v>
      </c>
      <c r="AS404" s="1186" t="s">
        <v>69</v>
      </c>
      <c r="AT404" s="1187" t="s">
        <v>70</v>
      </c>
      <c r="AU404" s="1187" t="s">
        <v>70</v>
      </c>
      <c r="AV404" s="1186" t="s">
        <v>69</v>
      </c>
      <c r="AW404" s="1187" t="s">
        <v>70</v>
      </c>
      <c r="AX404" s="1187" t="s">
        <v>70</v>
      </c>
      <c r="AY404" s="1194" t="s">
        <v>70</v>
      </c>
      <c r="AZ404" s="1"/>
      <c r="BA404" s="1"/>
      <c r="BB404" s="1"/>
      <c r="BC404" s="1"/>
      <c r="BD404" s="1"/>
      <c r="BE404" s="1135"/>
      <c r="BF404" s="1135"/>
      <c r="BG404" s="1135"/>
      <c r="BH404" s="1135"/>
      <c r="BI404" s="1135"/>
      <c r="BJ404" s="1135"/>
      <c r="BK404" s="1135"/>
      <c r="BL404" s="1135"/>
    </row>
    <row r="405">
      <c r="A405" s="901"/>
      <c r="B405" s="1142" t="s">
        <v>53</v>
      </c>
      <c r="C405" s="1142" t="s">
        <v>174</v>
      </c>
      <c r="D405" s="1219" t="s">
        <v>1283</v>
      </c>
      <c r="E405" s="108"/>
      <c r="F405" s="108"/>
      <c r="G405" s="108"/>
      <c r="H405" s="108"/>
      <c r="I405" s="108"/>
      <c r="J405" s="108"/>
      <c r="K405" s="108"/>
      <c r="L405" s="108"/>
      <c r="M405" s="108"/>
      <c r="N405" s="108"/>
      <c r="O405" s="108"/>
      <c r="P405" s="108"/>
      <c r="Q405" s="108"/>
      <c r="R405" s="108"/>
      <c r="S405" s="108"/>
      <c r="T405" s="108"/>
      <c r="U405" s="109"/>
      <c r="V405" s="1204" t="s">
        <v>70</v>
      </c>
      <c r="W405" s="1204" t="s">
        <v>70</v>
      </c>
      <c r="X405" s="1204" t="s">
        <v>70</v>
      </c>
      <c r="Y405" s="1205" t="s">
        <v>69</v>
      </c>
      <c r="Z405" s="1205" t="s">
        <v>69</v>
      </c>
      <c r="AA405" s="1205" t="s">
        <v>69</v>
      </c>
      <c r="AB405" s="1204" t="s">
        <v>70</v>
      </c>
      <c r="AC405" s="1204" t="s">
        <v>70</v>
      </c>
      <c r="AD405" s="1204" t="s">
        <v>70</v>
      </c>
      <c r="AE405" s="1205" t="s">
        <v>69</v>
      </c>
      <c r="AF405" s="1205" t="s">
        <v>69</v>
      </c>
      <c r="AG405" s="1205" t="s">
        <v>69</v>
      </c>
      <c r="AH405" s="1204" t="s">
        <v>70</v>
      </c>
      <c r="AI405" s="1205" t="s">
        <v>69</v>
      </c>
      <c r="AJ405" s="1205" t="s">
        <v>69</v>
      </c>
      <c r="AK405" s="1205" t="s">
        <v>69</v>
      </c>
      <c r="AL405" s="1206" t="s">
        <v>69</v>
      </c>
      <c r="AM405" s="1207" t="s">
        <v>70</v>
      </c>
      <c r="AN405" s="1207" t="s">
        <v>70</v>
      </c>
      <c r="AO405" s="1206" t="s">
        <v>69</v>
      </c>
      <c r="AP405" s="1206" t="s">
        <v>69</v>
      </c>
      <c r="AQ405" s="1206" t="s">
        <v>69</v>
      </c>
      <c r="AR405" s="1206" t="s">
        <v>69</v>
      </c>
      <c r="AS405" s="1206" t="s">
        <v>69</v>
      </c>
      <c r="AT405" s="1207" t="s">
        <v>70</v>
      </c>
      <c r="AU405" s="1207" t="s">
        <v>70</v>
      </c>
      <c r="AV405" s="1206" t="s">
        <v>69</v>
      </c>
      <c r="AW405" s="1207" t="s">
        <v>70</v>
      </c>
      <c r="AX405" s="1207" t="s">
        <v>70</v>
      </c>
      <c r="AY405" s="1209" t="s">
        <v>70</v>
      </c>
      <c r="AZ405" s="1"/>
      <c r="BA405" s="1"/>
      <c r="BB405" s="1"/>
      <c r="BC405" s="1"/>
      <c r="BD405" s="1"/>
      <c r="BE405" s="1135"/>
      <c r="BF405" s="1135"/>
      <c r="BG405" s="1135"/>
      <c r="BH405" s="1135"/>
      <c r="BI405" s="1135"/>
      <c r="BJ405" s="1135"/>
      <c r="BK405" s="1135"/>
      <c r="BL405" s="1135"/>
    </row>
    <row r="406">
      <c r="A406" s="901"/>
      <c r="B406" s="1143" t="s">
        <v>1251</v>
      </c>
      <c r="C406" s="1143" t="s">
        <v>174</v>
      </c>
      <c r="D406" s="1220" t="s">
        <v>70</v>
      </c>
      <c r="E406" s="1185" t="s">
        <v>70</v>
      </c>
      <c r="F406" s="1184" t="s">
        <v>69</v>
      </c>
      <c r="G406" s="1184" t="s">
        <v>69</v>
      </c>
      <c r="H406" s="1185" t="s">
        <v>70</v>
      </c>
      <c r="I406" s="1185" t="s">
        <v>70</v>
      </c>
      <c r="J406" s="1185" t="s">
        <v>70</v>
      </c>
      <c r="K406" s="1185" t="s">
        <v>70</v>
      </c>
      <c r="L406" s="1184" t="s">
        <v>69</v>
      </c>
      <c r="M406" s="1184" t="s">
        <v>69</v>
      </c>
      <c r="N406" s="1185" t="s">
        <v>70</v>
      </c>
      <c r="O406" s="1184" t="s">
        <v>69</v>
      </c>
      <c r="P406" s="1184"/>
      <c r="Q406" s="1185" t="s">
        <v>70</v>
      </c>
      <c r="R406" s="1185" t="s">
        <v>70</v>
      </c>
      <c r="S406" s="1184" t="s">
        <v>69</v>
      </c>
      <c r="T406" s="1185" t="s">
        <v>70</v>
      </c>
      <c r="U406" s="1221" t="s">
        <v>69</v>
      </c>
      <c r="V406" s="1212" t="s">
        <v>1283</v>
      </c>
      <c r="W406" s="108"/>
      <c r="X406" s="108"/>
      <c r="Y406" s="108"/>
      <c r="Z406" s="108"/>
      <c r="AA406" s="108"/>
      <c r="AB406" s="108"/>
      <c r="AC406" s="108"/>
      <c r="AD406" s="108"/>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213"/>
      <c r="AZ406" s="1"/>
      <c r="BA406" s="1"/>
      <c r="BB406" s="1"/>
      <c r="BC406" s="1"/>
      <c r="BD406" s="1"/>
      <c r="BE406" s="1135"/>
      <c r="BF406" s="1135"/>
      <c r="BG406" s="1135"/>
      <c r="BH406" s="1135"/>
      <c r="BI406" s="1135"/>
      <c r="BJ406" s="1135"/>
      <c r="BK406" s="1135"/>
      <c r="BL406" s="1135"/>
    </row>
    <row r="407">
      <c r="A407" s="1013"/>
      <c r="B407" s="1222" t="s">
        <v>1260</v>
      </c>
      <c r="C407" s="1222" t="s">
        <v>187</v>
      </c>
      <c r="D407" s="1189" t="s">
        <v>100</v>
      </c>
      <c r="E407" s="1190" t="s">
        <v>100</v>
      </c>
      <c r="F407" s="1190" t="s">
        <v>100</v>
      </c>
      <c r="G407" s="1190" t="s">
        <v>100</v>
      </c>
      <c r="H407" s="1190" t="s">
        <v>100</v>
      </c>
      <c r="I407" s="1190" t="s">
        <v>100</v>
      </c>
      <c r="J407" s="1190" t="s">
        <v>100</v>
      </c>
      <c r="K407" s="1190" t="s">
        <v>100</v>
      </c>
      <c r="L407" s="1190" t="s">
        <v>100</v>
      </c>
      <c r="M407" s="1190" t="s">
        <v>100</v>
      </c>
      <c r="N407" s="1190" t="s">
        <v>100</v>
      </c>
      <c r="O407" s="1190" t="s">
        <v>100</v>
      </c>
      <c r="P407" s="1190"/>
      <c r="Q407" s="1190" t="s">
        <v>100</v>
      </c>
      <c r="R407" s="1190" t="s">
        <v>100</v>
      </c>
      <c r="S407" s="1190" t="s">
        <v>100</v>
      </c>
      <c r="T407" s="1190" t="s">
        <v>100</v>
      </c>
      <c r="U407" s="1190" t="s">
        <v>100</v>
      </c>
      <c r="V407" s="1185" t="s">
        <v>70</v>
      </c>
      <c r="W407" s="1185" t="s">
        <v>70</v>
      </c>
      <c r="X407" s="1185" t="s">
        <v>70</v>
      </c>
      <c r="Y407" s="1185" t="s">
        <v>70</v>
      </c>
      <c r="Z407" s="1184" t="s">
        <v>69</v>
      </c>
      <c r="AA407" s="1184" t="s">
        <v>69</v>
      </c>
      <c r="AB407" s="1185" t="s">
        <v>70</v>
      </c>
      <c r="AC407" s="1185" t="s">
        <v>70</v>
      </c>
      <c r="AD407" s="1184" t="s">
        <v>69</v>
      </c>
      <c r="AE407" s="1185" t="s">
        <v>70</v>
      </c>
      <c r="AF407" s="1184" t="s">
        <v>69</v>
      </c>
      <c r="AG407" s="1185" t="s">
        <v>70</v>
      </c>
      <c r="AH407" s="1200" t="s">
        <v>99</v>
      </c>
      <c r="AI407" s="1190" t="s">
        <v>100</v>
      </c>
      <c r="AJ407" s="1190" t="s">
        <v>100</v>
      </c>
      <c r="AK407" s="1190" t="s">
        <v>100</v>
      </c>
      <c r="AL407" s="1214" t="s">
        <v>99</v>
      </c>
      <c r="AM407" s="1187" t="s">
        <v>70</v>
      </c>
      <c r="AN407" s="1214" t="s">
        <v>99</v>
      </c>
      <c r="AO407" s="1186" t="s">
        <v>69</v>
      </c>
      <c r="AP407" s="1214" t="s">
        <v>99</v>
      </c>
      <c r="AQ407" s="1191" t="s">
        <v>100</v>
      </c>
      <c r="AR407" s="1191" t="s">
        <v>100</v>
      </c>
      <c r="AS407" s="1191" t="s">
        <v>100</v>
      </c>
      <c r="AT407" s="1191" t="s">
        <v>100</v>
      </c>
      <c r="AU407" s="1191" t="s">
        <v>100</v>
      </c>
      <c r="AV407" s="1187" t="s">
        <v>70</v>
      </c>
      <c r="AW407" s="1187" t="s">
        <v>70</v>
      </c>
      <c r="AX407" s="1187" t="s">
        <v>70</v>
      </c>
      <c r="AY407" s="1194" t="s">
        <v>70</v>
      </c>
      <c r="AZ407" s="1"/>
      <c r="BA407" s="1"/>
      <c r="BB407" s="1"/>
      <c r="BC407" s="1"/>
      <c r="BD407" s="1"/>
      <c r="BE407" s="1135"/>
      <c r="BF407" s="1135"/>
      <c r="BG407" s="1135"/>
      <c r="BH407" s="1135"/>
      <c r="BI407" s="1135"/>
      <c r="BJ407" s="1135"/>
      <c r="BK407" s="1135"/>
      <c r="BL407" s="1135"/>
    </row>
    <row r="408">
      <c r="A408" s="899" t="s">
        <v>1210</v>
      </c>
      <c r="B408" s="1089" t="s">
        <v>1197</v>
      </c>
      <c r="C408" s="1089" t="s">
        <v>177</v>
      </c>
      <c r="D408" s="1183" t="s">
        <v>69</v>
      </c>
      <c r="E408" s="1184" t="s">
        <v>69</v>
      </c>
      <c r="F408" s="1185" t="s">
        <v>70</v>
      </c>
      <c r="G408" s="1184" t="s">
        <v>69</v>
      </c>
      <c r="H408" s="1184" t="s">
        <v>69</v>
      </c>
      <c r="I408" s="1184" t="s">
        <v>69</v>
      </c>
      <c r="J408" s="1184" t="s">
        <v>69</v>
      </c>
      <c r="K408" s="1184" t="s">
        <v>69</v>
      </c>
      <c r="L408" s="1184" t="s">
        <v>69</v>
      </c>
      <c r="M408" s="1185" t="s">
        <v>70</v>
      </c>
      <c r="N408" s="1184" t="s">
        <v>69</v>
      </c>
      <c r="O408" s="1184" t="s">
        <v>69</v>
      </c>
      <c r="P408" s="1184"/>
      <c r="Q408" s="1184" t="s">
        <v>69</v>
      </c>
      <c r="R408" s="1184" t="s">
        <v>69</v>
      </c>
      <c r="S408" s="1184" t="s">
        <v>69</v>
      </c>
      <c r="T408" s="1184" t="s">
        <v>69</v>
      </c>
      <c r="U408" s="1184" t="s">
        <v>69</v>
      </c>
      <c r="V408" s="1200" t="s">
        <v>99</v>
      </c>
      <c r="W408" s="1184" t="s">
        <v>69</v>
      </c>
      <c r="X408" s="1185" t="s">
        <v>70</v>
      </c>
      <c r="Y408" s="1184" t="s">
        <v>69</v>
      </c>
      <c r="Z408" s="1184" t="s">
        <v>69</v>
      </c>
      <c r="AA408" s="1184" t="s">
        <v>69</v>
      </c>
      <c r="AB408" s="1184" t="s">
        <v>69</v>
      </c>
      <c r="AC408" s="1185" t="s">
        <v>70</v>
      </c>
      <c r="AD408" s="1184" t="s">
        <v>69</v>
      </c>
      <c r="AE408" s="1184" t="s">
        <v>69</v>
      </c>
      <c r="AF408" s="1184" t="s">
        <v>69</v>
      </c>
      <c r="AG408" s="1185" t="s">
        <v>70</v>
      </c>
      <c r="AH408" s="1184" t="s">
        <v>69</v>
      </c>
      <c r="AI408" s="1184" t="s">
        <v>69</v>
      </c>
      <c r="AJ408" s="1185" t="s">
        <v>70</v>
      </c>
      <c r="AK408" s="1184" t="s">
        <v>69</v>
      </c>
      <c r="AL408" s="1187" t="s">
        <v>70</v>
      </c>
      <c r="AM408" s="1186" t="s">
        <v>69</v>
      </c>
      <c r="AN408" s="1186" t="s">
        <v>69</v>
      </c>
      <c r="AO408" s="1186" t="s">
        <v>69</v>
      </c>
      <c r="AP408" s="1186" t="s">
        <v>69</v>
      </c>
      <c r="AQ408" s="1191" t="s">
        <v>100</v>
      </c>
      <c r="AR408" s="1191" t="s">
        <v>100</v>
      </c>
      <c r="AS408" s="1191" t="s">
        <v>100</v>
      </c>
      <c r="AT408" s="1191" t="s">
        <v>100</v>
      </c>
      <c r="AU408" s="1191" t="s">
        <v>100</v>
      </c>
      <c r="AV408" s="1186" t="s">
        <v>69</v>
      </c>
      <c r="AW408" s="1186" t="s">
        <v>69</v>
      </c>
      <c r="AX408" s="1186" t="s">
        <v>69</v>
      </c>
      <c r="AY408" s="1194" t="s">
        <v>70</v>
      </c>
      <c r="AZ408" s="1"/>
      <c r="BA408" s="1"/>
      <c r="BB408" s="1"/>
      <c r="BC408" s="1"/>
      <c r="BD408" s="1"/>
      <c r="BE408" s="1135"/>
      <c r="BF408" s="1135"/>
      <c r="BG408" s="1135"/>
      <c r="BH408" s="1135"/>
      <c r="BI408" s="1135"/>
      <c r="BJ408" s="1135"/>
      <c r="BK408" s="1135"/>
      <c r="BL408" s="1135"/>
    </row>
    <row r="409">
      <c r="A409" s="901"/>
      <c r="B409" s="1160" t="s">
        <v>1277</v>
      </c>
      <c r="C409" s="1160" t="s">
        <v>177</v>
      </c>
      <c r="D409" s="1183" t="s">
        <v>69</v>
      </c>
      <c r="E409" s="1184" t="s">
        <v>69</v>
      </c>
      <c r="F409" s="1185" t="s">
        <v>70</v>
      </c>
      <c r="G409" s="1184" t="s">
        <v>69</v>
      </c>
      <c r="H409" s="1184" t="s">
        <v>69</v>
      </c>
      <c r="I409" s="1184" t="s">
        <v>69</v>
      </c>
      <c r="J409" s="1184" t="s">
        <v>69</v>
      </c>
      <c r="K409" s="1184" t="s">
        <v>69</v>
      </c>
      <c r="L409" s="1184" t="s">
        <v>69</v>
      </c>
      <c r="M409" s="1184" t="s">
        <v>69</v>
      </c>
      <c r="N409" s="1184" t="s">
        <v>69</v>
      </c>
      <c r="O409" s="1184" t="s">
        <v>69</v>
      </c>
      <c r="P409" s="1184"/>
      <c r="Q409" s="1184" t="s">
        <v>69</v>
      </c>
      <c r="R409" s="1184" t="s">
        <v>69</v>
      </c>
      <c r="S409" s="1184" t="s">
        <v>69</v>
      </c>
      <c r="T409" s="1184" t="s">
        <v>69</v>
      </c>
      <c r="U409" s="1184" t="s">
        <v>69</v>
      </c>
      <c r="V409" s="1184" t="s">
        <v>69</v>
      </c>
      <c r="W409" s="1184" t="s">
        <v>69</v>
      </c>
      <c r="X409" s="1185" t="s">
        <v>70</v>
      </c>
      <c r="Y409" s="1184" t="s">
        <v>69</v>
      </c>
      <c r="Z409" s="1184" t="s">
        <v>69</v>
      </c>
      <c r="AA409" s="1184" t="s">
        <v>69</v>
      </c>
      <c r="AB409" s="1200" t="s">
        <v>99</v>
      </c>
      <c r="AC409" s="1184" t="s">
        <v>69</v>
      </c>
      <c r="AD409" s="1184" t="s">
        <v>69</v>
      </c>
      <c r="AE409" s="1184" t="s">
        <v>69</v>
      </c>
      <c r="AF409" s="1184" t="s">
        <v>69</v>
      </c>
      <c r="AG409" s="1185" t="s">
        <v>70</v>
      </c>
      <c r="AH409" s="1184" t="s">
        <v>69</v>
      </c>
      <c r="AI409" s="1184" t="s">
        <v>69</v>
      </c>
      <c r="AJ409" s="1185" t="s">
        <v>70</v>
      </c>
      <c r="AK409" s="1184" t="s">
        <v>69</v>
      </c>
      <c r="AL409" s="1187" t="s">
        <v>70</v>
      </c>
      <c r="AM409" s="1186" t="s">
        <v>69</v>
      </c>
      <c r="AN409" s="1186" t="s">
        <v>69</v>
      </c>
      <c r="AO409" s="1186" t="s">
        <v>69</v>
      </c>
      <c r="AP409" s="1186" t="s">
        <v>69</v>
      </c>
      <c r="AQ409" s="1186" t="s">
        <v>69</v>
      </c>
      <c r="AR409" s="1187" t="s">
        <v>70</v>
      </c>
      <c r="AS409" s="1187" t="s">
        <v>70</v>
      </c>
      <c r="AT409" s="1187" t="s">
        <v>70</v>
      </c>
      <c r="AU409" s="1186" t="s">
        <v>69</v>
      </c>
      <c r="AV409" s="1186" t="s">
        <v>69</v>
      </c>
      <c r="AW409" s="1186" t="s">
        <v>69</v>
      </c>
      <c r="AX409" s="1186" t="s">
        <v>69</v>
      </c>
      <c r="AY409" s="1194" t="s">
        <v>70</v>
      </c>
      <c r="AZ409" s="1"/>
      <c r="BA409" s="1"/>
      <c r="BB409" s="1"/>
      <c r="BC409" s="1"/>
      <c r="BD409" s="1"/>
      <c r="BE409" s="1135"/>
      <c r="BF409" s="1135"/>
      <c r="BG409" s="1135"/>
      <c r="BH409" s="1135"/>
      <c r="BI409" s="1135"/>
      <c r="BJ409" s="1135"/>
      <c r="BK409" s="1135"/>
      <c r="BL409" s="1135"/>
    </row>
    <row r="410">
      <c r="A410" s="901"/>
      <c r="B410" s="1160" t="s">
        <v>1257</v>
      </c>
      <c r="C410" s="1160" t="s">
        <v>177</v>
      </c>
      <c r="D410" s="1183" t="s">
        <v>69</v>
      </c>
      <c r="E410" s="1185" t="s">
        <v>70</v>
      </c>
      <c r="F410" s="1185" t="s">
        <v>70</v>
      </c>
      <c r="G410" s="1184" t="s">
        <v>69</v>
      </c>
      <c r="H410" s="1184" t="s">
        <v>69</v>
      </c>
      <c r="I410" s="1184" t="s">
        <v>69</v>
      </c>
      <c r="J410" s="1184" t="s">
        <v>69</v>
      </c>
      <c r="K410" s="1184" t="s">
        <v>69</v>
      </c>
      <c r="L410" s="1184" t="s">
        <v>69</v>
      </c>
      <c r="M410" s="1185" t="s">
        <v>70</v>
      </c>
      <c r="N410" s="1184" t="s">
        <v>69</v>
      </c>
      <c r="O410" s="1184" t="s">
        <v>69</v>
      </c>
      <c r="P410" s="1184"/>
      <c r="Q410" s="1184" t="s">
        <v>69</v>
      </c>
      <c r="R410" s="1184" t="s">
        <v>69</v>
      </c>
      <c r="S410" s="1184" t="s">
        <v>69</v>
      </c>
      <c r="T410" s="1184" t="s">
        <v>69</v>
      </c>
      <c r="U410" s="1184" t="s">
        <v>69</v>
      </c>
      <c r="V410" s="1200" t="s">
        <v>99</v>
      </c>
      <c r="W410" s="1184" t="s">
        <v>69</v>
      </c>
      <c r="X410" s="1185" t="s">
        <v>70</v>
      </c>
      <c r="Y410" s="1185" t="s">
        <v>70</v>
      </c>
      <c r="Z410" s="1218" t="s">
        <v>99</v>
      </c>
      <c r="AA410" s="1218" t="s">
        <v>99</v>
      </c>
      <c r="AB410" s="1205" t="s">
        <v>69</v>
      </c>
      <c r="AC410" s="1205" t="s">
        <v>69</v>
      </c>
      <c r="AD410" s="1205" t="s">
        <v>69</v>
      </c>
      <c r="AE410" s="1205" t="s">
        <v>69</v>
      </c>
      <c r="AF410" s="1205" t="s">
        <v>69</v>
      </c>
      <c r="AG410" s="1204" t="s">
        <v>70</v>
      </c>
      <c r="AH410" s="1205" t="s">
        <v>69</v>
      </c>
      <c r="AI410" s="1205" t="s">
        <v>69</v>
      </c>
      <c r="AJ410" s="1204" t="s">
        <v>70</v>
      </c>
      <c r="AK410" s="1205" t="s">
        <v>69</v>
      </c>
      <c r="AL410" s="1223" t="s">
        <v>100</v>
      </c>
      <c r="AM410" s="1223" t="s">
        <v>100</v>
      </c>
      <c r="AN410" s="1223" t="s">
        <v>100</v>
      </c>
      <c r="AO410" s="1223" t="s">
        <v>100</v>
      </c>
      <c r="AP410" s="1223" t="s">
        <v>100</v>
      </c>
      <c r="AQ410" s="1206" t="s">
        <v>69</v>
      </c>
      <c r="AR410" s="1207" t="s">
        <v>70</v>
      </c>
      <c r="AS410" s="1207" t="s">
        <v>70</v>
      </c>
      <c r="AT410" s="1207" t="s">
        <v>70</v>
      </c>
      <c r="AU410" s="1206" t="s">
        <v>69</v>
      </c>
      <c r="AV410" s="1223" t="s">
        <v>100</v>
      </c>
      <c r="AW410" s="1223" t="s">
        <v>100</v>
      </c>
      <c r="AX410" s="1223" t="s">
        <v>100</v>
      </c>
      <c r="AY410" s="1224" t="s">
        <v>100</v>
      </c>
      <c r="AZ410" s="1"/>
      <c r="BA410" s="1"/>
      <c r="BB410" s="1"/>
      <c r="BC410" s="1"/>
      <c r="BD410" s="1"/>
      <c r="BE410" s="1135"/>
      <c r="BF410" s="1135"/>
      <c r="BG410" s="1135"/>
      <c r="BH410" s="1135"/>
      <c r="BI410" s="1135"/>
      <c r="BJ410" s="1135"/>
      <c r="BK410" s="1135"/>
      <c r="BL410" s="1135"/>
    </row>
    <row r="411">
      <c r="A411" s="901"/>
      <c r="B411" s="1225" t="s">
        <v>66</v>
      </c>
      <c r="C411" s="1225" t="s">
        <v>290</v>
      </c>
      <c r="D411" s="1226" t="s">
        <v>69</v>
      </c>
      <c r="E411" s="1205" t="s">
        <v>69</v>
      </c>
      <c r="F411" s="1204" t="s">
        <v>70</v>
      </c>
      <c r="G411" s="1205" t="s">
        <v>69</v>
      </c>
      <c r="H411" s="1205" t="s">
        <v>69</v>
      </c>
      <c r="I411" s="1205" t="s">
        <v>69</v>
      </c>
      <c r="J411" s="1205" t="s">
        <v>69</v>
      </c>
      <c r="K411" s="1205" t="s">
        <v>69</v>
      </c>
      <c r="L411" s="1205" t="s">
        <v>69</v>
      </c>
      <c r="M411" s="1205" t="s">
        <v>69</v>
      </c>
      <c r="N411" s="1205" t="s">
        <v>69</v>
      </c>
      <c r="O411" s="1205" t="s">
        <v>69</v>
      </c>
      <c r="P411" s="1205"/>
      <c r="Q411" s="1205" t="s">
        <v>69</v>
      </c>
      <c r="R411" s="1205" t="s">
        <v>69</v>
      </c>
      <c r="S411" s="1205" t="s">
        <v>69</v>
      </c>
      <c r="T411" s="1205" t="s">
        <v>69</v>
      </c>
      <c r="U411" s="1205" t="s">
        <v>69</v>
      </c>
      <c r="V411" s="1218" t="s">
        <v>99</v>
      </c>
      <c r="W411" s="1205" t="s">
        <v>69</v>
      </c>
      <c r="X411" s="1204" t="s">
        <v>70</v>
      </c>
      <c r="Y411" s="1227" t="s">
        <v>69</v>
      </c>
      <c r="Z411" s="1228"/>
      <c r="AA411" s="108"/>
      <c r="AB411" s="108"/>
      <c r="AC411" s="108"/>
      <c r="AD411" s="108"/>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213"/>
      <c r="AZ411" s="1"/>
      <c r="BA411" s="1"/>
      <c r="BB411" s="1"/>
      <c r="BC411" s="1"/>
      <c r="BD411" s="1"/>
      <c r="BE411" s="1135"/>
      <c r="BF411" s="1135"/>
      <c r="BG411" s="1135"/>
      <c r="BH411" s="1135"/>
      <c r="BI411" s="1135"/>
      <c r="BJ411" s="1135"/>
      <c r="BK411" s="1135"/>
      <c r="BL411" s="1135"/>
    </row>
    <row r="412">
      <c r="A412" s="901"/>
      <c r="B412" s="1074" t="s">
        <v>61</v>
      </c>
      <c r="C412" s="1074" t="s">
        <v>290</v>
      </c>
      <c r="D412" s="1229"/>
      <c r="E412" s="108"/>
      <c r="F412" s="108"/>
      <c r="G412" s="108"/>
      <c r="H412" s="108"/>
      <c r="I412" s="108"/>
      <c r="J412" s="108"/>
      <c r="K412" s="108"/>
      <c r="L412" s="108"/>
      <c r="M412" s="108"/>
      <c r="N412" s="108"/>
      <c r="O412" s="108"/>
      <c r="P412" s="108"/>
      <c r="Q412" s="108"/>
      <c r="R412" s="108"/>
      <c r="S412" s="108"/>
      <c r="T412" s="108"/>
      <c r="U412" s="108"/>
      <c r="V412" s="108"/>
      <c r="W412" s="108"/>
      <c r="X412" s="108"/>
      <c r="Y412" s="109"/>
      <c r="Z412" s="1184" t="s">
        <v>69</v>
      </c>
      <c r="AA412" s="1184" t="s">
        <v>69</v>
      </c>
      <c r="AB412" s="1184" t="s">
        <v>69</v>
      </c>
      <c r="AC412" s="1185" t="s">
        <v>70</v>
      </c>
      <c r="AD412" s="1184" t="s">
        <v>69</v>
      </c>
      <c r="AE412" s="1184" t="s">
        <v>69</v>
      </c>
      <c r="AF412" s="1184" t="s">
        <v>69</v>
      </c>
      <c r="AG412" s="1185" t="s">
        <v>70</v>
      </c>
      <c r="AH412" s="1184" t="s">
        <v>69</v>
      </c>
      <c r="AI412" s="1184" t="s">
        <v>69</v>
      </c>
      <c r="AJ412" s="1185" t="s">
        <v>70</v>
      </c>
      <c r="AK412" s="1184" t="s">
        <v>69</v>
      </c>
      <c r="AL412" s="1187" t="s">
        <v>70</v>
      </c>
      <c r="AM412" s="1186" t="s">
        <v>69</v>
      </c>
      <c r="AN412" s="1186" t="s">
        <v>69</v>
      </c>
      <c r="AO412" s="1186" t="s">
        <v>69</v>
      </c>
      <c r="AP412" s="1186" t="s">
        <v>69</v>
      </c>
      <c r="AQ412" s="1186" t="s">
        <v>69</v>
      </c>
      <c r="AR412" s="1187" t="s">
        <v>70</v>
      </c>
      <c r="AS412" s="1186" t="s">
        <v>69</v>
      </c>
      <c r="AT412" s="1187" t="s">
        <v>70</v>
      </c>
      <c r="AU412" s="1186" t="s">
        <v>69</v>
      </c>
      <c r="AV412" s="1186" t="s">
        <v>69</v>
      </c>
      <c r="AW412" s="1186" t="s">
        <v>69</v>
      </c>
      <c r="AX412" s="1186" t="s">
        <v>69</v>
      </c>
      <c r="AY412" s="1188" t="s">
        <v>69</v>
      </c>
      <c r="AZ412" s="1"/>
      <c r="BA412" s="1"/>
      <c r="BB412" s="1"/>
      <c r="BC412" s="1"/>
      <c r="BD412" s="1"/>
      <c r="BE412" s="1135"/>
      <c r="BF412" s="1135"/>
      <c r="BG412" s="1135"/>
      <c r="BH412" s="1135"/>
      <c r="BI412" s="1135"/>
      <c r="BJ412" s="1135"/>
      <c r="BK412" s="1135"/>
      <c r="BL412" s="1135"/>
    </row>
    <row r="413">
      <c r="A413" s="901"/>
      <c r="B413" s="1172" t="s">
        <v>1288</v>
      </c>
      <c r="C413" s="1172" t="s">
        <v>290</v>
      </c>
      <c r="D413" s="1230" t="s">
        <v>69</v>
      </c>
      <c r="E413" s="1186" t="s">
        <v>69</v>
      </c>
      <c r="F413" s="1187" t="s">
        <v>70</v>
      </c>
      <c r="G413" s="1186" t="s">
        <v>69</v>
      </c>
      <c r="H413" s="1186" t="s">
        <v>69</v>
      </c>
      <c r="I413" s="1186" t="s">
        <v>69</v>
      </c>
      <c r="J413" s="1186" t="s">
        <v>69</v>
      </c>
      <c r="K413" s="1186" t="s">
        <v>69</v>
      </c>
      <c r="L413" s="1186" t="s">
        <v>69</v>
      </c>
      <c r="M413" s="1186" t="s">
        <v>69</v>
      </c>
      <c r="N413" s="1186" t="s">
        <v>69</v>
      </c>
      <c r="O413" s="1186" t="s">
        <v>69</v>
      </c>
      <c r="P413" s="1186"/>
      <c r="Q413" s="1186" t="s">
        <v>69</v>
      </c>
      <c r="R413" s="1186" t="s">
        <v>69</v>
      </c>
      <c r="S413" s="1186" t="s">
        <v>69</v>
      </c>
      <c r="T413" s="1186" t="s">
        <v>69</v>
      </c>
      <c r="U413" s="1186" t="s">
        <v>69</v>
      </c>
      <c r="V413" s="1186" t="s">
        <v>69</v>
      </c>
      <c r="W413" s="1186" t="s">
        <v>69</v>
      </c>
      <c r="X413" s="1187" t="s">
        <v>70</v>
      </c>
      <c r="Y413" s="1186" t="s">
        <v>69</v>
      </c>
      <c r="Z413" s="1184" t="s">
        <v>69</v>
      </c>
      <c r="AA413" s="1184" t="s">
        <v>69</v>
      </c>
      <c r="AB413" s="1185" t="s">
        <v>70</v>
      </c>
      <c r="AC413" s="1185" t="s">
        <v>70</v>
      </c>
      <c r="AD413" s="1184" t="s">
        <v>69</v>
      </c>
      <c r="AE413" s="1205" t="s">
        <v>69</v>
      </c>
      <c r="AF413" s="1205" t="s">
        <v>69</v>
      </c>
      <c r="AG413" s="1204" t="s">
        <v>70</v>
      </c>
      <c r="AH413" s="1205" t="s">
        <v>69</v>
      </c>
      <c r="AI413" s="1205" t="s">
        <v>69</v>
      </c>
      <c r="AJ413" s="1204" t="s">
        <v>70</v>
      </c>
      <c r="AK413" s="1205" t="s">
        <v>69</v>
      </c>
      <c r="AL413" s="1223" t="s">
        <v>100</v>
      </c>
      <c r="AM413" s="1223" t="s">
        <v>100</v>
      </c>
      <c r="AN413" s="1223" t="s">
        <v>100</v>
      </c>
      <c r="AO413" s="1223" t="s">
        <v>100</v>
      </c>
      <c r="AP413" s="1223" t="s">
        <v>100</v>
      </c>
      <c r="AQ413" s="1223" t="s">
        <v>100</v>
      </c>
      <c r="AR413" s="1223" t="s">
        <v>100</v>
      </c>
      <c r="AS413" s="1223" t="s">
        <v>100</v>
      </c>
      <c r="AT413" s="1223" t="s">
        <v>100</v>
      </c>
      <c r="AU413" s="1223" t="s">
        <v>100</v>
      </c>
      <c r="AV413" s="1206" t="s">
        <v>69</v>
      </c>
      <c r="AW413" s="1206" t="s">
        <v>69</v>
      </c>
      <c r="AX413" s="1206" t="s">
        <v>69</v>
      </c>
      <c r="AY413" s="1231" t="s">
        <v>69</v>
      </c>
      <c r="AZ413" s="1"/>
      <c r="BA413" s="1"/>
      <c r="BB413" s="1"/>
      <c r="BC413" s="1"/>
      <c r="BD413" s="1"/>
      <c r="BE413" s="1135"/>
      <c r="BF413" s="1135"/>
      <c r="BG413" s="1135"/>
      <c r="BH413" s="1135"/>
      <c r="BI413" s="1135"/>
      <c r="BJ413" s="1135"/>
      <c r="BK413" s="1135"/>
      <c r="BL413" s="1135"/>
    </row>
    <row r="414">
      <c r="A414" s="901"/>
      <c r="B414" s="1232" t="s">
        <v>1289</v>
      </c>
      <c r="C414" s="1232" t="s">
        <v>290</v>
      </c>
      <c r="D414" s="1230" t="s">
        <v>69</v>
      </c>
      <c r="E414" s="1214" t="s">
        <v>99</v>
      </c>
      <c r="F414" s="1187" t="s">
        <v>70</v>
      </c>
      <c r="G414" s="1214" t="s">
        <v>99</v>
      </c>
      <c r="H414" s="1214" t="s">
        <v>99</v>
      </c>
      <c r="I414" s="1186" t="s">
        <v>69</v>
      </c>
      <c r="J414" s="1186" t="s">
        <v>69</v>
      </c>
      <c r="K414" s="1186" t="s">
        <v>69</v>
      </c>
      <c r="L414" s="1186" t="s">
        <v>69</v>
      </c>
      <c r="M414" s="1214" t="s">
        <v>99</v>
      </c>
      <c r="N414" s="1186" t="s">
        <v>69</v>
      </c>
      <c r="O414" s="1214" t="s">
        <v>99</v>
      </c>
      <c r="P414" s="1214"/>
      <c r="Q414" s="1186" t="s">
        <v>69</v>
      </c>
      <c r="R414" s="1186" t="s">
        <v>69</v>
      </c>
      <c r="S414" s="1186" t="s">
        <v>69</v>
      </c>
      <c r="T414" s="1214" t="s">
        <v>99</v>
      </c>
      <c r="U414" s="1186" t="s">
        <v>69</v>
      </c>
      <c r="V414" s="1214" t="s">
        <v>99</v>
      </c>
      <c r="W414" s="1186" t="s">
        <v>69</v>
      </c>
      <c r="X414" s="1187" t="s">
        <v>70</v>
      </c>
      <c r="Y414" s="1186" t="s">
        <v>69</v>
      </c>
      <c r="Z414" s="1200" t="s">
        <v>99</v>
      </c>
      <c r="AA414" s="1200" t="s">
        <v>99</v>
      </c>
      <c r="AB414" s="1200" t="s">
        <v>99</v>
      </c>
      <c r="AC414" s="1200" t="s">
        <v>99</v>
      </c>
      <c r="AD414" s="1233" t="s">
        <v>99</v>
      </c>
      <c r="AE414" s="1228"/>
      <c r="AF414" s="108"/>
      <c r="AG414" s="108"/>
      <c r="AH414" s="108"/>
      <c r="AI414" s="108"/>
      <c r="AJ414" s="108"/>
      <c r="AK414" s="108"/>
      <c r="AL414" s="108"/>
      <c r="AM414" s="108"/>
      <c r="AN414" s="108"/>
      <c r="AO414" s="108"/>
      <c r="AP414" s="108"/>
      <c r="AQ414" s="108"/>
      <c r="AR414" s="108"/>
      <c r="AS414" s="108"/>
      <c r="AT414" s="108"/>
      <c r="AU414" s="108"/>
      <c r="AV414" s="108"/>
      <c r="AW414" s="108"/>
      <c r="AX414" s="108"/>
      <c r="AY414" s="1213"/>
      <c r="AZ414" s="1"/>
      <c r="BA414" s="1"/>
      <c r="BB414" s="1"/>
      <c r="BC414" s="1"/>
      <c r="BD414" s="1"/>
      <c r="BE414" s="1135"/>
      <c r="BF414" s="1135"/>
      <c r="BG414" s="1135"/>
      <c r="BH414" s="1135"/>
      <c r="BI414" s="1135"/>
      <c r="BJ414" s="1135"/>
      <c r="BK414" s="1135"/>
      <c r="BL414" s="1135"/>
    </row>
    <row r="415">
      <c r="A415" s="901"/>
      <c r="B415" s="1172" t="s">
        <v>1253</v>
      </c>
      <c r="C415" s="1172" t="s">
        <v>290</v>
      </c>
      <c r="D415" s="1234"/>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6"/>
      <c r="AE415" s="1235" t="s">
        <v>69</v>
      </c>
      <c r="AF415" s="1184" t="s">
        <v>69</v>
      </c>
      <c r="AG415" s="1185" t="s">
        <v>70</v>
      </c>
      <c r="AH415" s="1184" t="s">
        <v>69</v>
      </c>
      <c r="AI415" s="1184" t="s">
        <v>69</v>
      </c>
      <c r="AJ415" s="1185" t="s">
        <v>70</v>
      </c>
      <c r="AK415" s="1200" t="s">
        <v>99</v>
      </c>
      <c r="AL415" s="1187" t="s">
        <v>70</v>
      </c>
      <c r="AM415" s="1186" t="s">
        <v>69</v>
      </c>
      <c r="AN415" s="1186" t="s">
        <v>69</v>
      </c>
      <c r="AO415" s="1186" t="s">
        <v>69</v>
      </c>
      <c r="AP415" s="1186" t="s">
        <v>69</v>
      </c>
      <c r="AQ415" s="1186" t="s">
        <v>69</v>
      </c>
      <c r="AR415" s="1187" t="s">
        <v>70</v>
      </c>
      <c r="AS415" s="1187" t="s">
        <v>70</v>
      </c>
      <c r="AT415" s="1187" t="s">
        <v>70</v>
      </c>
      <c r="AU415" s="1186" t="s">
        <v>69</v>
      </c>
      <c r="AV415" s="1186" t="s">
        <v>69</v>
      </c>
      <c r="AW415" s="1186" t="s">
        <v>69</v>
      </c>
      <c r="AX415" s="1186" t="s">
        <v>69</v>
      </c>
      <c r="AY415" s="1236" t="s">
        <v>99</v>
      </c>
      <c r="AZ415" s="1"/>
      <c r="BA415" s="1"/>
      <c r="BB415" s="1"/>
      <c r="BC415" s="1"/>
      <c r="BD415" s="1"/>
      <c r="BE415" s="1135"/>
      <c r="BF415" s="1135"/>
      <c r="BG415" s="1135"/>
      <c r="BH415" s="1135"/>
      <c r="BI415" s="1135"/>
      <c r="BJ415" s="1135"/>
      <c r="BK415" s="1135"/>
      <c r="BL415" s="1135"/>
    </row>
    <row r="416">
      <c r="A416" s="901"/>
      <c r="B416" s="1162" t="s">
        <v>1188</v>
      </c>
      <c r="C416" s="1162" t="s">
        <v>263</v>
      </c>
      <c r="D416" s="1183" t="s">
        <v>69</v>
      </c>
      <c r="E416" s="1185" t="s">
        <v>70</v>
      </c>
      <c r="F416" s="1184" t="s">
        <v>69</v>
      </c>
      <c r="G416" s="1200" t="s">
        <v>99</v>
      </c>
      <c r="H416" s="1184" t="s">
        <v>69</v>
      </c>
      <c r="I416" s="1184" t="s">
        <v>69</v>
      </c>
      <c r="J416" s="1184" t="s">
        <v>69</v>
      </c>
      <c r="K416" s="1184" t="s">
        <v>69</v>
      </c>
      <c r="L416" s="1184" t="s">
        <v>69</v>
      </c>
      <c r="M416" s="1184" t="s">
        <v>69</v>
      </c>
      <c r="N416" s="1184" t="s">
        <v>69</v>
      </c>
      <c r="O416" s="1184" t="s">
        <v>69</v>
      </c>
      <c r="P416" s="1184"/>
      <c r="Q416" s="1184" t="s">
        <v>69</v>
      </c>
      <c r="R416" s="1184" t="s">
        <v>69</v>
      </c>
      <c r="S416" s="1200" t="s">
        <v>99</v>
      </c>
      <c r="T416" s="1184" t="s">
        <v>69</v>
      </c>
      <c r="U416" s="1184" t="s">
        <v>69</v>
      </c>
      <c r="V416" s="1184" t="s">
        <v>69</v>
      </c>
      <c r="W416" s="1184" t="s">
        <v>69</v>
      </c>
      <c r="X416" s="1184" t="s">
        <v>69</v>
      </c>
      <c r="Y416" s="1184" t="s">
        <v>69</v>
      </c>
      <c r="Z416" s="1200" t="s">
        <v>99</v>
      </c>
      <c r="AA416" s="1200" t="s">
        <v>99</v>
      </c>
      <c r="AB416" s="1185" t="s">
        <v>70</v>
      </c>
      <c r="AC416" s="1185" t="s">
        <v>70</v>
      </c>
      <c r="AD416" s="1184" t="s">
        <v>69</v>
      </c>
      <c r="AE416" s="1184" t="s">
        <v>69</v>
      </c>
      <c r="AF416" s="1184" t="s">
        <v>69</v>
      </c>
      <c r="AG416" s="1200" t="s">
        <v>99</v>
      </c>
      <c r="AH416" s="1184" t="s">
        <v>69</v>
      </c>
      <c r="AI416" s="1184" t="s">
        <v>69</v>
      </c>
      <c r="AJ416" s="1185" t="s">
        <v>70</v>
      </c>
      <c r="AK416" s="1184" t="s">
        <v>69</v>
      </c>
      <c r="AL416" s="1191" t="s">
        <v>100</v>
      </c>
      <c r="AM416" s="1191" t="s">
        <v>100</v>
      </c>
      <c r="AN416" s="1191" t="s">
        <v>100</v>
      </c>
      <c r="AO416" s="1191" t="s">
        <v>100</v>
      </c>
      <c r="AP416" s="1191" t="s">
        <v>100</v>
      </c>
      <c r="AQ416" s="1186" t="s">
        <v>69</v>
      </c>
      <c r="AR416" s="1214" t="s">
        <v>99</v>
      </c>
      <c r="AS416" s="1187" t="s">
        <v>70</v>
      </c>
      <c r="AT416" s="1186" t="s">
        <v>69</v>
      </c>
      <c r="AU416" s="1186" t="s">
        <v>69</v>
      </c>
      <c r="AV416" s="1191" t="s">
        <v>100</v>
      </c>
      <c r="AW416" s="1191" t="s">
        <v>100</v>
      </c>
      <c r="AX416" s="1191" t="s">
        <v>100</v>
      </c>
      <c r="AY416" s="1192" t="s">
        <v>100</v>
      </c>
      <c r="AZ416" s="1"/>
      <c r="BA416" s="1"/>
      <c r="BB416" s="1"/>
      <c r="BC416" s="1"/>
      <c r="BD416" s="1"/>
      <c r="BE416" s="1135"/>
      <c r="BF416" s="1135"/>
      <c r="BG416" s="1135"/>
      <c r="BH416" s="1135"/>
      <c r="BI416" s="1135"/>
      <c r="BJ416" s="1135"/>
      <c r="BK416" s="1135"/>
      <c r="BL416" s="1135"/>
    </row>
    <row r="417">
      <c r="A417" s="901"/>
      <c r="B417" s="1164" t="s">
        <v>1232</v>
      </c>
      <c r="C417" s="1164" t="s">
        <v>263</v>
      </c>
      <c r="D417" s="1183" t="s">
        <v>69</v>
      </c>
      <c r="E417" s="1185" t="s">
        <v>70</v>
      </c>
      <c r="F417" s="1184" t="s">
        <v>69</v>
      </c>
      <c r="G417" s="1200" t="s">
        <v>99</v>
      </c>
      <c r="H417" s="1184" t="s">
        <v>69</v>
      </c>
      <c r="I417" s="1184" t="s">
        <v>69</v>
      </c>
      <c r="J417" s="1184" t="s">
        <v>69</v>
      </c>
      <c r="K417" s="1184" t="s">
        <v>69</v>
      </c>
      <c r="L417" s="1184" t="s">
        <v>69</v>
      </c>
      <c r="M417" s="1184" t="s">
        <v>69</v>
      </c>
      <c r="N417" s="1184" t="s">
        <v>69</v>
      </c>
      <c r="O417" s="1184" t="s">
        <v>69</v>
      </c>
      <c r="P417" s="1184"/>
      <c r="Q417" s="1184" t="s">
        <v>69</v>
      </c>
      <c r="R417" s="1184" t="s">
        <v>69</v>
      </c>
      <c r="S417" s="1200" t="s">
        <v>99</v>
      </c>
      <c r="T417" s="1184" t="s">
        <v>69</v>
      </c>
      <c r="U417" s="1184" t="s">
        <v>69</v>
      </c>
      <c r="V417" s="1184" t="s">
        <v>69</v>
      </c>
      <c r="W417" s="1184" t="s">
        <v>69</v>
      </c>
      <c r="X417" s="1184" t="s">
        <v>69</v>
      </c>
      <c r="Y417" s="1184" t="s">
        <v>69</v>
      </c>
      <c r="Z417" s="1200" t="s">
        <v>99</v>
      </c>
      <c r="AA417" s="1200" t="s">
        <v>99</v>
      </c>
      <c r="AB417" s="1185" t="s">
        <v>70</v>
      </c>
      <c r="AC417" s="1185" t="s">
        <v>70</v>
      </c>
      <c r="AD417" s="1184" t="s">
        <v>69</v>
      </c>
      <c r="AE417" s="1184" t="s">
        <v>69</v>
      </c>
      <c r="AF417" s="1184" t="s">
        <v>69</v>
      </c>
      <c r="AG417" s="1185" t="s">
        <v>70</v>
      </c>
      <c r="AH417" s="1184" t="s">
        <v>69</v>
      </c>
      <c r="AI417" s="1184" t="s">
        <v>69</v>
      </c>
      <c r="AJ417" s="1185" t="s">
        <v>70</v>
      </c>
      <c r="AK417" s="1184" t="s">
        <v>69</v>
      </c>
      <c r="AL417" s="1186" t="s">
        <v>69</v>
      </c>
      <c r="AM417" s="1187" t="s">
        <v>70</v>
      </c>
      <c r="AN417" s="1186" t="s">
        <v>69</v>
      </c>
      <c r="AO417" s="1186" t="s">
        <v>69</v>
      </c>
      <c r="AP417" s="1186" t="s">
        <v>69</v>
      </c>
      <c r="AQ417" s="1186" t="s">
        <v>69</v>
      </c>
      <c r="AR417" s="1214" t="s">
        <v>99</v>
      </c>
      <c r="AS417" s="1186" t="s">
        <v>69</v>
      </c>
      <c r="AT417" s="1186" t="s">
        <v>69</v>
      </c>
      <c r="AU417" s="1186" t="s">
        <v>69</v>
      </c>
      <c r="AV417" s="1186" t="s">
        <v>69</v>
      </c>
      <c r="AW417" s="1186" t="s">
        <v>69</v>
      </c>
      <c r="AX417" s="1186" t="s">
        <v>69</v>
      </c>
      <c r="AY417" s="1194" t="s">
        <v>70</v>
      </c>
      <c r="AZ417" s="1"/>
      <c r="BA417" s="1"/>
      <c r="BB417" s="1"/>
      <c r="BC417" s="1"/>
      <c r="BD417" s="1"/>
      <c r="BE417" s="1135"/>
      <c r="BF417" s="1135"/>
      <c r="BG417" s="1135"/>
      <c r="BH417" s="1135"/>
      <c r="BI417" s="1135"/>
      <c r="BJ417" s="1135"/>
      <c r="BK417" s="1135"/>
      <c r="BL417" s="1135"/>
    </row>
    <row r="418">
      <c r="A418" s="901"/>
      <c r="B418" s="1237" t="s">
        <v>1194</v>
      </c>
      <c r="C418" s="1237" t="s">
        <v>200</v>
      </c>
      <c r="D418" s="1183" t="s">
        <v>69</v>
      </c>
      <c r="E418" s="1185" t="s">
        <v>70</v>
      </c>
      <c r="F418" s="1185" t="s">
        <v>70</v>
      </c>
      <c r="G418" s="1184" t="s">
        <v>69</v>
      </c>
      <c r="H418" s="1184" t="s">
        <v>69</v>
      </c>
      <c r="I418" s="1184" t="s">
        <v>69</v>
      </c>
      <c r="J418" s="1184" t="s">
        <v>69</v>
      </c>
      <c r="K418" s="1184" t="s">
        <v>69</v>
      </c>
      <c r="L418" s="1184" t="s">
        <v>69</v>
      </c>
      <c r="M418" s="1184" t="s">
        <v>69</v>
      </c>
      <c r="N418" s="1184" t="s">
        <v>69</v>
      </c>
      <c r="O418" s="1184" t="s">
        <v>69</v>
      </c>
      <c r="P418" s="1184"/>
      <c r="Q418" s="1184" t="s">
        <v>69</v>
      </c>
      <c r="R418" s="1184" t="s">
        <v>69</v>
      </c>
      <c r="S418" s="1184" t="s">
        <v>69</v>
      </c>
      <c r="T418" s="1184" t="s">
        <v>69</v>
      </c>
      <c r="U418" s="1184" t="s">
        <v>69</v>
      </c>
      <c r="V418" s="1185" t="s">
        <v>70</v>
      </c>
      <c r="W418" s="1184" t="s">
        <v>69</v>
      </c>
      <c r="X418" s="1184" t="s">
        <v>69</v>
      </c>
      <c r="Y418" s="1184" t="s">
        <v>69</v>
      </c>
      <c r="Z418" s="1184" t="s">
        <v>69</v>
      </c>
      <c r="AA418" s="1184" t="s">
        <v>69</v>
      </c>
      <c r="AB418" s="1185" t="s">
        <v>70</v>
      </c>
      <c r="AC418" s="1185" t="s">
        <v>70</v>
      </c>
      <c r="AD418" s="1184" t="s">
        <v>69</v>
      </c>
      <c r="AE418" s="1184" t="s">
        <v>69</v>
      </c>
      <c r="AF418" s="1184" t="s">
        <v>69</v>
      </c>
      <c r="AG418" s="1185" t="s">
        <v>70</v>
      </c>
      <c r="AH418" s="1184" t="s">
        <v>69</v>
      </c>
      <c r="AI418" s="1184" t="s">
        <v>69</v>
      </c>
      <c r="AJ418" s="1185" t="s">
        <v>70</v>
      </c>
      <c r="AK418" s="1184" t="s">
        <v>69</v>
      </c>
      <c r="AL418" s="1186" t="s">
        <v>69</v>
      </c>
      <c r="AM418" s="1187" t="s">
        <v>70</v>
      </c>
      <c r="AN418" s="1186" t="s">
        <v>69</v>
      </c>
      <c r="AO418" s="1186" t="s">
        <v>69</v>
      </c>
      <c r="AP418" s="1186" t="s">
        <v>69</v>
      </c>
      <c r="AQ418" s="1186" t="s">
        <v>69</v>
      </c>
      <c r="AR418" s="1187" t="s">
        <v>70</v>
      </c>
      <c r="AS418" s="1214" t="s">
        <v>99</v>
      </c>
      <c r="AT418" s="1187" t="s">
        <v>70</v>
      </c>
      <c r="AU418" s="1186" t="s">
        <v>69</v>
      </c>
      <c r="AV418" s="1191" t="s">
        <v>100</v>
      </c>
      <c r="AW418" s="1191" t="s">
        <v>100</v>
      </c>
      <c r="AX418" s="1191" t="s">
        <v>100</v>
      </c>
      <c r="AY418" s="1192" t="s">
        <v>100</v>
      </c>
      <c r="AZ418" s="1"/>
      <c r="BA418" s="1"/>
      <c r="BB418" s="1"/>
      <c r="BC418" s="1"/>
      <c r="BD418" s="1"/>
      <c r="BE418" s="1135"/>
      <c r="BF418" s="1135"/>
      <c r="BG418" s="1135"/>
      <c r="BH418" s="1135"/>
      <c r="BI418" s="1135"/>
      <c r="BJ418" s="1135"/>
      <c r="BK418" s="1135"/>
      <c r="BL418" s="1135"/>
    </row>
    <row r="419">
      <c r="A419" s="901"/>
      <c r="B419" s="1238" t="s">
        <v>1246</v>
      </c>
      <c r="C419" s="1238" t="s">
        <v>200</v>
      </c>
      <c r="D419" s="1183" t="s">
        <v>69</v>
      </c>
      <c r="E419" s="1185" t="s">
        <v>70</v>
      </c>
      <c r="F419" s="1185" t="s">
        <v>70</v>
      </c>
      <c r="G419" s="1184" t="s">
        <v>69</v>
      </c>
      <c r="H419" s="1184" t="s">
        <v>69</v>
      </c>
      <c r="I419" s="1184" t="s">
        <v>69</v>
      </c>
      <c r="J419" s="1184" t="s">
        <v>69</v>
      </c>
      <c r="K419" s="1184" t="s">
        <v>69</v>
      </c>
      <c r="L419" s="1184" t="s">
        <v>69</v>
      </c>
      <c r="M419" s="1184" t="s">
        <v>69</v>
      </c>
      <c r="N419" s="1184" t="s">
        <v>69</v>
      </c>
      <c r="O419" s="1184" t="s">
        <v>69</v>
      </c>
      <c r="P419" s="1184"/>
      <c r="Q419" s="1184" t="s">
        <v>69</v>
      </c>
      <c r="R419" s="1184" t="s">
        <v>69</v>
      </c>
      <c r="S419" s="1184" t="s">
        <v>69</v>
      </c>
      <c r="T419" s="1184" t="s">
        <v>69</v>
      </c>
      <c r="U419" s="1184" t="s">
        <v>69</v>
      </c>
      <c r="V419" s="1185" t="s">
        <v>70</v>
      </c>
      <c r="W419" s="1184" t="s">
        <v>69</v>
      </c>
      <c r="X419" s="1185" t="s">
        <v>70</v>
      </c>
      <c r="Y419" s="1185" t="s">
        <v>70</v>
      </c>
      <c r="Z419" s="1184" t="s">
        <v>69</v>
      </c>
      <c r="AA419" s="1184" t="s">
        <v>69</v>
      </c>
      <c r="AB419" s="1185" t="s">
        <v>70</v>
      </c>
      <c r="AC419" s="1200" t="s">
        <v>99</v>
      </c>
      <c r="AD419" s="1200" t="s">
        <v>99</v>
      </c>
      <c r="AE419" s="1185" t="s">
        <v>70</v>
      </c>
      <c r="AF419" s="1184" t="s">
        <v>69</v>
      </c>
      <c r="AG419" s="1185" t="s">
        <v>70</v>
      </c>
      <c r="AH419" s="1184" t="s">
        <v>69</v>
      </c>
      <c r="AI419" s="1184" t="s">
        <v>69</v>
      </c>
      <c r="AJ419" s="1185" t="s">
        <v>70</v>
      </c>
      <c r="AK419" s="1184" t="s">
        <v>69</v>
      </c>
      <c r="AL419" s="1186" t="s">
        <v>69</v>
      </c>
      <c r="AM419" s="1187" t="s">
        <v>70</v>
      </c>
      <c r="AN419" s="1187" t="s">
        <v>70</v>
      </c>
      <c r="AO419" s="1186" t="s">
        <v>69</v>
      </c>
      <c r="AP419" s="1186" t="s">
        <v>69</v>
      </c>
      <c r="AQ419" s="1187" t="s">
        <v>70</v>
      </c>
      <c r="AR419" s="1187" t="s">
        <v>70</v>
      </c>
      <c r="AS419" s="1186" t="s">
        <v>69</v>
      </c>
      <c r="AT419" s="1187" t="s">
        <v>70</v>
      </c>
      <c r="AU419" s="1186" t="s">
        <v>69</v>
      </c>
      <c r="AV419" s="1186" t="s">
        <v>69</v>
      </c>
      <c r="AW419" s="1187" t="s">
        <v>70</v>
      </c>
      <c r="AX419" s="1187" t="s">
        <v>70</v>
      </c>
      <c r="AY419" s="1194" t="s">
        <v>70</v>
      </c>
      <c r="AZ419" s="1"/>
      <c r="BA419" s="1"/>
      <c r="BB419" s="1"/>
      <c r="BC419" s="1"/>
      <c r="BD419" s="1"/>
      <c r="BE419" s="1135"/>
      <c r="BF419" s="1135"/>
      <c r="BG419" s="1135"/>
      <c r="BH419" s="1135"/>
      <c r="BI419" s="1135"/>
      <c r="BJ419" s="1135"/>
      <c r="BK419" s="1135"/>
      <c r="BL419" s="1135"/>
    </row>
    <row r="420">
      <c r="A420" s="901"/>
      <c r="B420" s="1174" t="s">
        <v>132</v>
      </c>
      <c r="C420" s="1174" t="s">
        <v>168</v>
      </c>
      <c r="D420" s="1183" t="s">
        <v>69</v>
      </c>
      <c r="E420" s="1184" t="s">
        <v>69</v>
      </c>
      <c r="F420" s="1184" t="s">
        <v>69</v>
      </c>
      <c r="G420" s="1184" t="s">
        <v>69</v>
      </c>
      <c r="H420" s="1185" t="s">
        <v>70</v>
      </c>
      <c r="I420" s="1184" t="s">
        <v>69</v>
      </c>
      <c r="J420" s="1200" t="s">
        <v>99</v>
      </c>
      <c r="K420" s="1184" t="s">
        <v>69</v>
      </c>
      <c r="L420" s="1184" t="s">
        <v>69</v>
      </c>
      <c r="M420" s="1184" t="s">
        <v>69</v>
      </c>
      <c r="N420" s="1184" t="s">
        <v>69</v>
      </c>
      <c r="O420" s="1184" t="s">
        <v>69</v>
      </c>
      <c r="P420" s="1184"/>
      <c r="Q420" s="1184" t="s">
        <v>69</v>
      </c>
      <c r="R420" s="1200" t="s">
        <v>99</v>
      </c>
      <c r="S420" s="1184" t="s">
        <v>69</v>
      </c>
      <c r="T420" s="1184" t="s">
        <v>69</v>
      </c>
      <c r="U420" s="1184" t="s">
        <v>69</v>
      </c>
      <c r="V420" s="1184" t="s">
        <v>69</v>
      </c>
      <c r="W420" s="1200" t="s">
        <v>99</v>
      </c>
      <c r="X420" s="1185" t="s">
        <v>70</v>
      </c>
      <c r="Y420" s="1200" t="s">
        <v>99</v>
      </c>
      <c r="Z420" s="1184" t="s">
        <v>69</v>
      </c>
      <c r="AA420" s="1184" t="s">
        <v>69</v>
      </c>
      <c r="AB420" s="1185" t="s">
        <v>70</v>
      </c>
      <c r="AC420" s="1185" t="s">
        <v>70</v>
      </c>
      <c r="AD420" s="1200" t="s">
        <v>99</v>
      </c>
      <c r="AE420" s="1200" t="s">
        <v>99</v>
      </c>
      <c r="AF420" s="1184" t="s">
        <v>69</v>
      </c>
      <c r="AG420" s="1185" t="s">
        <v>70</v>
      </c>
      <c r="AH420" s="1184" t="s">
        <v>69</v>
      </c>
      <c r="AI420" s="1200" t="s">
        <v>99</v>
      </c>
      <c r="AJ420" s="1185" t="s">
        <v>70</v>
      </c>
      <c r="AK420" s="1184" t="s">
        <v>69</v>
      </c>
      <c r="AL420" s="1186" t="s">
        <v>69</v>
      </c>
      <c r="AM420" s="1187" t="s">
        <v>70</v>
      </c>
      <c r="AN420" s="1187" t="s">
        <v>70</v>
      </c>
      <c r="AO420" s="1214" t="s">
        <v>99</v>
      </c>
      <c r="AP420" s="1186" t="s">
        <v>69</v>
      </c>
      <c r="AQ420" s="1186" t="s">
        <v>69</v>
      </c>
      <c r="AR420" s="1187" t="s">
        <v>70</v>
      </c>
      <c r="AS420" s="1187" t="s">
        <v>70</v>
      </c>
      <c r="AT420" s="1187" t="s">
        <v>70</v>
      </c>
      <c r="AU420" s="1186" t="s">
        <v>69</v>
      </c>
      <c r="AV420" s="1187" t="s">
        <v>70</v>
      </c>
      <c r="AW420" s="1186" t="s">
        <v>69</v>
      </c>
      <c r="AX420" s="1186" t="s">
        <v>69</v>
      </c>
      <c r="AY420" s="1194" t="s">
        <v>70</v>
      </c>
      <c r="AZ420" s="1"/>
      <c r="BA420" s="1"/>
      <c r="BB420" s="1"/>
      <c r="BC420" s="1"/>
      <c r="BD420" s="1"/>
      <c r="BE420" s="1135"/>
      <c r="BF420" s="1135"/>
      <c r="BG420" s="1135"/>
      <c r="BH420" s="1135"/>
      <c r="BI420" s="1135"/>
      <c r="BJ420" s="1135"/>
      <c r="BK420" s="1135"/>
      <c r="BL420" s="1135"/>
    </row>
    <row r="421">
      <c r="A421" s="1013"/>
      <c r="B421" s="1239" t="s">
        <v>1290</v>
      </c>
      <c r="C421" s="1239" t="s">
        <v>168</v>
      </c>
      <c r="D421" s="1220" t="s">
        <v>70</v>
      </c>
      <c r="E421" s="1184" t="s">
        <v>69</v>
      </c>
      <c r="F421" s="1200" t="s">
        <v>99</v>
      </c>
      <c r="G421" s="1184" t="s">
        <v>69</v>
      </c>
      <c r="H421" s="1185" t="s">
        <v>70</v>
      </c>
      <c r="I421" s="1184" t="s">
        <v>69</v>
      </c>
      <c r="J421" s="1184" t="s">
        <v>69</v>
      </c>
      <c r="K421" s="1184" t="s">
        <v>69</v>
      </c>
      <c r="L421" s="1184" t="s">
        <v>69</v>
      </c>
      <c r="M421" s="1200" t="s">
        <v>99</v>
      </c>
      <c r="N421" s="1184" t="s">
        <v>69</v>
      </c>
      <c r="O421" s="1184" t="s">
        <v>69</v>
      </c>
      <c r="P421" s="1184"/>
      <c r="Q421" s="1184" t="s">
        <v>69</v>
      </c>
      <c r="R421" s="1184" t="s">
        <v>69</v>
      </c>
      <c r="S421" s="1184" t="s">
        <v>69</v>
      </c>
      <c r="T421" s="1184" t="s">
        <v>69</v>
      </c>
      <c r="U421" s="1184" t="s">
        <v>69</v>
      </c>
      <c r="V421" s="1185" t="s">
        <v>70</v>
      </c>
      <c r="W421" s="1184" t="s">
        <v>69</v>
      </c>
      <c r="X421" s="1185" t="s">
        <v>70</v>
      </c>
      <c r="Y421" s="1185" t="s">
        <v>70</v>
      </c>
      <c r="Z421" s="1184" t="s">
        <v>69</v>
      </c>
      <c r="AA421" s="1184" t="s">
        <v>69</v>
      </c>
      <c r="AB421" s="1185" t="s">
        <v>70</v>
      </c>
      <c r="AC421" s="1185" t="s">
        <v>70</v>
      </c>
      <c r="AD421" s="1184" t="s">
        <v>69</v>
      </c>
      <c r="AE421" s="1185" t="s">
        <v>70</v>
      </c>
      <c r="AF421" s="1184" t="s">
        <v>69</v>
      </c>
      <c r="AG421" s="1185" t="s">
        <v>70</v>
      </c>
      <c r="AH421" s="1184" t="s">
        <v>69</v>
      </c>
      <c r="AI421" s="1184" t="s">
        <v>69</v>
      </c>
      <c r="AJ421" s="1185" t="s">
        <v>70</v>
      </c>
      <c r="AK421" s="1200" t="s">
        <v>99</v>
      </c>
      <c r="AL421" s="1186" t="s">
        <v>69</v>
      </c>
      <c r="AM421" s="1187" t="s">
        <v>70</v>
      </c>
      <c r="AN421" s="1187" t="s">
        <v>70</v>
      </c>
      <c r="AO421" s="1186" t="s">
        <v>69</v>
      </c>
      <c r="AP421" s="1186" t="s">
        <v>69</v>
      </c>
      <c r="AQ421" s="1187" t="s">
        <v>70</v>
      </c>
      <c r="AR421" s="1187" t="s">
        <v>70</v>
      </c>
      <c r="AS421" s="1187" t="s">
        <v>70</v>
      </c>
      <c r="AT421" s="1187" t="s">
        <v>70</v>
      </c>
      <c r="AU421" s="1186" t="s">
        <v>69</v>
      </c>
      <c r="AV421" s="1186" t="s">
        <v>69</v>
      </c>
      <c r="AW421" s="1214" t="s">
        <v>99</v>
      </c>
      <c r="AX421" s="1186" t="s">
        <v>69</v>
      </c>
      <c r="AY421" s="1188" t="s">
        <v>69</v>
      </c>
      <c r="AZ421" s="1"/>
      <c r="BA421" s="1"/>
      <c r="BB421" s="1"/>
      <c r="BC421" s="1"/>
      <c r="BD421" s="1"/>
      <c r="BE421" s="1135"/>
      <c r="BF421" s="1135"/>
      <c r="BG421" s="1135"/>
      <c r="BH421" s="1135"/>
      <c r="BI421" s="1135"/>
      <c r="BJ421" s="1135"/>
      <c r="BK421" s="1135"/>
      <c r="BL421" s="1135"/>
    </row>
    <row r="422">
      <c r="A422" s="899" t="s">
        <v>68</v>
      </c>
      <c r="B422" s="900"/>
      <c r="D422" s="1240"/>
      <c r="E422" s="1045"/>
      <c r="F422" s="1045"/>
      <c r="G422" s="1045"/>
      <c r="H422" s="1045"/>
      <c r="I422" s="1045"/>
      <c r="J422" s="1045"/>
      <c r="K422" s="1045"/>
      <c r="L422" s="1045"/>
      <c r="M422" s="1045"/>
      <c r="N422" s="1045"/>
      <c r="O422" s="1045"/>
      <c r="P422" s="1045"/>
      <c r="Q422" s="1045"/>
      <c r="R422" s="1045"/>
      <c r="S422" s="1045"/>
      <c r="T422" s="1045"/>
      <c r="U422" s="1045"/>
      <c r="V422" s="1045"/>
      <c r="W422" s="1045"/>
      <c r="X422" s="1045"/>
      <c r="Y422" s="1045"/>
      <c r="Z422" s="1045"/>
      <c r="AA422" s="1045"/>
      <c r="AB422" s="1045"/>
      <c r="AC422" s="1045"/>
      <c r="AD422" s="1045"/>
      <c r="AE422" s="1045"/>
      <c r="AF422" s="1045"/>
      <c r="AG422" s="1045"/>
      <c r="AH422" s="1045"/>
      <c r="AI422" s="1045"/>
      <c r="AJ422" s="1045"/>
      <c r="AK422" s="1045"/>
      <c r="AL422" s="1045"/>
      <c r="AM422" s="1082"/>
      <c r="AN422" s="1082"/>
      <c r="AO422" s="1082"/>
      <c r="AP422" s="1082"/>
      <c r="AQ422" s="1082"/>
      <c r="AR422" s="1082"/>
      <c r="AS422" s="1082"/>
      <c r="AT422" s="1082"/>
      <c r="AU422" s="1082"/>
      <c r="AV422" s="1082"/>
      <c r="AW422" s="1082"/>
      <c r="AX422" s="1082"/>
      <c r="AY422" s="1082"/>
      <c r="AZ422" s="1"/>
      <c r="BA422" s="1"/>
      <c r="BB422" s="1"/>
      <c r="BC422" s="1"/>
      <c r="BD422" s="1"/>
      <c r="BE422" s="1135"/>
      <c r="BF422" s="1135"/>
      <c r="BG422" s="1135"/>
      <c r="BH422" s="1135"/>
      <c r="BI422" s="1135"/>
      <c r="BJ422" s="1135"/>
      <c r="BK422" s="1135"/>
      <c r="BL422" s="1135"/>
    </row>
    <row r="423">
      <c r="A423" s="901"/>
      <c r="B423" s="790" t="s">
        <v>69</v>
      </c>
      <c r="D423" s="1113">
        <f t="shared" ref="D423:O423" si="132">COUNTIF(D394:D421,"Voor")</f>
        <v>17</v>
      </c>
      <c r="E423" s="1114">
        <f t="shared" si="132"/>
        <v>9</v>
      </c>
      <c r="F423" s="1114">
        <f t="shared" si="132"/>
        <v>9</v>
      </c>
      <c r="G423" s="1114">
        <f t="shared" si="132"/>
        <v>13</v>
      </c>
      <c r="H423" s="1114">
        <f t="shared" si="132"/>
        <v>15</v>
      </c>
      <c r="I423" s="1114">
        <f t="shared" si="132"/>
        <v>18</v>
      </c>
      <c r="J423" s="1114">
        <f t="shared" si="132"/>
        <v>13</v>
      </c>
      <c r="K423" s="1114">
        <f t="shared" si="132"/>
        <v>18</v>
      </c>
      <c r="L423" s="1114">
        <f t="shared" si="132"/>
        <v>17</v>
      </c>
      <c r="M423" s="1114">
        <f t="shared" si="132"/>
        <v>10</v>
      </c>
      <c r="N423" s="1114">
        <f t="shared" si="132"/>
        <v>15</v>
      </c>
      <c r="O423" s="1114">
        <f t="shared" si="132"/>
        <v>15</v>
      </c>
      <c r="P423" s="1114"/>
      <c r="Q423" s="1114">
        <f t="shared" ref="Q423:AY423" si="133">COUNTIF(Q394:Q421,"Voor")</f>
        <v>14</v>
      </c>
      <c r="R423" s="1114">
        <f t="shared" si="133"/>
        <v>14</v>
      </c>
      <c r="S423" s="1114">
        <f t="shared" si="133"/>
        <v>18</v>
      </c>
      <c r="T423" s="1114">
        <f t="shared" si="133"/>
        <v>11</v>
      </c>
      <c r="U423" s="1114">
        <f t="shared" si="133"/>
        <v>20</v>
      </c>
      <c r="V423" s="1114">
        <f t="shared" si="133"/>
        <v>7</v>
      </c>
      <c r="W423" s="1114">
        <f t="shared" si="133"/>
        <v>13</v>
      </c>
      <c r="X423" s="1114">
        <f t="shared" si="133"/>
        <v>3</v>
      </c>
      <c r="Y423" s="1114">
        <f t="shared" si="133"/>
        <v>10</v>
      </c>
      <c r="Z423" s="1114">
        <f t="shared" si="133"/>
        <v>17</v>
      </c>
      <c r="AA423" s="1114">
        <f t="shared" si="133"/>
        <v>17</v>
      </c>
      <c r="AB423" s="1114">
        <f t="shared" si="133"/>
        <v>3</v>
      </c>
      <c r="AC423" s="1114">
        <f t="shared" si="133"/>
        <v>2</v>
      </c>
      <c r="AD423" s="1114">
        <f t="shared" si="133"/>
        <v>15</v>
      </c>
      <c r="AE423" s="1114">
        <f t="shared" si="133"/>
        <v>16</v>
      </c>
      <c r="AF423" s="1114">
        <f t="shared" si="133"/>
        <v>17</v>
      </c>
      <c r="AG423" s="1114">
        <f t="shared" si="133"/>
        <v>5</v>
      </c>
      <c r="AH423" s="1114">
        <f t="shared" si="133"/>
        <v>12</v>
      </c>
      <c r="AI423" s="1114">
        <f t="shared" si="133"/>
        <v>19</v>
      </c>
      <c r="AJ423" s="1114">
        <f t="shared" si="133"/>
        <v>4</v>
      </c>
      <c r="AK423" s="1114">
        <f t="shared" si="133"/>
        <v>18</v>
      </c>
      <c r="AL423" s="1114">
        <f t="shared" si="133"/>
        <v>13</v>
      </c>
      <c r="AM423" s="1114">
        <f t="shared" si="133"/>
        <v>4</v>
      </c>
      <c r="AN423" s="1114">
        <f t="shared" si="133"/>
        <v>6</v>
      </c>
      <c r="AO423" s="1114">
        <f t="shared" si="133"/>
        <v>13</v>
      </c>
      <c r="AP423" s="1114">
        <f t="shared" si="133"/>
        <v>16</v>
      </c>
      <c r="AQ423" s="1114">
        <f t="shared" si="133"/>
        <v>12</v>
      </c>
      <c r="AR423" s="1114">
        <f t="shared" si="133"/>
        <v>2</v>
      </c>
      <c r="AS423" s="1114">
        <f t="shared" si="133"/>
        <v>6</v>
      </c>
      <c r="AT423" s="1114">
        <f t="shared" si="133"/>
        <v>2</v>
      </c>
      <c r="AU423" s="1114">
        <f t="shared" si="133"/>
        <v>11</v>
      </c>
      <c r="AV423" s="1114">
        <f t="shared" si="133"/>
        <v>10</v>
      </c>
      <c r="AW423" s="1114">
        <f t="shared" si="133"/>
        <v>7</v>
      </c>
      <c r="AX423" s="1114">
        <f t="shared" si="133"/>
        <v>8</v>
      </c>
      <c r="AY423" s="1114">
        <f t="shared" si="133"/>
        <v>3</v>
      </c>
      <c r="AZ423" s="1"/>
      <c r="BA423" s="1"/>
      <c r="BB423" s="1"/>
      <c r="BC423" s="1"/>
      <c r="BD423" s="1"/>
      <c r="BE423" s="1135"/>
      <c r="BF423" s="1135"/>
      <c r="BG423" s="1135"/>
      <c r="BH423" s="1135"/>
      <c r="BI423" s="1135"/>
      <c r="BJ423" s="1135"/>
      <c r="BK423" s="1135"/>
      <c r="BL423" s="1135"/>
    </row>
    <row r="424">
      <c r="A424" s="901"/>
      <c r="B424" s="792" t="s">
        <v>70</v>
      </c>
      <c r="D424" s="1116">
        <f t="shared" ref="D424:O424" si="134">COUNTIF(D394:D421,"Tegen")</f>
        <v>3</v>
      </c>
      <c r="E424" s="1117">
        <f t="shared" si="134"/>
        <v>9</v>
      </c>
      <c r="F424" s="1117">
        <f t="shared" si="134"/>
        <v>10</v>
      </c>
      <c r="G424" s="1117">
        <f t="shared" si="134"/>
        <v>4</v>
      </c>
      <c r="H424" s="1117">
        <f t="shared" si="134"/>
        <v>4</v>
      </c>
      <c r="I424" s="1117">
        <f t="shared" si="134"/>
        <v>2</v>
      </c>
      <c r="J424" s="1117">
        <f t="shared" si="134"/>
        <v>4</v>
      </c>
      <c r="K424" s="1117">
        <f t="shared" si="134"/>
        <v>2</v>
      </c>
      <c r="L424" s="1117">
        <f t="shared" si="134"/>
        <v>3</v>
      </c>
      <c r="M424" s="1117">
        <f t="shared" si="134"/>
        <v>8</v>
      </c>
      <c r="N424" s="1117">
        <f t="shared" si="134"/>
        <v>4</v>
      </c>
      <c r="O424" s="1117">
        <f t="shared" si="134"/>
        <v>2</v>
      </c>
      <c r="P424" s="1117"/>
      <c r="Q424" s="1117">
        <f t="shared" ref="Q424:AY424" si="135">COUNTIF(Q394:Q421,"Tegen")</f>
        <v>6</v>
      </c>
      <c r="R424" s="1117">
        <f t="shared" si="135"/>
        <v>5</v>
      </c>
      <c r="S424" s="1117">
        <f t="shared" si="135"/>
        <v>0</v>
      </c>
      <c r="T424" s="1117">
        <f t="shared" si="135"/>
        <v>8</v>
      </c>
      <c r="U424" s="1117">
        <f t="shared" si="135"/>
        <v>0</v>
      </c>
      <c r="V424" s="1117">
        <f t="shared" si="135"/>
        <v>6</v>
      </c>
      <c r="W424" s="1117">
        <f t="shared" si="135"/>
        <v>7</v>
      </c>
      <c r="X424" s="1117">
        <f t="shared" si="135"/>
        <v>18</v>
      </c>
      <c r="Y424" s="1117">
        <f t="shared" si="135"/>
        <v>8</v>
      </c>
      <c r="Z424" s="1117">
        <f t="shared" si="135"/>
        <v>0</v>
      </c>
      <c r="AA424" s="1117">
        <f t="shared" si="135"/>
        <v>0</v>
      </c>
      <c r="AB424" s="1117">
        <f t="shared" si="135"/>
        <v>16</v>
      </c>
      <c r="AC424" s="1117">
        <f t="shared" si="135"/>
        <v>17</v>
      </c>
      <c r="AD424" s="1117">
        <f t="shared" si="135"/>
        <v>3</v>
      </c>
      <c r="AE424" s="1117">
        <f t="shared" si="135"/>
        <v>3</v>
      </c>
      <c r="AF424" s="1117">
        <f t="shared" si="135"/>
        <v>2</v>
      </c>
      <c r="AG424" s="1117">
        <f t="shared" si="135"/>
        <v>14</v>
      </c>
      <c r="AH424" s="1117">
        <f t="shared" si="135"/>
        <v>6</v>
      </c>
      <c r="AI424" s="1117">
        <f t="shared" si="135"/>
        <v>0</v>
      </c>
      <c r="AJ424" s="1117">
        <f t="shared" si="135"/>
        <v>16</v>
      </c>
      <c r="AK424" s="1117">
        <f t="shared" si="135"/>
        <v>0</v>
      </c>
      <c r="AL424" s="1117">
        <f t="shared" si="135"/>
        <v>4</v>
      </c>
      <c r="AM424" s="1117">
        <f t="shared" si="135"/>
        <v>14</v>
      </c>
      <c r="AN424" s="1117">
        <f t="shared" si="135"/>
        <v>11</v>
      </c>
      <c r="AO424" s="1117">
        <f t="shared" si="135"/>
        <v>4</v>
      </c>
      <c r="AP424" s="1117">
        <f t="shared" si="135"/>
        <v>0</v>
      </c>
      <c r="AQ424" s="1117">
        <f t="shared" si="135"/>
        <v>5</v>
      </c>
      <c r="AR424" s="1117">
        <f t="shared" si="135"/>
        <v>13</v>
      </c>
      <c r="AS424" s="1117">
        <f t="shared" si="135"/>
        <v>10</v>
      </c>
      <c r="AT424" s="1117">
        <f t="shared" si="135"/>
        <v>15</v>
      </c>
      <c r="AU424" s="1117">
        <f t="shared" si="135"/>
        <v>4</v>
      </c>
      <c r="AV424" s="1117">
        <f t="shared" si="135"/>
        <v>7</v>
      </c>
      <c r="AW424" s="1117">
        <f t="shared" si="135"/>
        <v>9</v>
      </c>
      <c r="AX424" s="1117">
        <f t="shared" si="135"/>
        <v>7</v>
      </c>
      <c r="AY424" s="1117">
        <f t="shared" si="135"/>
        <v>13</v>
      </c>
      <c r="AZ424" s="1"/>
      <c r="BA424" s="1"/>
      <c r="BB424" s="1"/>
      <c r="BC424" s="1"/>
      <c r="BD424" s="1"/>
      <c r="BE424" s="1135"/>
      <c r="BF424" s="1135"/>
      <c r="BG424" s="1135"/>
      <c r="BH424" s="1135"/>
      <c r="BI424" s="1135"/>
      <c r="BJ424" s="1135"/>
      <c r="BK424" s="1135"/>
      <c r="BL424" s="1135"/>
    </row>
    <row r="425">
      <c r="A425" s="901"/>
      <c r="B425" s="1241" t="s">
        <v>71</v>
      </c>
      <c r="D425" s="1118">
        <f t="shared" ref="D425:O425" si="136">COUNTIF(D394:D421,"SO")</f>
        <v>0</v>
      </c>
      <c r="E425" s="1119">
        <f t="shared" si="136"/>
        <v>2</v>
      </c>
      <c r="F425" s="1119">
        <f t="shared" si="136"/>
        <v>1</v>
      </c>
      <c r="G425" s="1119">
        <f t="shared" si="136"/>
        <v>3</v>
      </c>
      <c r="H425" s="1119">
        <f t="shared" si="136"/>
        <v>1</v>
      </c>
      <c r="I425" s="1119">
        <f t="shared" si="136"/>
        <v>0</v>
      </c>
      <c r="J425" s="1119">
        <f t="shared" si="136"/>
        <v>3</v>
      </c>
      <c r="K425" s="1119">
        <f t="shared" si="136"/>
        <v>0</v>
      </c>
      <c r="L425" s="1119">
        <f t="shared" si="136"/>
        <v>0</v>
      </c>
      <c r="M425" s="1119">
        <f t="shared" si="136"/>
        <v>2</v>
      </c>
      <c r="N425" s="1119">
        <f t="shared" si="136"/>
        <v>1</v>
      </c>
      <c r="O425" s="1119">
        <f t="shared" si="136"/>
        <v>3</v>
      </c>
      <c r="P425" s="1119"/>
      <c r="Q425" s="1119">
        <f t="shared" ref="Q425:AY425" si="137">COUNTIF(Q394:Q421,"SO")</f>
        <v>0</v>
      </c>
      <c r="R425" s="1119">
        <f t="shared" si="137"/>
        <v>1</v>
      </c>
      <c r="S425" s="1119">
        <f t="shared" si="137"/>
        <v>2</v>
      </c>
      <c r="T425" s="1119">
        <f t="shared" si="137"/>
        <v>1</v>
      </c>
      <c r="U425" s="1119">
        <f t="shared" si="137"/>
        <v>0</v>
      </c>
      <c r="V425" s="1119">
        <f t="shared" si="137"/>
        <v>8</v>
      </c>
      <c r="W425" s="1119">
        <f t="shared" si="137"/>
        <v>1</v>
      </c>
      <c r="X425" s="1119">
        <f t="shared" si="137"/>
        <v>0</v>
      </c>
      <c r="Y425" s="1119">
        <f t="shared" si="137"/>
        <v>3</v>
      </c>
      <c r="Z425" s="1119">
        <f t="shared" si="137"/>
        <v>4</v>
      </c>
      <c r="AA425" s="1119">
        <f t="shared" si="137"/>
        <v>4</v>
      </c>
      <c r="AB425" s="1119">
        <f t="shared" si="137"/>
        <v>2</v>
      </c>
      <c r="AC425" s="1119">
        <f t="shared" si="137"/>
        <v>2</v>
      </c>
      <c r="AD425" s="1119">
        <f t="shared" si="137"/>
        <v>3</v>
      </c>
      <c r="AE425" s="1119">
        <f t="shared" si="137"/>
        <v>2</v>
      </c>
      <c r="AF425" s="1119">
        <f t="shared" si="137"/>
        <v>2</v>
      </c>
      <c r="AG425" s="1119">
        <f t="shared" si="137"/>
        <v>2</v>
      </c>
      <c r="AH425" s="1119">
        <f t="shared" si="137"/>
        <v>1</v>
      </c>
      <c r="AI425" s="1119">
        <f t="shared" si="137"/>
        <v>1</v>
      </c>
      <c r="AJ425" s="1119">
        <f t="shared" si="137"/>
        <v>0</v>
      </c>
      <c r="AK425" s="1119">
        <f t="shared" si="137"/>
        <v>2</v>
      </c>
      <c r="AL425" s="1119">
        <f t="shared" si="137"/>
        <v>1</v>
      </c>
      <c r="AM425" s="1119">
        <f t="shared" si="137"/>
        <v>0</v>
      </c>
      <c r="AN425" s="1119">
        <f t="shared" si="137"/>
        <v>1</v>
      </c>
      <c r="AO425" s="1119">
        <f t="shared" si="137"/>
        <v>1</v>
      </c>
      <c r="AP425" s="1119">
        <f t="shared" si="137"/>
        <v>2</v>
      </c>
      <c r="AQ425" s="1119">
        <f t="shared" si="137"/>
        <v>0</v>
      </c>
      <c r="AR425" s="1119">
        <f t="shared" si="137"/>
        <v>2</v>
      </c>
      <c r="AS425" s="1119">
        <f t="shared" si="137"/>
        <v>1</v>
      </c>
      <c r="AT425" s="1119">
        <f t="shared" si="137"/>
        <v>0</v>
      </c>
      <c r="AU425" s="1119">
        <f t="shared" si="137"/>
        <v>2</v>
      </c>
      <c r="AV425" s="1119">
        <f t="shared" si="137"/>
        <v>0</v>
      </c>
      <c r="AW425" s="1119">
        <f t="shared" si="137"/>
        <v>1</v>
      </c>
      <c r="AX425" s="1119">
        <f t="shared" si="137"/>
        <v>2</v>
      </c>
      <c r="AY425" s="1119">
        <f t="shared" si="137"/>
        <v>1</v>
      </c>
      <c r="AZ425" s="1"/>
      <c r="BA425" s="1"/>
      <c r="BB425" s="1"/>
      <c r="BC425" s="1"/>
      <c r="BD425" s="1"/>
      <c r="BE425" s="1135"/>
      <c r="BF425" s="1135"/>
      <c r="BG425" s="1135"/>
      <c r="BH425" s="1135"/>
      <c r="BI425" s="1135"/>
      <c r="BJ425" s="1135"/>
      <c r="BK425" s="1135"/>
      <c r="BL425" s="1135"/>
    </row>
    <row r="426">
      <c r="A426" s="901"/>
      <c r="B426" s="796" t="s">
        <v>72</v>
      </c>
      <c r="D426" s="1120">
        <f t="shared" ref="D426:O426" si="138">COUNTIF(D394:D421,"NG")</f>
        <v>4</v>
      </c>
      <c r="E426" s="1121">
        <f t="shared" si="138"/>
        <v>4</v>
      </c>
      <c r="F426" s="1121">
        <f t="shared" si="138"/>
        <v>4</v>
      </c>
      <c r="G426" s="1121">
        <f t="shared" si="138"/>
        <v>4</v>
      </c>
      <c r="H426" s="1121">
        <f t="shared" si="138"/>
        <v>4</v>
      </c>
      <c r="I426" s="1121">
        <f t="shared" si="138"/>
        <v>4</v>
      </c>
      <c r="J426" s="1121">
        <f t="shared" si="138"/>
        <v>4</v>
      </c>
      <c r="K426" s="1121">
        <f t="shared" si="138"/>
        <v>4</v>
      </c>
      <c r="L426" s="1121">
        <f t="shared" si="138"/>
        <v>4</v>
      </c>
      <c r="M426" s="1121">
        <f t="shared" si="138"/>
        <v>4</v>
      </c>
      <c r="N426" s="1121">
        <f t="shared" si="138"/>
        <v>4</v>
      </c>
      <c r="O426" s="1121">
        <f t="shared" si="138"/>
        <v>4</v>
      </c>
      <c r="P426" s="1121"/>
      <c r="Q426" s="1121">
        <f t="shared" ref="Q426:AY426" si="139">COUNTIF(Q394:Q421,"NG")</f>
        <v>4</v>
      </c>
      <c r="R426" s="1121">
        <f t="shared" si="139"/>
        <v>4</v>
      </c>
      <c r="S426" s="1121">
        <f t="shared" si="139"/>
        <v>4</v>
      </c>
      <c r="T426" s="1121">
        <f t="shared" si="139"/>
        <v>4</v>
      </c>
      <c r="U426" s="1121">
        <f t="shared" si="139"/>
        <v>4</v>
      </c>
      <c r="V426" s="1121">
        <f t="shared" si="139"/>
        <v>3</v>
      </c>
      <c r="W426" s="1121">
        <f t="shared" si="139"/>
        <v>3</v>
      </c>
      <c r="X426" s="1121">
        <f t="shared" si="139"/>
        <v>3</v>
      </c>
      <c r="Y426" s="1121">
        <f t="shared" si="139"/>
        <v>3</v>
      </c>
      <c r="Z426" s="1121">
        <f t="shared" si="139"/>
        <v>3</v>
      </c>
      <c r="AA426" s="1121">
        <f t="shared" si="139"/>
        <v>3</v>
      </c>
      <c r="AB426" s="1121">
        <f t="shared" si="139"/>
        <v>3</v>
      </c>
      <c r="AC426" s="1121">
        <f t="shared" si="139"/>
        <v>3</v>
      </c>
      <c r="AD426" s="1121">
        <f t="shared" si="139"/>
        <v>3</v>
      </c>
      <c r="AE426" s="1121">
        <f t="shared" si="139"/>
        <v>3</v>
      </c>
      <c r="AF426" s="1121">
        <f t="shared" si="139"/>
        <v>3</v>
      </c>
      <c r="AG426" s="1121">
        <f t="shared" si="139"/>
        <v>3</v>
      </c>
      <c r="AH426" s="1121">
        <f t="shared" si="139"/>
        <v>4</v>
      </c>
      <c r="AI426" s="1121">
        <f t="shared" si="139"/>
        <v>3</v>
      </c>
      <c r="AJ426" s="1121">
        <f t="shared" si="139"/>
        <v>3</v>
      </c>
      <c r="AK426" s="1121">
        <f t="shared" si="139"/>
        <v>3</v>
      </c>
      <c r="AL426" s="1121">
        <f t="shared" si="139"/>
        <v>5</v>
      </c>
      <c r="AM426" s="1121">
        <f t="shared" si="139"/>
        <v>5</v>
      </c>
      <c r="AN426" s="1121">
        <f t="shared" si="139"/>
        <v>5</v>
      </c>
      <c r="AO426" s="1121">
        <f t="shared" si="139"/>
        <v>5</v>
      </c>
      <c r="AP426" s="1121">
        <f t="shared" si="139"/>
        <v>5</v>
      </c>
      <c r="AQ426" s="1121">
        <f t="shared" si="139"/>
        <v>6</v>
      </c>
      <c r="AR426" s="1121">
        <f t="shared" si="139"/>
        <v>6</v>
      </c>
      <c r="AS426" s="1121">
        <f t="shared" si="139"/>
        <v>6</v>
      </c>
      <c r="AT426" s="1121">
        <f t="shared" si="139"/>
        <v>6</v>
      </c>
      <c r="AU426" s="1121">
        <f t="shared" si="139"/>
        <v>6</v>
      </c>
      <c r="AV426" s="1121">
        <f t="shared" si="139"/>
        <v>6</v>
      </c>
      <c r="AW426" s="1121">
        <f t="shared" si="139"/>
        <v>6</v>
      </c>
      <c r="AX426" s="1121">
        <f t="shared" si="139"/>
        <v>6</v>
      </c>
      <c r="AY426" s="1121">
        <f t="shared" si="139"/>
        <v>6</v>
      </c>
      <c r="AZ426" s="1"/>
      <c r="BA426" s="1"/>
      <c r="BB426" s="1"/>
      <c r="BC426" s="1"/>
      <c r="BD426" s="1"/>
      <c r="BE426" s="1135"/>
      <c r="BF426" s="1135"/>
      <c r="BG426" s="1135"/>
      <c r="BH426" s="1135"/>
      <c r="BI426" s="1135"/>
      <c r="BJ426" s="1135"/>
      <c r="BK426" s="1135"/>
      <c r="BL426" s="1135"/>
    </row>
    <row r="427">
      <c r="A427" s="901"/>
      <c r="B427" s="798" t="s">
        <v>73</v>
      </c>
      <c r="D427" s="1122">
        <f t="shared" ref="D427:O427" si="140">SUM(D423:D426)</f>
        <v>24</v>
      </c>
      <c r="E427" s="1123">
        <f t="shared" si="140"/>
        <v>24</v>
      </c>
      <c r="F427" s="1123">
        <f t="shared" si="140"/>
        <v>24</v>
      </c>
      <c r="G427" s="1123">
        <f t="shared" si="140"/>
        <v>24</v>
      </c>
      <c r="H427" s="1123">
        <f t="shared" si="140"/>
        <v>24</v>
      </c>
      <c r="I427" s="1123">
        <f t="shared" si="140"/>
        <v>24</v>
      </c>
      <c r="J427" s="1123">
        <f t="shared" si="140"/>
        <v>24</v>
      </c>
      <c r="K427" s="1123">
        <f t="shared" si="140"/>
        <v>24</v>
      </c>
      <c r="L427" s="1123">
        <f t="shared" si="140"/>
        <v>24</v>
      </c>
      <c r="M427" s="1123">
        <f t="shared" si="140"/>
        <v>24</v>
      </c>
      <c r="N427" s="1123">
        <f t="shared" si="140"/>
        <v>24</v>
      </c>
      <c r="O427" s="1123">
        <f t="shared" si="140"/>
        <v>24</v>
      </c>
      <c r="P427" s="1123"/>
      <c r="Q427" s="1123">
        <f t="shared" ref="Q427:AY427" si="141">SUM(Q423:Q426)</f>
        <v>24</v>
      </c>
      <c r="R427" s="1123">
        <f t="shared" si="141"/>
        <v>24</v>
      </c>
      <c r="S427" s="1123">
        <f t="shared" si="141"/>
        <v>24</v>
      </c>
      <c r="T427" s="1123">
        <f t="shared" si="141"/>
        <v>24</v>
      </c>
      <c r="U427" s="1123">
        <f t="shared" si="141"/>
        <v>24</v>
      </c>
      <c r="V427" s="1123">
        <f t="shared" si="141"/>
        <v>24</v>
      </c>
      <c r="W427" s="1123">
        <f t="shared" si="141"/>
        <v>24</v>
      </c>
      <c r="X427" s="1123">
        <f t="shared" si="141"/>
        <v>24</v>
      </c>
      <c r="Y427" s="1123">
        <f t="shared" si="141"/>
        <v>24</v>
      </c>
      <c r="Z427" s="1123">
        <f t="shared" si="141"/>
        <v>24</v>
      </c>
      <c r="AA427" s="1123">
        <f t="shared" si="141"/>
        <v>24</v>
      </c>
      <c r="AB427" s="1123">
        <f t="shared" si="141"/>
        <v>24</v>
      </c>
      <c r="AC427" s="1123">
        <f t="shared" si="141"/>
        <v>24</v>
      </c>
      <c r="AD427" s="1123">
        <f t="shared" si="141"/>
        <v>24</v>
      </c>
      <c r="AE427" s="1123">
        <f t="shared" si="141"/>
        <v>24</v>
      </c>
      <c r="AF427" s="1123">
        <f t="shared" si="141"/>
        <v>24</v>
      </c>
      <c r="AG427" s="1123">
        <f t="shared" si="141"/>
        <v>24</v>
      </c>
      <c r="AH427" s="1123">
        <f t="shared" si="141"/>
        <v>23</v>
      </c>
      <c r="AI427" s="1123">
        <f t="shared" si="141"/>
        <v>23</v>
      </c>
      <c r="AJ427" s="1123">
        <f t="shared" si="141"/>
        <v>23</v>
      </c>
      <c r="AK427" s="1123">
        <f t="shared" si="141"/>
        <v>23</v>
      </c>
      <c r="AL427" s="1123">
        <f t="shared" si="141"/>
        <v>23</v>
      </c>
      <c r="AM427" s="1123">
        <f t="shared" si="141"/>
        <v>23</v>
      </c>
      <c r="AN427" s="1123">
        <f t="shared" si="141"/>
        <v>23</v>
      </c>
      <c r="AO427" s="1123">
        <f t="shared" si="141"/>
        <v>23</v>
      </c>
      <c r="AP427" s="1123">
        <f t="shared" si="141"/>
        <v>23</v>
      </c>
      <c r="AQ427" s="1123">
        <f t="shared" si="141"/>
        <v>23</v>
      </c>
      <c r="AR427" s="1123">
        <f t="shared" si="141"/>
        <v>23</v>
      </c>
      <c r="AS427" s="1123">
        <f t="shared" si="141"/>
        <v>23</v>
      </c>
      <c r="AT427" s="1123">
        <f t="shared" si="141"/>
        <v>23</v>
      </c>
      <c r="AU427" s="1123">
        <f t="shared" si="141"/>
        <v>23</v>
      </c>
      <c r="AV427" s="1123">
        <f t="shared" si="141"/>
        <v>23</v>
      </c>
      <c r="AW427" s="1123">
        <f t="shared" si="141"/>
        <v>23</v>
      </c>
      <c r="AX427" s="1123">
        <f t="shared" si="141"/>
        <v>23</v>
      </c>
      <c r="AY427" s="1123">
        <f t="shared" si="141"/>
        <v>23</v>
      </c>
      <c r="AZ427" s="1"/>
      <c r="BA427" s="1"/>
      <c r="BB427" s="1"/>
      <c r="BC427" s="1"/>
      <c r="BD427" s="1"/>
      <c r="BE427" s="1135"/>
      <c r="BF427" s="1135"/>
      <c r="BG427" s="1135"/>
      <c r="BH427" s="1135"/>
      <c r="BI427" s="1135"/>
      <c r="BJ427" s="1135"/>
      <c r="BK427" s="1135"/>
      <c r="BL427" s="1135"/>
    </row>
    <row r="428">
      <c r="A428" s="901"/>
      <c r="B428" s="1242" t="s">
        <v>74</v>
      </c>
      <c r="D428" s="1124">
        <f t="shared" ref="D428:O428" si="142">D423+D424+D425</f>
        <v>20</v>
      </c>
      <c r="E428" s="1125">
        <f t="shared" si="142"/>
        <v>20</v>
      </c>
      <c r="F428" s="1125">
        <f t="shared" si="142"/>
        <v>20</v>
      </c>
      <c r="G428" s="1125">
        <f t="shared" si="142"/>
        <v>20</v>
      </c>
      <c r="H428" s="1125">
        <f t="shared" si="142"/>
        <v>20</v>
      </c>
      <c r="I428" s="1125">
        <f t="shared" si="142"/>
        <v>20</v>
      </c>
      <c r="J428" s="1125">
        <f t="shared" si="142"/>
        <v>20</v>
      </c>
      <c r="K428" s="1125">
        <f t="shared" si="142"/>
        <v>20</v>
      </c>
      <c r="L428" s="1125">
        <f t="shared" si="142"/>
        <v>20</v>
      </c>
      <c r="M428" s="1125">
        <f t="shared" si="142"/>
        <v>20</v>
      </c>
      <c r="N428" s="1125">
        <f t="shared" si="142"/>
        <v>20</v>
      </c>
      <c r="O428" s="1125">
        <f t="shared" si="142"/>
        <v>20</v>
      </c>
      <c r="P428" s="1125"/>
      <c r="Q428" s="1125">
        <f t="shared" ref="Q428:AY428" si="143">Q423+Q424+Q425</f>
        <v>20</v>
      </c>
      <c r="R428" s="1125">
        <f t="shared" si="143"/>
        <v>20</v>
      </c>
      <c r="S428" s="1125">
        <f t="shared" si="143"/>
        <v>20</v>
      </c>
      <c r="T428" s="1125">
        <f t="shared" si="143"/>
        <v>20</v>
      </c>
      <c r="U428" s="1125">
        <f t="shared" si="143"/>
        <v>20</v>
      </c>
      <c r="V428" s="1125">
        <f t="shared" si="143"/>
        <v>21</v>
      </c>
      <c r="W428" s="1125">
        <f t="shared" si="143"/>
        <v>21</v>
      </c>
      <c r="X428" s="1125">
        <f t="shared" si="143"/>
        <v>21</v>
      </c>
      <c r="Y428" s="1125">
        <f t="shared" si="143"/>
        <v>21</v>
      </c>
      <c r="Z428" s="1125">
        <f t="shared" si="143"/>
        <v>21</v>
      </c>
      <c r="AA428" s="1125">
        <f t="shared" si="143"/>
        <v>21</v>
      </c>
      <c r="AB428" s="1125">
        <f t="shared" si="143"/>
        <v>21</v>
      </c>
      <c r="AC428" s="1125">
        <f t="shared" si="143"/>
        <v>21</v>
      </c>
      <c r="AD428" s="1125">
        <f t="shared" si="143"/>
        <v>21</v>
      </c>
      <c r="AE428" s="1125">
        <f t="shared" si="143"/>
        <v>21</v>
      </c>
      <c r="AF428" s="1125">
        <f t="shared" si="143"/>
        <v>21</v>
      </c>
      <c r="AG428" s="1125">
        <f t="shared" si="143"/>
        <v>21</v>
      </c>
      <c r="AH428" s="1125">
        <f t="shared" si="143"/>
        <v>19</v>
      </c>
      <c r="AI428" s="1125">
        <f t="shared" si="143"/>
        <v>20</v>
      </c>
      <c r="AJ428" s="1125">
        <f t="shared" si="143"/>
        <v>20</v>
      </c>
      <c r="AK428" s="1125">
        <f t="shared" si="143"/>
        <v>20</v>
      </c>
      <c r="AL428" s="1125">
        <f t="shared" si="143"/>
        <v>18</v>
      </c>
      <c r="AM428" s="1125">
        <f t="shared" si="143"/>
        <v>18</v>
      </c>
      <c r="AN428" s="1125">
        <f t="shared" si="143"/>
        <v>18</v>
      </c>
      <c r="AO428" s="1125">
        <f t="shared" si="143"/>
        <v>18</v>
      </c>
      <c r="AP428" s="1125">
        <f t="shared" si="143"/>
        <v>18</v>
      </c>
      <c r="AQ428" s="1125">
        <f t="shared" si="143"/>
        <v>17</v>
      </c>
      <c r="AR428" s="1125">
        <f t="shared" si="143"/>
        <v>17</v>
      </c>
      <c r="AS428" s="1125">
        <f t="shared" si="143"/>
        <v>17</v>
      </c>
      <c r="AT428" s="1125">
        <f t="shared" si="143"/>
        <v>17</v>
      </c>
      <c r="AU428" s="1125">
        <f t="shared" si="143"/>
        <v>17</v>
      </c>
      <c r="AV428" s="1125">
        <f t="shared" si="143"/>
        <v>17</v>
      </c>
      <c r="AW428" s="1125">
        <f t="shared" si="143"/>
        <v>17</v>
      </c>
      <c r="AX428" s="1125">
        <f t="shared" si="143"/>
        <v>17</v>
      </c>
      <c r="AY428" s="1125">
        <f t="shared" si="143"/>
        <v>17</v>
      </c>
      <c r="AZ428" s="1"/>
      <c r="BA428" s="1"/>
      <c r="BB428" s="1"/>
      <c r="BC428" s="1"/>
      <c r="BD428" s="1"/>
      <c r="BE428" s="1135"/>
      <c r="BF428" s="1135"/>
      <c r="BG428" s="1135"/>
      <c r="BH428" s="1135"/>
      <c r="BI428" s="1135"/>
      <c r="BJ428" s="1135"/>
      <c r="BK428" s="1135"/>
      <c r="BL428" s="1135"/>
    </row>
    <row r="429">
      <c r="A429" s="901"/>
      <c r="B429" s="854" t="s">
        <v>75</v>
      </c>
      <c r="D429" s="1126">
        <f t="shared" ref="D429:O429" si="144">IFERROR(D428/D427,"")</f>
        <v>0.8333333333</v>
      </c>
      <c r="E429" s="1127">
        <f t="shared" si="144"/>
        <v>0.8333333333</v>
      </c>
      <c r="F429" s="1127">
        <f t="shared" si="144"/>
        <v>0.8333333333</v>
      </c>
      <c r="G429" s="1127">
        <f t="shared" si="144"/>
        <v>0.8333333333</v>
      </c>
      <c r="H429" s="1127">
        <f t="shared" si="144"/>
        <v>0.8333333333</v>
      </c>
      <c r="I429" s="1127">
        <f t="shared" si="144"/>
        <v>0.8333333333</v>
      </c>
      <c r="J429" s="1127">
        <f t="shared" si="144"/>
        <v>0.8333333333</v>
      </c>
      <c r="K429" s="1127">
        <f t="shared" si="144"/>
        <v>0.8333333333</v>
      </c>
      <c r="L429" s="1127">
        <f t="shared" si="144"/>
        <v>0.8333333333</v>
      </c>
      <c r="M429" s="1127">
        <f t="shared" si="144"/>
        <v>0.8333333333</v>
      </c>
      <c r="N429" s="1127">
        <f t="shared" si="144"/>
        <v>0.8333333333</v>
      </c>
      <c r="O429" s="1127">
        <f t="shared" si="144"/>
        <v>0.8333333333</v>
      </c>
      <c r="P429" s="1127"/>
      <c r="Q429" s="1127">
        <f t="shared" ref="Q429:AY429" si="145">IFERROR(Q428/Q427,"")</f>
        <v>0.8333333333</v>
      </c>
      <c r="R429" s="1127">
        <f t="shared" si="145"/>
        <v>0.8333333333</v>
      </c>
      <c r="S429" s="1127">
        <f t="shared" si="145"/>
        <v>0.8333333333</v>
      </c>
      <c r="T429" s="1127">
        <f t="shared" si="145"/>
        <v>0.8333333333</v>
      </c>
      <c r="U429" s="1127">
        <f t="shared" si="145"/>
        <v>0.8333333333</v>
      </c>
      <c r="V429" s="1127">
        <f t="shared" si="145"/>
        <v>0.875</v>
      </c>
      <c r="W429" s="1127">
        <f t="shared" si="145"/>
        <v>0.875</v>
      </c>
      <c r="X429" s="1127">
        <f t="shared" si="145"/>
        <v>0.875</v>
      </c>
      <c r="Y429" s="1127">
        <f t="shared" si="145"/>
        <v>0.875</v>
      </c>
      <c r="Z429" s="1127">
        <f t="shared" si="145"/>
        <v>0.875</v>
      </c>
      <c r="AA429" s="1127">
        <f t="shared" si="145"/>
        <v>0.875</v>
      </c>
      <c r="AB429" s="1127">
        <f t="shared" si="145"/>
        <v>0.875</v>
      </c>
      <c r="AC429" s="1127">
        <f t="shared" si="145"/>
        <v>0.875</v>
      </c>
      <c r="AD429" s="1127">
        <f t="shared" si="145"/>
        <v>0.875</v>
      </c>
      <c r="AE429" s="1127">
        <f t="shared" si="145"/>
        <v>0.875</v>
      </c>
      <c r="AF429" s="1127">
        <f t="shared" si="145"/>
        <v>0.875</v>
      </c>
      <c r="AG429" s="1127">
        <f t="shared" si="145"/>
        <v>0.875</v>
      </c>
      <c r="AH429" s="1127">
        <f t="shared" si="145"/>
        <v>0.8260869565</v>
      </c>
      <c r="AI429" s="1127">
        <f t="shared" si="145"/>
        <v>0.8695652174</v>
      </c>
      <c r="AJ429" s="1127">
        <f t="shared" si="145"/>
        <v>0.8695652174</v>
      </c>
      <c r="AK429" s="1127">
        <f t="shared" si="145"/>
        <v>0.8695652174</v>
      </c>
      <c r="AL429" s="1127">
        <f t="shared" si="145"/>
        <v>0.7826086957</v>
      </c>
      <c r="AM429" s="1127">
        <f t="shared" si="145"/>
        <v>0.7826086957</v>
      </c>
      <c r="AN429" s="1127">
        <f t="shared" si="145"/>
        <v>0.7826086957</v>
      </c>
      <c r="AO429" s="1127">
        <f t="shared" si="145"/>
        <v>0.7826086957</v>
      </c>
      <c r="AP429" s="1127">
        <f t="shared" si="145"/>
        <v>0.7826086957</v>
      </c>
      <c r="AQ429" s="1127">
        <f t="shared" si="145"/>
        <v>0.7391304348</v>
      </c>
      <c r="AR429" s="1127">
        <f t="shared" si="145"/>
        <v>0.7391304348</v>
      </c>
      <c r="AS429" s="1127">
        <f t="shared" si="145"/>
        <v>0.7391304348</v>
      </c>
      <c r="AT429" s="1127">
        <f t="shared" si="145"/>
        <v>0.7391304348</v>
      </c>
      <c r="AU429" s="1127">
        <f t="shared" si="145"/>
        <v>0.7391304348</v>
      </c>
      <c r="AV429" s="1127">
        <f t="shared" si="145"/>
        <v>0.7391304348</v>
      </c>
      <c r="AW429" s="1127">
        <f t="shared" si="145"/>
        <v>0.7391304348</v>
      </c>
      <c r="AX429" s="1127">
        <f t="shared" si="145"/>
        <v>0.7391304348</v>
      </c>
      <c r="AY429" s="1127">
        <f t="shared" si="145"/>
        <v>0.7391304348</v>
      </c>
      <c r="AZ429" s="1178"/>
      <c r="BA429" s="1178"/>
      <c r="BB429" s="1178"/>
      <c r="BC429" s="1178"/>
      <c r="BD429" s="1178"/>
      <c r="BE429" s="1179"/>
      <c r="BF429" s="1179"/>
      <c r="BG429" s="1179"/>
      <c r="BH429" s="1179"/>
      <c r="BI429" s="1179"/>
      <c r="BJ429" s="1179"/>
      <c r="BK429" s="1179"/>
      <c r="BL429" s="1179"/>
    </row>
    <row r="430">
      <c r="A430" s="912"/>
      <c r="D430" s="1180"/>
      <c r="BE430" s="1129"/>
      <c r="BF430" s="1129"/>
      <c r="BG430" s="1129"/>
      <c r="BH430" s="1129"/>
      <c r="BI430" s="1129"/>
      <c r="BJ430" s="1129"/>
      <c r="BK430" s="1129"/>
      <c r="BL430" s="1129"/>
    </row>
    <row r="431">
      <c r="A431" s="731"/>
      <c r="B431" s="1243" t="s">
        <v>1170</v>
      </c>
      <c r="C431" s="1243" t="s">
        <v>7</v>
      </c>
      <c r="D431" s="918"/>
      <c r="AL431" s="1131"/>
      <c r="AM431" s="1"/>
      <c r="AN431" s="1"/>
      <c r="AO431" s="1"/>
      <c r="AP431" s="1"/>
      <c r="AQ431" s="1"/>
      <c r="AR431" s="1"/>
      <c r="AS431" s="1"/>
      <c r="AT431" s="1"/>
      <c r="AU431" s="1"/>
      <c r="AV431" s="1"/>
      <c r="AW431" s="1"/>
      <c r="AX431" s="1"/>
      <c r="AY431" s="1"/>
      <c r="AZ431" s="1"/>
      <c r="BA431" s="1"/>
      <c r="BB431" s="1"/>
      <c r="BC431" s="1"/>
      <c r="BD431" s="1"/>
      <c r="BE431" s="1135"/>
      <c r="BF431" s="1135"/>
      <c r="BG431" s="1135"/>
      <c r="BH431" s="1135"/>
      <c r="BI431" s="1135"/>
      <c r="BJ431" s="1135"/>
      <c r="BK431" s="1135"/>
      <c r="BL431" s="1135"/>
    </row>
    <row r="432">
      <c r="A432" s="1083" t="s">
        <v>243</v>
      </c>
      <c r="B432" s="390"/>
      <c r="C432" s="390"/>
      <c r="D432" s="1244" t="s">
        <v>660</v>
      </c>
      <c r="E432" s="1245" t="s">
        <v>661</v>
      </c>
      <c r="F432" s="1245" t="s">
        <v>234</v>
      </c>
      <c r="G432" s="1245" t="s">
        <v>235</v>
      </c>
      <c r="H432" s="1245" t="s">
        <v>236</v>
      </c>
      <c r="I432" s="1245" t="s">
        <v>238</v>
      </c>
      <c r="J432" s="1245" t="s">
        <v>239</v>
      </c>
      <c r="K432" s="1245" t="s">
        <v>241</v>
      </c>
      <c r="L432" s="1245" t="s">
        <v>662</v>
      </c>
      <c r="M432" s="1245" t="s">
        <v>663</v>
      </c>
      <c r="N432" s="1245" t="s">
        <v>664</v>
      </c>
      <c r="O432" s="1245" t="s">
        <v>244</v>
      </c>
      <c r="P432" s="1245"/>
      <c r="Q432" s="1245" t="s">
        <v>246</v>
      </c>
      <c r="R432" s="1245" t="s">
        <v>665</v>
      </c>
      <c r="S432" s="1245" t="s">
        <v>667</v>
      </c>
      <c r="T432" s="1245" t="s">
        <v>670</v>
      </c>
      <c r="U432" s="1245" t="s">
        <v>247</v>
      </c>
      <c r="V432" s="1245" t="s">
        <v>248</v>
      </c>
      <c r="W432" s="1245" t="s">
        <v>249</v>
      </c>
      <c r="X432" s="1245" t="s">
        <v>250</v>
      </c>
      <c r="Y432" s="1245" t="s">
        <v>252</v>
      </c>
      <c r="Z432" s="1245" t="s">
        <v>671</v>
      </c>
      <c r="AA432" s="1245" t="s">
        <v>254</v>
      </c>
      <c r="AB432" s="1245" t="s">
        <v>673</v>
      </c>
      <c r="AC432" s="1245" t="s">
        <v>256</v>
      </c>
      <c r="AD432" s="1245" t="s">
        <v>258</v>
      </c>
      <c r="AE432" s="1245" t="s">
        <v>260</v>
      </c>
      <c r="AF432" s="1245" t="s">
        <v>262</v>
      </c>
      <c r="AG432" s="1245" t="s">
        <v>265</v>
      </c>
      <c r="AH432" s="1245" t="s">
        <v>269</v>
      </c>
      <c r="AI432" s="1245" t="s">
        <v>273</v>
      </c>
      <c r="AJ432" s="1245" t="s">
        <v>274</v>
      </c>
      <c r="AK432" s="857" t="s">
        <v>1291</v>
      </c>
      <c r="AL432" s="1246"/>
      <c r="AM432" s="1178"/>
      <c r="AN432" s="1178"/>
      <c r="AO432" s="1178"/>
      <c r="AP432" s="1178"/>
      <c r="AQ432" s="1178"/>
      <c r="AR432" s="1178"/>
      <c r="AS432" s="1178"/>
      <c r="AT432" s="1178"/>
      <c r="AU432" s="1178"/>
      <c r="AV432" s="1178"/>
      <c r="AW432" s="1178"/>
      <c r="AX432" s="1178"/>
      <c r="AY432" s="1178"/>
      <c r="AZ432" s="1178"/>
      <c r="BA432" s="1178"/>
      <c r="BB432" s="1178"/>
      <c r="BC432" s="1178"/>
      <c r="BD432" s="1178"/>
      <c r="BE432" s="1179"/>
      <c r="BF432" s="1179"/>
      <c r="BG432" s="1179"/>
      <c r="BH432" s="1179"/>
      <c r="BI432" s="1179"/>
      <c r="BJ432" s="1179"/>
      <c r="BK432" s="1179"/>
      <c r="BL432" s="1179"/>
    </row>
    <row r="433">
      <c r="A433" s="1247" t="s">
        <v>1292</v>
      </c>
      <c r="B433" s="1248" t="s">
        <v>1284</v>
      </c>
      <c r="C433" s="1248" t="s">
        <v>21</v>
      </c>
      <c r="D433" s="1249" t="s">
        <v>70</v>
      </c>
      <c r="E433" s="1250" t="s">
        <v>69</v>
      </c>
      <c r="F433" s="1251" t="s">
        <v>70</v>
      </c>
      <c r="G433" s="1252" t="s">
        <v>99</v>
      </c>
      <c r="H433" s="1250" t="s">
        <v>69</v>
      </c>
      <c r="I433" s="1250" t="s">
        <v>69</v>
      </c>
      <c r="J433" s="1250" t="s">
        <v>69</v>
      </c>
      <c r="K433" s="1252" t="s">
        <v>99</v>
      </c>
      <c r="L433" s="1250" t="s">
        <v>69</v>
      </c>
      <c r="M433" s="1250" t="s">
        <v>69</v>
      </c>
      <c r="N433" s="1250" t="s">
        <v>69</v>
      </c>
      <c r="O433" s="1251" t="s">
        <v>70</v>
      </c>
      <c r="P433" s="1251"/>
      <c r="Q433" s="1251" t="s">
        <v>70</v>
      </c>
      <c r="R433" s="1250" t="s">
        <v>69</v>
      </c>
      <c r="S433" s="1250" t="s">
        <v>69</v>
      </c>
      <c r="T433" s="1250" t="s">
        <v>69</v>
      </c>
      <c r="U433" s="1250" t="s">
        <v>69</v>
      </c>
      <c r="V433" s="1250" t="s">
        <v>69</v>
      </c>
      <c r="W433" s="1251" t="s">
        <v>70</v>
      </c>
      <c r="X433" s="1250" t="s">
        <v>69</v>
      </c>
      <c r="Y433" s="1250" t="s">
        <v>69</v>
      </c>
      <c r="Z433" s="1253" t="s">
        <v>100</v>
      </c>
      <c r="AA433" s="1253" t="s">
        <v>100</v>
      </c>
      <c r="AB433" s="1251" t="s">
        <v>70</v>
      </c>
      <c r="AC433" s="1251" t="s">
        <v>70</v>
      </c>
      <c r="AD433" s="1250" t="s">
        <v>69</v>
      </c>
      <c r="AE433" s="1250" t="s">
        <v>69</v>
      </c>
      <c r="AF433" s="1250" t="s">
        <v>69</v>
      </c>
      <c r="AG433" s="1251" t="s">
        <v>70</v>
      </c>
      <c r="AH433" s="1251" t="s">
        <v>70</v>
      </c>
      <c r="AI433" s="1251" t="s">
        <v>70</v>
      </c>
      <c r="AJ433" s="1251" t="s">
        <v>70</v>
      </c>
      <c r="AK433" s="1254" t="s">
        <v>69</v>
      </c>
      <c r="AL433" s="1"/>
      <c r="AM433" s="1"/>
      <c r="AN433" s="1"/>
      <c r="AO433" s="1"/>
      <c r="AP433" s="1"/>
      <c r="AQ433" s="1"/>
      <c r="AR433" s="1"/>
      <c r="AS433" s="1"/>
      <c r="AT433" s="1"/>
      <c r="AU433" s="1"/>
      <c r="AV433" s="1"/>
      <c r="AW433" s="1"/>
      <c r="AX433" s="1"/>
      <c r="AY433" s="1"/>
      <c r="AZ433" s="1"/>
      <c r="BA433" s="1"/>
      <c r="BB433" s="1"/>
      <c r="BC433" s="1"/>
      <c r="BD433" s="1"/>
      <c r="BE433" s="1135"/>
      <c r="BF433" s="1135"/>
      <c r="BG433" s="1135"/>
      <c r="BH433" s="1135"/>
      <c r="BI433" s="1135"/>
      <c r="BJ433" s="1135"/>
      <c r="BK433" s="1135"/>
      <c r="BL433" s="1135"/>
    </row>
    <row r="434">
      <c r="A434" s="901"/>
      <c r="B434" s="1255" t="s">
        <v>927</v>
      </c>
      <c r="C434" s="1255" t="s">
        <v>21</v>
      </c>
      <c r="D434" s="1249" t="s">
        <v>70</v>
      </c>
      <c r="E434" s="1250" t="s">
        <v>69</v>
      </c>
      <c r="F434" s="1251" t="s">
        <v>70</v>
      </c>
      <c r="G434" s="1252" t="s">
        <v>99</v>
      </c>
      <c r="H434" s="1250" t="s">
        <v>69</v>
      </c>
      <c r="I434" s="1250" t="s">
        <v>69</v>
      </c>
      <c r="J434" s="1250" t="s">
        <v>69</v>
      </c>
      <c r="K434" s="1252" t="s">
        <v>99</v>
      </c>
      <c r="L434" s="1250" t="s">
        <v>69</v>
      </c>
      <c r="M434" s="1250" t="s">
        <v>69</v>
      </c>
      <c r="N434" s="1250" t="s">
        <v>69</v>
      </c>
      <c r="O434" s="1250" t="s">
        <v>69</v>
      </c>
      <c r="P434" s="1250"/>
      <c r="Q434" s="1251" t="s">
        <v>70</v>
      </c>
      <c r="R434" s="1251" t="s">
        <v>70</v>
      </c>
      <c r="S434" s="1250" t="s">
        <v>69</v>
      </c>
      <c r="T434" s="1250" t="s">
        <v>69</v>
      </c>
      <c r="U434" s="1250" t="s">
        <v>69</v>
      </c>
      <c r="V434" s="1250" t="s">
        <v>69</v>
      </c>
      <c r="W434" s="1251" t="s">
        <v>70</v>
      </c>
      <c r="X434" s="1250" t="s">
        <v>69</v>
      </c>
      <c r="Y434" s="1250" t="s">
        <v>69</v>
      </c>
      <c r="Z434" s="1251" t="s">
        <v>70</v>
      </c>
      <c r="AA434" s="1251" t="s">
        <v>70</v>
      </c>
      <c r="AB434" s="1251" t="s">
        <v>70</v>
      </c>
      <c r="AC434" s="1251" t="s">
        <v>70</v>
      </c>
      <c r="AD434" s="1250" t="s">
        <v>69</v>
      </c>
      <c r="AE434" s="1251" t="s">
        <v>70</v>
      </c>
      <c r="AF434" s="1250" t="s">
        <v>69</v>
      </c>
      <c r="AG434" s="1250" t="s">
        <v>69</v>
      </c>
      <c r="AH434" s="1251" t="s">
        <v>70</v>
      </c>
      <c r="AI434" s="1251" t="s">
        <v>70</v>
      </c>
      <c r="AJ434" s="1250" t="s">
        <v>69</v>
      </c>
      <c r="AK434" s="1254" t="s">
        <v>69</v>
      </c>
      <c r="AL434" s="1"/>
      <c r="AM434" s="1"/>
      <c r="AN434" s="1"/>
      <c r="AO434" s="1"/>
      <c r="AP434" s="1"/>
      <c r="AQ434" s="1"/>
      <c r="AR434" s="1"/>
      <c r="AS434" s="1"/>
      <c r="AT434" s="1"/>
      <c r="AU434" s="1"/>
      <c r="AV434" s="1"/>
      <c r="AW434" s="1"/>
      <c r="AX434" s="1"/>
      <c r="AY434" s="1"/>
      <c r="AZ434" s="1"/>
      <c r="BA434" s="1"/>
      <c r="BB434" s="1"/>
      <c r="BC434" s="1"/>
      <c r="BD434" s="1"/>
      <c r="BE434" s="1135"/>
      <c r="BF434" s="1135"/>
      <c r="BG434" s="1135"/>
      <c r="BH434" s="1135"/>
      <c r="BI434" s="1135"/>
      <c r="BJ434" s="1135"/>
      <c r="BK434" s="1135"/>
      <c r="BL434" s="1135"/>
    </row>
    <row r="435">
      <c r="A435" s="901"/>
      <c r="B435" s="1255" t="s">
        <v>1280</v>
      </c>
      <c r="C435" s="1255" t="s">
        <v>21</v>
      </c>
      <c r="D435" s="1256" t="s">
        <v>70</v>
      </c>
      <c r="E435" s="1257" t="s">
        <v>69</v>
      </c>
      <c r="F435" s="1258" t="s">
        <v>70</v>
      </c>
      <c r="G435" s="1257" t="s">
        <v>69</v>
      </c>
      <c r="H435" s="1258" t="s">
        <v>70</v>
      </c>
      <c r="I435" s="1257" t="s">
        <v>69</v>
      </c>
      <c r="J435" s="1257" t="s">
        <v>69</v>
      </c>
      <c r="K435" s="1257" t="s">
        <v>69</v>
      </c>
      <c r="L435" s="1259" t="s">
        <v>99</v>
      </c>
      <c r="M435" s="1257" t="s">
        <v>69</v>
      </c>
      <c r="N435" s="1258" t="s">
        <v>70</v>
      </c>
      <c r="O435" s="1258" t="s">
        <v>70</v>
      </c>
      <c r="P435" s="1258"/>
      <c r="Q435" s="1258" t="s">
        <v>70</v>
      </c>
      <c r="R435" s="1259" t="s">
        <v>99</v>
      </c>
      <c r="S435" s="1259" t="s">
        <v>99</v>
      </c>
      <c r="T435" s="1257" t="s">
        <v>69</v>
      </c>
      <c r="U435" s="1257" t="s">
        <v>69</v>
      </c>
      <c r="V435" s="1257" t="s">
        <v>69</v>
      </c>
      <c r="W435" s="1258" t="s">
        <v>70</v>
      </c>
      <c r="X435" s="1257" t="s">
        <v>69</v>
      </c>
      <c r="Y435" s="1257" t="s">
        <v>69</v>
      </c>
      <c r="Z435" s="1258" t="s">
        <v>70</v>
      </c>
      <c r="AA435" s="1258" t="s">
        <v>70</v>
      </c>
      <c r="AB435" s="1258" t="s">
        <v>70</v>
      </c>
      <c r="AC435" s="1258" t="s">
        <v>70</v>
      </c>
      <c r="AD435" s="1257" t="s">
        <v>69</v>
      </c>
      <c r="AE435" s="1258" t="s">
        <v>70</v>
      </c>
      <c r="AF435" s="1257" t="s">
        <v>69</v>
      </c>
      <c r="AG435" s="1257" t="s">
        <v>69</v>
      </c>
      <c r="AH435" s="1258" t="s">
        <v>70</v>
      </c>
      <c r="AI435" s="1258" t="s">
        <v>70</v>
      </c>
      <c r="AJ435" s="1258" t="s">
        <v>70</v>
      </c>
      <c r="AK435" s="1260" t="s">
        <v>69</v>
      </c>
      <c r="AL435" s="1040"/>
      <c r="AM435" s="1"/>
      <c r="AN435" s="1"/>
      <c r="AO435" s="1"/>
      <c r="AP435" s="1"/>
      <c r="AQ435" s="1"/>
      <c r="AR435" s="1"/>
      <c r="AS435" s="1"/>
      <c r="AT435" s="1"/>
      <c r="AU435" s="1"/>
      <c r="AV435" s="1"/>
      <c r="AW435" s="1"/>
      <c r="AX435" s="1"/>
      <c r="AY435" s="1"/>
      <c r="AZ435" s="1"/>
      <c r="BA435" s="1"/>
      <c r="BB435" s="1"/>
      <c r="BC435" s="1"/>
      <c r="BD435" s="1"/>
      <c r="BE435" s="1135"/>
      <c r="BF435" s="1135"/>
      <c r="BG435" s="1135"/>
      <c r="BH435" s="1135"/>
      <c r="BI435" s="1135"/>
      <c r="BJ435" s="1135"/>
      <c r="BK435" s="1135"/>
      <c r="BL435" s="1135"/>
    </row>
    <row r="436">
      <c r="A436" s="901"/>
      <c r="B436" s="1255" t="s">
        <v>1262</v>
      </c>
      <c r="C436" s="1255" t="s">
        <v>21</v>
      </c>
      <c r="D436" s="1256" t="s">
        <v>70</v>
      </c>
      <c r="E436" s="1257" t="s">
        <v>69</v>
      </c>
      <c r="F436" s="1258" t="s">
        <v>70</v>
      </c>
      <c r="G436" s="1257" t="s">
        <v>69</v>
      </c>
      <c r="H436" s="1257" t="s">
        <v>69</v>
      </c>
      <c r="I436" s="1257" t="s">
        <v>69</v>
      </c>
      <c r="J436" s="1257" t="s">
        <v>69</v>
      </c>
      <c r="K436" s="1258" t="s">
        <v>70</v>
      </c>
      <c r="L436" s="1257" t="s">
        <v>69</v>
      </c>
      <c r="M436" s="1257" t="s">
        <v>69</v>
      </c>
      <c r="N436" s="1257" t="s">
        <v>69</v>
      </c>
      <c r="O436" s="1258" t="s">
        <v>70</v>
      </c>
      <c r="P436" s="1258"/>
      <c r="Q436" s="1258" t="s">
        <v>70</v>
      </c>
      <c r="R436" s="1257" t="s">
        <v>69</v>
      </c>
      <c r="S436" s="1257" t="s">
        <v>69</v>
      </c>
      <c r="T436" s="1257" t="s">
        <v>69</v>
      </c>
      <c r="U436" s="1257" t="s">
        <v>69</v>
      </c>
      <c r="V436" s="1257" t="s">
        <v>69</v>
      </c>
      <c r="W436" s="1258" t="s">
        <v>70</v>
      </c>
      <c r="X436" s="1257" t="s">
        <v>69</v>
      </c>
      <c r="Y436" s="1257" t="s">
        <v>69</v>
      </c>
      <c r="Z436" s="1258" t="s">
        <v>70</v>
      </c>
      <c r="AA436" s="1258" t="s">
        <v>70</v>
      </c>
      <c r="AB436" s="1258" t="s">
        <v>70</v>
      </c>
      <c r="AC436" s="1258" t="s">
        <v>70</v>
      </c>
      <c r="AD436" s="1257" t="s">
        <v>69</v>
      </c>
      <c r="AE436" s="1257" t="s">
        <v>69</v>
      </c>
      <c r="AF436" s="1257" t="s">
        <v>69</v>
      </c>
      <c r="AG436" s="1258" t="s">
        <v>70</v>
      </c>
      <c r="AH436" s="1258" t="s">
        <v>70</v>
      </c>
      <c r="AI436" s="1258" t="s">
        <v>70</v>
      </c>
      <c r="AJ436" s="1258" t="s">
        <v>70</v>
      </c>
      <c r="AK436" s="1260" t="s">
        <v>69</v>
      </c>
      <c r="AL436" s="1040"/>
      <c r="AM436" s="1"/>
      <c r="AN436" s="1"/>
      <c r="AO436" s="1"/>
      <c r="AP436" s="1"/>
      <c r="AQ436" s="1"/>
      <c r="AR436" s="1"/>
      <c r="AS436" s="1"/>
      <c r="AT436" s="1"/>
      <c r="AU436" s="1"/>
      <c r="AV436" s="1"/>
      <c r="AW436" s="1"/>
      <c r="AX436" s="1"/>
      <c r="AY436" s="1"/>
      <c r="AZ436" s="1"/>
      <c r="BA436" s="1"/>
      <c r="BB436" s="1"/>
      <c r="BC436" s="1"/>
      <c r="BD436" s="1"/>
      <c r="BE436" s="1135"/>
      <c r="BF436" s="1135"/>
      <c r="BG436" s="1135"/>
      <c r="BH436" s="1135"/>
      <c r="BI436" s="1135"/>
      <c r="BJ436" s="1135"/>
      <c r="BK436" s="1135"/>
      <c r="BL436" s="1135"/>
    </row>
    <row r="437">
      <c r="A437" s="901"/>
      <c r="B437" s="1255" t="s">
        <v>1274</v>
      </c>
      <c r="C437" s="1255" t="s">
        <v>21</v>
      </c>
      <c r="D437" s="1261" t="s">
        <v>70</v>
      </c>
      <c r="E437" s="1262" t="s">
        <v>69</v>
      </c>
      <c r="F437" s="1263" t="s">
        <v>70</v>
      </c>
      <c r="G437" s="1262" t="s">
        <v>69</v>
      </c>
      <c r="H437" s="1263" t="s">
        <v>70</v>
      </c>
      <c r="I437" s="1262" t="s">
        <v>69</v>
      </c>
      <c r="J437" s="1262" t="s">
        <v>69</v>
      </c>
      <c r="K437" s="1263" t="s">
        <v>70</v>
      </c>
      <c r="L437" s="1262" t="s">
        <v>69</v>
      </c>
      <c r="M437" s="1262" t="s">
        <v>69</v>
      </c>
      <c r="N437" s="1262" t="s">
        <v>69</v>
      </c>
      <c r="O437" s="1263" t="s">
        <v>70</v>
      </c>
      <c r="P437" s="1263"/>
      <c r="Q437" s="1263" t="s">
        <v>70</v>
      </c>
      <c r="R437" s="1262" t="s">
        <v>69</v>
      </c>
      <c r="S437" s="1262" t="s">
        <v>69</v>
      </c>
      <c r="T437" s="1262" t="s">
        <v>69</v>
      </c>
      <c r="U437" s="1262" t="s">
        <v>69</v>
      </c>
      <c r="V437" s="1262" t="s">
        <v>69</v>
      </c>
      <c r="W437" s="1263" t="s">
        <v>70</v>
      </c>
      <c r="X437" s="1263" t="s">
        <v>70</v>
      </c>
      <c r="Y437" s="1262" t="s">
        <v>69</v>
      </c>
      <c r="Z437" s="1263" t="s">
        <v>70</v>
      </c>
      <c r="AA437" s="1263" t="s">
        <v>70</v>
      </c>
      <c r="AB437" s="1263" t="s">
        <v>70</v>
      </c>
      <c r="AC437" s="1263" t="s">
        <v>70</v>
      </c>
      <c r="AD437" s="1262" t="s">
        <v>69</v>
      </c>
      <c r="AE437" s="1262" t="s">
        <v>69</v>
      </c>
      <c r="AF437" s="1262" t="s">
        <v>69</v>
      </c>
      <c r="AG437" s="1262" t="s">
        <v>69</v>
      </c>
      <c r="AH437" s="1263" t="s">
        <v>70</v>
      </c>
      <c r="AI437" s="1263" t="s">
        <v>70</v>
      </c>
      <c r="AJ437" s="1263" t="s">
        <v>70</v>
      </c>
      <c r="AK437" s="1264" t="s">
        <v>69</v>
      </c>
      <c r="AL437" s="1040"/>
      <c r="AM437" s="1"/>
      <c r="AN437" s="1"/>
      <c r="AO437" s="1"/>
      <c r="AP437" s="1"/>
      <c r="AQ437" s="1"/>
      <c r="AR437" s="1"/>
      <c r="AS437" s="1"/>
      <c r="AT437" s="1"/>
      <c r="AU437" s="1"/>
      <c r="AV437" s="1"/>
      <c r="AW437" s="1"/>
      <c r="AX437" s="1"/>
      <c r="AY437" s="1"/>
      <c r="AZ437" s="1"/>
      <c r="BA437" s="1"/>
      <c r="BB437" s="1"/>
      <c r="BC437" s="1"/>
      <c r="BD437" s="1"/>
      <c r="BE437" s="1135"/>
      <c r="BF437" s="1135"/>
      <c r="BG437" s="1135"/>
      <c r="BH437" s="1135"/>
      <c r="BI437" s="1135"/>
      <c r="BJ437" s="1135"/>
      <c r="BK437" s="1135"/>
      <c r="BL437" s="1135"/>
    </row>
    <row r="438">
      <c r="A438" s="901"/>
      <c r="B438" s="1265" t="s">
        <v>1267</v>
      </c>
      <c r="C438" s="1265" t="s">
        <v>200</v>
      </c>
      <c r="D438" s="1261" t="s">
        <v>70</v>
      </c>
      <c r="E438" s="1262" t="s">
        <v>69</v>
      </c>
      <c r="F438" s="1262" t="s">
        <v>69</v>
      </c>
      <c r="G438" s="1262" t="s">
        <v>69</v>
      </c>
      <c r="H438" s="1262" t="s">
        <v>69</v>
      </c>
      <c r="I438" s="1262" t="s">
        <v>69</v>
      </c>
      <c r="J438" s="1262" t="s">
        <v>69</v>
      </c>
      <c r="K438" s="1262" t="s">
        <v>69</v>
      </c>
      <c r="L438" s="1262" t="s">
        <v>69</v>
      </c>
      <c r="M438" s="1262" t="s">
        <v>69</v>
      </c>
      <c r="N438" s="1262" t="s">
        <v>69</v>
      </c>
      <c r="O438" s="1263" t="s">
        <v>70</v>
      </c>
      <c r="P438" s="1263"/>
      <c r="Q438" s="1263" t="s">
        <v>70</v>
      </c>
      <c r="R438" s="1262" t="s">
        <v>69</v>
      </c>
      <c r="S438" s="1262" t="s">
        <v>69</v>
      </c>
      <c r="T438" s="1262" t="s">
        <v>69</v>
      </c>
      <c r="U438" s="1262" t="s">
        <v>69</v>
      </c>
      <c r="V438" s="1262" t="s">
        <v>69</v>
      </c>
      <c r="W438" s="1263" t="s">
        <v>70</v>
      </c>
      <c r="X438" s="1263" t="s">
        <v>70</v>
      </c>
      <c r="Y438" s="1262" t="s">
        <v>69</v>
      </c>
      <c r="Z438" s="1262" t="s">
        <v>69</v>
      </c>
      <c r="AA438" s="1263" t="s">
        <v>70</v>
      </c>
      <c r="AB438" s="1258" t="s">
        <v>70</v>
      </c>
      <c r="AC438" s="1258" t="s">
        <v>70</v>
      </c>
      <c r="AD438" s="1257" t="s">
        <v>69</v>
      </c>
      <c r="AE438" s="1258" t="s">
        <v>70</v>
      </c>
      <c r="AF438" s="1257" t="s">
        <v>69</v>
      </c>
      <c r="AG438" s="1257" t="s">
        <v>69</v>
      </c>
      <c r="AH438" s="1258" t="s">
        <v>70</v>
      </c>
      <c r="AI438" s="1258" t="s">
        <v>70</v>
      </c>
      <c r="AJ438" s="1258" t="s">
        <v>70</v>
      </c>
      <c r="AK438" s="1260" t="s">
        <v>69</v>
      </c>
      <c r="AL438" s="1040"/>
      <c r="AM438" s="1"/>
      <c r="AN438" s="1"/>
      <c r="AO438" s="1"/>
      <c r="AP438" s="1"/>
      <c r="AQ438" s="1"/>
      <c r="AR438" s="1"/>
      <c r="AS438" s="1"/>
      <c r="AT438" s="1"/>
      <c r="AU438" s="1"/>
      <c r="AV438" s="1"/>
      <c r="AW438" s="1"/>
      <c r="AX438" s="1"/>
      <c r="AY438" s="1"/>
      <c r="AZ438" s="1"/>
      <c r="BA438" s="1"/>
      <c r="BB438" s="1"/>
      <c r="BC438" s="1"/>
      <c r="BD438" s="1"/>
      <c r="BE438" s="1135"/>
      <c r="BF438" s="1135"/>
      <c r="BG438" s="1135"/>
      <c r="BH438" s="1135"/>
      <c r="BI438" s="1135"/>
      <c r="BJ438" s="1135"/>
      <c r="BK438" s="1135"/>
      <c r="BL438" s="1135"/>
    </row>
    <row r="439">
      <c r="A439" s="901"/>
      <c r="B439" s="1266" t="s">
        <v>1246</v>
      </c>
      <c r="C439" s="1266" t="s">
        <v>200</v>
      </c>
      <c r="D439" s="122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c r="AA439" s="109"/>
      <c r="AB439" s="1263" t="s">
        <v>70</v>
      </c>
      <c r="AC439" s="1263" t="s">
        <v>70</v>
      </c>
      <c r="AD439" s="1263" t="s">
        <v>70</v>
      </c>
      <c r="AE439" s="1263" t="s">
        <v>70</v>
      </c>
      <c r="AF439" s="1262" t="s">
        <v>69</v>
      </c>
      <c r="AG439" s="1262" t="s">
        <v>69</v>
      </c>
      <c r="AH439" s="1263" t="s">
        <v>70</v>
      </c>
      <c r="AI439" s="1263" t="s">
        <v>70</v>
      </c>
      <c r="AJ439" s="1263" t="s">
        <v>70</v>
      </c>
      <c r="AK439" s="1264" t="s">
        <v>69</v>
      </c>
      <c r="AL439" s="1040"/>
      <c r="AM439" s="1"/>
      <c r="AN439" s="1"/>
      <c r="AO439" s="1"/>
      <c r="AP439" s="1"/>
      <c r="AQ439" s="1"/>
      <c r="AR439" s="1"/>
      <c r="AS439" s="1"/>
      <c r="AT439" s="1"/>
      <c r="AU439" s="1"/>
      <c r="AV439" s="1"/>
      <c r="AW439" s="1"/>
      <c r="AX439" s="1"/>
      <c r="AY439" s="1"/>
      <c r="AZ439" s="1"/>
      <c r="BA439" s="1"/>
      <c r="BB439" s="1"/>
      <c r="BC439" s="1"/>
      <c r="BD439" s="1"/>
      <c r="BE439" s="1135"/>
      <c r="BF439" s="1135"/>
      <c r="BG439" s="1135"/>
      <c r="BH439" s="1135"/>
      <c r="BI439" s="1135"/>
      <c r="BJ439" s="1135"/>
      <c r="BK439" s="1135"/>
      <c r="BL439" s="1135"/>
    </row>
    <row r="440">
      <c r="A440" s="901"/>
      <c r="B440" s="1267" t="s">
        <v>1293</v>
      </c>
      <c r="C440" s="1267" t="s">
        <v>200</v>
      </c>
      <c r="D440" s="1256" t="s">
        <v>70</v>
      </c>
      <c r="E440" s="1257" t="s">
        <v>69</v>
      </c>
      <c r="F440" s="1257" t="s">
        <v>69</v>
      </c>
      <c r="G440" s="1257" t="s">
        <v>69</v>
      </c>
      <c r="H440" s="1257" t="s">
        <v>69</v>
      </c>
      <c r="I440" s="1257" t="s">
        <v>69</v>
      </c>
      <c r="J440" s="1257" t="s">
        <v>69</v>
      </c>
      <c r="K440" s="1257" t="s">
        <v>69</v>
      </c>
      <c r="L440" s="1257" t="s">
        <v>69</v>
      </c>
      <c r="M440" s="1257" t="s">
        <v>69</v>
      </c>
      <c r="N440" s="1258" t="s">
        <v>70</v>
      </c>
      <c r="O440" s="1258" t="s">
        <v>70</v>
      </c>
      <c r="P440" s="1258"/>
      <c r="Q440" s="1258" t="s">
        <v>70</v>
      </c>
      <c r="R440" s="1257" t="s">
        <v>69</v>
      </c>
      <c r="S440" s="1257" t="s">
        <v>69</v>
      </c>
      <c r="T440" s="1257" t="s">
        <v>69</v>
      </c>
      <c r="U440" s="1257" t="s">
        <v>69</v>
      </c>
      <c r="V440" s="1257" t="s">
        <v>69</v>
      </c>
      <c r="W440" s="1258" t="s">
        <v>70</v>
      </c>
      <c r="X440" s="1258" t="s">
        <v>70</v>
      </c>
      <c r="Y440" s="1257" t="s">
        <v>69</v>
      </c>
      <c r="Z440" s="1257" t="s">
        <v>69</v>
      </c>
      <c r="AA440" s="1258" t="s">
        <v>70</v>
      </c>
      <c r="AB440" s="1268"/>
      <c r="AC440" s="1077"/>
      <c r="AD440" s="1077"/>
      <c r="AE440" s="1077"/>
      <c r="AF440" s="1077"/>
      <c r="AG440" s="1077"/>
      <c r="AH440" s="1077"/>
      <c r="AI440" s="1077"/>
      <c r="AJ440" s="1077"/>
      <c r="AK440" s="1107"/>
      <c r="AL440" s="1269"/>
      <c r="AM440" s="1270"/>
      <c r="AN440" s="1270"/>
      <c r="AO440" s="1270"/>
      <c r="AP440" s="1270"/>
      <c r="AQ440" s="1270"/>
      <c r="AR440" s="1270"/>
      <c r="AS440" s="1270"/>
      <c r="AT440" s="1270"/>
      <c r="AU440" s="1270"/>
      <c r="AV440" s="1270"/>
      <c r="AW440" s="1270"/>
      <c r="AX440" s="1270"/>
      <c r="AY440" s="1270"/>
      <c r="AZ440" s="1"/>
      <c r="BA440" s="1"/>
      <c r="BB440" s="1"/>
      <c r="BC440" s="1"/>
      <c r="BD440" s="1"/>
      <c r="BE440" s="1135"/>
      <c r="BF440" s="1135"/>
      <c r="BG440" s="1135"/>
      <c r="BH440" s="1135"/>
      <c r="BI440" s="1135"/>
      <c r="BJ440" s="1135"/>
      <c r="BK440" s="1135"/>
      <c r="BL440" s="1135"/>
    </row>
    <row r="441">
      <c r="A441" s="901"/>
      <c r="B441" s="1267" t="s">
        <v>66</v>
      </c>
      <c r="C441" s="1267" t="s">
        <v>200</v>
      </c>
      <c r="D441" s="1256" t="s">
        <v>70</v>
      </c>
      <c r="E441" s="1257" t="s">
        <v>69</v>
      </c>
      <c r="F441" s="1258" t="s">
        <v>70</v>
      </c>
      <c r="G441" s="1257" t="s">
        <v>69</v>
      </c>
      <c r="H441" s="1257" t="s">
        <v>69</v>
      </c>
      <c r="I441" s="1259" t="s">
        <v>99</v>
      </c>
      <c r="J441" s="1257" t="s">
        <v>69</v>
      </c>
      <c r="K441" s="1258" t="s">
        <v>70</v>
      </c>
      <c r="L441" s="1257" t="s">
        <v>69</v>
      </c>
      <c r="M441" s="1257" t="s">
        <v>69</v>
      </c>
      <c r="N441" s="1257" t="s">
        <v>69</v>
      </c>
      <c r="O441" s="1258" t="s">
        <v>70</v>
      </c>
      <c r="P441" s="1258"/>
      <c r="Q441" s="1259" t="s">
        <v>99</v>
      </c>
      <c r="R441" s="1259" t="s">
        <v>99</v>
      </c>
      <c r="S441" s="1257" t="s">
        <v>69</v>
      </c>
      <c r="T441" s="1257" t="s">
        <v>69</v>
      </c>
      <c r="U441" s="1257" t="s">
        <v>69</v>
      </c>
      <c r="V441" s="1257" t="s">
        <v>69</v>
      </c>
      <c r="W441" s="1257" t="s">
        <v>69</v>
      </c>
      <c r="X441" s="1259" t="s">
        <v>99</v>
      </c>
      <c r="Y441" s="1260" t="s">
        <v>69</v>
      </c>
      <c r="Z441" s="1271"/>
      <c r="AK441" s="1052"/>
      <c r="AL441" s="1269"/>
      <c r="AM441" s="1270"/>
      <c r="AN441" s="1270"/>
      <c r="AO441" s="1270"/>
      <c r="AP441" s="1270"/>
      <c r="AQ441" s="1270"/>
      <c r="AR441" s="1270"/>
      <c r="AS441" s="1270"/>
      <c r="AT441" s="1270"/>
      <c r="AU441" s="1270"/>
      <c r="AV441" s="1270"/>
      <c r="AW441" s="1270"/>
      <c r="AX441" s="1270"/>
      <c r="AY441" s="1270"/>
      <c r="AZ441" s="1"/>
      <c r="BA441" s="1"/>
      <c r="BB441" s="1"/>
      <c r="BC441" s="1"/>
      <c r="BD441" s="1"/>
      <c r="BE441" s="1135"/>
      <c r="BF441" s="1135"/>
      <c r="BG441" s="1135"/>
      <c r="BH441" s="1135"/>
      <c r="BI441" s="1135"/>
      <c r="BJ441" s="1135"/>
      <c r="BK441" s="1135"/>
      <c r="BL441" s="1135"/>
    </row>
    <row r="442">
      <c r="A442" s="901"/>
      <c r="B442" s="1267" t="s">
        <v>1289</v>
      </c>
      <c r="C442" s="1267" t="s">
        <v>200</v>
      </c>
      <c r="D442" s="1256" t="s">
        <v>70</v>
      </c>
      <c r="E442" s="1257" t="s">
        <v>69</v>
      </c>
      <c r="F442" s="1258" t="s">
        <v>70</v>
      </c>
      <c r="G442" s="1257" t="s">
        <v>69</v>
      </c>
      <c r="H442" s="1257" t="s">
        <v>69</v>
      </c>
      <c r="I442" s="1257" t="s">
        <v>69</v>
      </c>
      <c r="J442" s="1257" t="s">
        <v>69</v>
      </c>
      <c r="K442" s="1257" t="s">
        <v>69</v>
      </c>
      <c r="L442" s="1257" t="s">
        <v>69</v>
      </c>
      <c r="M442" s="1257" t="s">
        <v>69</v>
      </c>
      <c r="N442" s="1257" t="s">
        <v>69</v>
      </c>
      <c r="O442" s="1258" t="s">
        <v>70</v>
      </c>
      <c r="P442" s="1258"/>
      <c r="Q442" s="1258" t="s">
        <v>70</v>
      </c>
      <c r="R442" s="1257" t="s">
        <v>69</v>
      </c>
      <c r="S442" s="1257" t="s">
        <v>69</v>
      </c>
      <c r="T442" s="1257" t="s">
        <v>69</v>
      </c>
      <c r="U442" s="1257" t="s">
        <v>69</v>
      </c>
      <c r="V442" s="1257" t="s">
        <v>69</v>
      </c>
      <c r="W442" s="1257" t="s">
        <v>69</v>
      </c>
      <c r="X442" s="1257" t="s">
        <v>69</v>
      </c>
      <c r="Y442" s="1260" t="s">
        <v>69</v>
      </c>
      <c r="Z442" s="114"/>
      <c r="AK442" s="1052"/>
      <c r="AL442" s="1269"/>
      <c r="AM442" s="1270"/>
      <c r="AN442" s="1270"/>
      <c r="AO442" s="1270"/>
      <c r="AP442" s="1270"/>
      <c r="AQ442" s="1270"/>
      <c r="AR442" s="1270"/>
      <c r="AS442" s="1270"/>
      <c r="AT442" s="1270"/>
      <c r="AU442" s="1270"/>
      <c r="AV442" s="1270"/>
      <c r="AW442" s="1270"/>
      <c r="AX442" s="1270"/>
      <c r="AY442" s="1270"/>
      <c r="AZ442" s="1"/>
      <c r="BA442" s="1"/>
      <c r="BB442" s="1"/>
      <c r="BC442" s="1"/>
      <c r="BD442" s="1"/>
      <c r="BE442" s="1135"/>
      <c r="BF442" s="1135"/>
      <c r="BG442" s="1135"/>
      <c r="BH442" s="1135"/>
      <c r="BI442" s="1135"/>
      <c r="BJ442" s="1135"/>
      <c r="BK442" s="1135"/>
      <c r="BL442" s="1135"/>
    </row>
    <row r="443">
      <c r="A443" s="901"/>
      <c r="B443" s="1267" t="s">
        <v>1288</v>
      </c>
      <c r="C443" s="1267" t="s">
        <v>200</v>
      </c>
      <c r="D443" s="1256" t="s">
        <v>70</v>
      </c>
      <c r="E443" s="1257" t="s">
        <v>69</v>
      </c>
      <c r="F443" s="1258" t="s">
        <v>70</v>
      </c>
      <c r="G443" s="1257" t="s">
        <v>69</v>
      </c>
      <c r="H443" s="1257" t="s">
        <v>69</v>
      </c>
      <c r="I443" s="1257" t="s">
        <v>69</v>
      </c>
      <c r="J443" s="1257" t="s">
        <v>69</v>
      </c>
      <c r="K443" s="1258" t="s">
        <v>70</v>
      </c>
      <c r="L443" s="1258" t="s">
        <v>70</v>
      </c>
      <c r="M443" s="1257" t="s">
        <v>69</v>
      </c>
      <c r="N443" s="1257" t="s">
        <v>69</v>
      </c>
      <c r="O443" s="1258" t="s">
        <v>70</v>
      </c>
      <c r="P443" s="1258"/>
      <c r="Q443" s="1258" t="s">
        <v>70</v>
      </c>
      <c r="R443" s="1257" t="s">
        <v>69</v>
      </c>
      <c r="S443" s="1257" t="s">
        <v>69</v>
      </c>
      <c r="T443" s="1257" t="s">
        <v>69</v>
      </c>
      <c r="U443" s="1257" t="s">
        <v>69</v>
      </c>
      <c r="V443" s="1257" t="s">
        <v>69</v>
      </c>
      <c r="W443" s="1257" t="s">
        <v>69</v>
      </c>
      <c r="X443" s="1257" t="s">
        <v>69</v>
      </c>
      <c r="Y443" s="1260" t="s">
        <v>69</v>
      </c>
      <c r="Z443" s="124"/>
      <c r="AA443" s="65"/>
      <c r="AB443" s="65"/>
      <c r="AC443" s="65"/>
      <c r="AD443" s="65"/>
      <c r="AE443" s="65"/>
      <c r="AF443" s="65"/>
      <c r="AG443" s="65"/>
      <c r="AH443" s="65"/>
      <c r="AI443" s="65"/>
      <c r="AJ443" s="65"/>
      <c r="AK443" s="1272"/>
      <c r="AL443" s="1269"/>
      <c r="AM443" s="1270"/>
      <c r="AN443" s="1270"/>
      <c r="AO443" s="1270"/>
      <c r="AP443" s="1270"/>
      <c r="AQ443" s="1270"/>
      <c r="AR443" s="1270"/>
      <c r="AS443" s="1270"/>
      <c r="AT443" s="1270"/>
      <c r="AU443" s="1270"/>
      <c r="AV443" s="1270"/>
      <c r="AW443" s="1270"/>
      <c r="AX443" s="1270"/>
      <c r="AY443" s="1270"/>
      <c r="AZ443" s="1"/>
      <c r="BA443" s="1"/>
      <c r="BB443" s="1"/>
      <c r="BC443" s="1"/>
      <c r="BD443" s="1"/>
      <c r="BE443" s="1135"/>
      <c r="BF443" s="1135"/>
      <c r="BG443" s="1135"/>
      <c r="BH443" s="1135"/>
      <c r="BI443" s="1135"/>
      <c r="BJ443" s="1135"/>
      <c r="BK443" s="1135"/>
      <c r="BL443" s="1135"/>
    </row>
    <row r="444">
      <c r="A444" s="901"/>
      <c r="B444" s="1162" t="s">
        <v>1188</v>
      </c>
      <c r="C444" s="1162" t="s">
        <v>263</v>
      </c>
      <c r="D444" s="1249" t="s">
        <v>70</v>
      </c>
      <c r="E444" s="1250" t="s">
        <v>69</v>
      </c>
      <c r="F444" s="1251" t="s">
        <v>70</v>
      </c>
      <c r="G444" s="1250" t="s">
        <v>69</v>
      </c>
      <c r="H444" s="1250" t="s">
        <v>69</v>
      </c>
      <c r="I444" s="1250" t="s">
        <v>69</v>
      </c>
      <c r="J444" s="1250" t="s">
        <v>69</v>
      </c>
      <c r="K444" s="1252" t="s">
        <v>99</v>
      </c>
      <c r="L444" s="1252" t="s">
        <v>99</v>
      </c>
      <c r="M444" s="1250" t="s">
        <v>69</v>
      </c>
      <c r="N444" s="1250" t="s">
        <v>69</v>
      </c>
      <c r="O444" s="1251" t="s">
        <v>70</v>
      </c>
      <c r="P444" s="1251"/>
      <c r="Q444" s="1251" t="s">
        <v>70</v>
      </c>
      <c r="R444" s="1250" t="s">
        <v>69</v>
      </c>
      <c r="S444" s="1251" t="s">
        <v>70</v>
      </c>
      <c r="T444" s="1250" t="s">
        <v>69</v>
      </c>
      <c r="U444" s="1250" t="s">
        <v>69</v>
      </c>
      <c r="V444" s="1250" t="s">
        <v>69</v>
      </c>
      <c r="W444" s="1250" t="s">
        <v>69</v>
      </c>
      <c r="X444" s="1250" t="s">
        <v>69</v>
      </c>
      <c r="Y444" s="1252" t="s">
        <v>99</v>
      </c>
      <c r="Z444" s="1250" t="s">
        <v>69</v>
      </c>
      <c r="AA444" s="1251" t="s">
        <v>70</v>
      </c>
      <c r="AB444" s="1250" t="s">
        <v>69</v>
      </c>
      <c r="AC444" s="1257" t="s">
        <v>69</v>
      </c>
      <c r="AD444" s="1257" t="s">
        <v>69</v>
      </c>
      <c r="AE444" s="1258" t="s">
        <v>70</v>
      </c>
      <c r="AF444" s="1257" t="s">
        <v>69</v>
      </c>
      <c r="AG444" s="1258" t="s">
        <v>70</v>
      </c>
      <c r="AH444" s="1258" t="s">
        <v>70</v>
      </c>
      <c r="AI444" s="1258" t="s">
        <v>70</v>
      </c>
      <c r="AJ444" s="1258" t="s">
        <v>70</v>
      </c>
      <c r="AK444" s="1260" t="s">
        <v>69</v>
      </c>
      <c r="AL444" s="1040"/>
      <c r="AM444" s="1"/>
      <c r="AN444" s="1"/>
      <c r="AO444" s="1"/>
      <c r="AP444" s="1"/>
      <c r="AQ444" s="1"/>
      <c r="AR444" s="1"/>
      <c r="AS444" s="1"/>
      <c r="AT444" s="1"/>
      <c r="AU444" s="1"/>
      <c r="AV444" s="1"/>
      <c r="AW444" s="1"/>
      <c r="AX444" s="1"/>
      <c r="AY444" s="1"/>
      <c r="AZ444" s="1"/>
      <c r="BA444" s="1"/>
      <c r="BB444" s="1"/>
      <c r="BC444" s="1"/>
      <c r="BD444" s="1"/>
      <c r="BE444" s="1135"/>
      <c r="BF444" s="1135"/>
      <c r="BG444" s="1135"/>
      <c r="BH444" s="1135"/>
      <c r="BI444" s="1135"/>
      <c r="BJ444" s="1135"/>
      <c r="BK444" s="1135"/>
      <c r="BL444" s="1135"/>
    </row>
    <row r="445">
      <c r="A445" s="901"/>
      <c r="B445" s="1164" t="s">
        <v>1232</v>
      </c>
      <c r="C445" s="1164" t="s">
        <v>263</v>
      </c>
      <c r="D445" s="1256" t="s">
        <v>70</v>
      </c>
      <c r="E445" s="1257" t="s">
        <v>69</v>
      </c>
      <c r="F445" s="1257" t="s">
        <v>69</v>
      </c>
      <c r="G445" s="1257" t="s">
        <v>69</v>
      </c>
      <c r="H445" s="1257" t="s">
        <v>69</v>
      </c>
      <c r="I445" s="1257" t="s">
        <v>69</v>
      </c>
      <c r="J445" s="1257" t="s">
        <v>69</v>
      </c>
      <c r="K445" s="1257" t="s">
        <v>69</v>
      </c>
      <c r="L445" s="1257" t="s">
        <v>69</v>
      </c>
      <c r="M445" s="1257" t="s">
        <v>69</v>
      </c>
      <c r="N445" s="1258" t="s">
        <v>70</v>
      </c>
      <c r="O445" s="1258" t="s">
        <v>70</v>
      </c>
      <c r="P445" s="1258"/>
      <c r="Q445" s="1258" t="s">
        <v>70</v>
      </c>
      <c r="R445" s="1257" t="s">
        <v>69</v>
      </c>
      <c r="S445" s="1257" t="s">
        <v>69</v>
      </c>
      <c r="T445" s="1257" t="s">
        <v>69</v>
      </c>
      <c r="U445" s="1257" t="s">
        <v>69</v>
      </c>
      <c r="V445" s="1257" t="s">
        <v>69</v>
      </c>
      <c r="W445" s="1257" t="s">
        <v>69</v>
      </c>
      <c r="X445" s="1257" t="s">
        <v>69</v>
      </c>
      <c r="Y445" s="1257" t="s">
        <v>69</v>
      </c>
      <c r="Z445" s="1257" t="s">
        <v>69</v>
      </c>
      <c r="AA445" s="1258" t="s">
        <v>70</v>
      </c>
      <c r="AB445" s="1257" t="s">
        <v>69</v>
      </c>
      <c r="AC445" s="1250" t="s">
        <v>69</v>
      </c>
      <c r="AD445" s="1250" t="s">
        <v>69</v>
      </c>
      <c r="AE445" s="1251" t="s">
        <v>70</v>
      </c>
      <c r="AF445" s="1250" t="s">
        <v>69</v>
      </c>
      <c r="AG445" s="1251" t="s">
        <v>70</v>
      </c>
      <c r="AH445" s="1251" t="s">
        <v>70</v>
      </c>
      <c r="AI445" s="1251" t="s">
        <v>70</v>
      </c>
      <c r="AJ445" s="1251" t="s">
        <v>70</v>
      </c>
      <c r="AK445" s="1254" t="s">
        <v>69</v>
      </c>
      <c r="AL445" s="1"/>
      <c r="AM445" s="1"/>
      <c r="AN445" s="1"/>
      <c r="AO445" s="1"/>
      <c r="AP445" s="1"/>
      <c r="AQ445" s="1"/>
      <c r="AR445" s="1"/>
      <c r="AS445" s="1"/>
      <c r="AT445" s="1"/>
      <c r="AU445" s="1"/>
      <c r="AV445" s="1"/>
      <c r="AW445" s="1"/>
      <c r="AX445" s="1"/>
      <c r="AY445" s="1"/>
      <c r="AZ445" s="1"/>
      <c r="BA445" s="1"/>
      <c r="BB445" s="1"/>
      <c r="BC445" s="1"/>
      <c r="BD445" s="1"/>
      <c r="BE445" s="1135"/>
      <c r="BF445" s="1135"/>
      <c r="BG445" s="1135"/>
      <c r="BH445" s="1135"/>
      <c r="BI445" s="1135"/>
      <c r="BJ445" s="1135"/>
      <c r="BK445" s="1135"/>
      <c r="BL445" s="1135"/>
    </row>
    <row r="446">
      <c r="A446" s="901"/>
      <c r="B446" s="1273" t="s">
        <v>132</v>
      </c>
      <c r="C446" s="1273" t="s">
        <v>227</v>
      </c>
      <c r="D446" s="1256" t="s">
        <v>70</v>
      </c>
      <c r="E446" s="1257" t="s">
        <v>69</v>
      </c>
      <c r="F446" s="1258" t="s">
        <v>70</v>
      </c>
      <c r="G446" s="1250" t="s">
        <v>69</v>
      </c>
      <c r="H446" s="1250" t="s">
        <v>69</v>
      </c>
      <c r="I446" s="1250" t="s">
        <v>69</v>
      </c>
      <c r="J446" s="1250" t="s">
        <v>69</v>
      </c>
      <c r="K446" s="1251" t="s">
        <v>70</v>
      </c>
      <c r="L446" s="1250" t="s">
        <v>69</v>
      </c>
      <c r="M446" s="1250" t="s">
        <v>69</v>
      </c>
      <c r="N446" s="1250" t="s">
        <v>69</v>
      </c>
      <c r="O446" s="1251" t="s">
        <v>70</v>
      </c>
      <c r="P446" s="1251"/>
      <c r="Q446" s="1251" t="s">
        <v>70</v>
      </c>
      <c r="R446" s="1250" t="s">
        <v>69</v>
      </c>
      <c r="S446" s="1250" t="s">
        <v>69</v>
      </c>
      <c r="T446" s="1250" t="s">
        <v>69</v>
      </c>
      <c r="U446" s="1250" t="s">
        <v>69</v>
      </c>
      <c r="V446" s="1250" t="s">
        <v>69</v>
      </c>
      <c r="W446" s="1250" t="s">
        <v>69</v>
      </c>
      <c r="X446" s="1251" t="s">
        <v>70</v>
      </c>
      <c r="Y446" s="1252" t="s">
        <v>99</v>
      </c>
      <c r="Z446" s="1250" t="s">
        <v>69</v>
      </c>
      <c r="AA446" s="1251" t="s">
        <v>70</v>
      </c>
      <c r="AB446" s="1251" t="s">
        <v>70</v>
      </c>
      <c r="AC446" s="1251" t="s">
        <v>70</v>
      </c>
      <c r="AD446" s="1252" t="s">
        <v>99</v>
      </c>
      <c r="AE446" s="1251" t="s">
        <v>70</v>
      </c>
      <c r="AF446" s="1250" t="s">
        <v>69</v>
      </c>
      <c r="AG446" s="1250" t="s">
        <v>69</v>
      </c>
      <c r="AH446" s="1251" t="s">
        <v>70</v>
      </c>
      <c r="AI446" s="1251" t="s">
        <v>70</v>
      </c>
      <c r="AJ446" s="1251" t="s">
        <v>70</v>
      </c>
      <c r="AK446" s="1254" t="s">
        <v>69</v>
      </c>
      <c r="AL446" s="1"/>
      <c r="AM446" s="1"/>
      <c r="AN446" s="1"/>
      <c r="AO446" s="1"/>
      <c r="AP446" s="1"/>
      <c r="AQ446" s="1"/>
      <c r="AR446" s="1"/>
      <c r="AS446" s="1"/>
      <c r="AT446" s="1"/>
      <c r="AU446" s="1"/>
      <c r="AV446" s="1"/>
      <c r="AW446" s="1"/>
      <c r="AX446" s="1"/>
      <c r="AY446" s="1"/>
      <c r="AZ446" s="1"/>
      <c r="BA446" s="1"/>
      <c r="BB446" s="1"/>
      <c r="BC446" s="1"/>
      <c r="BD446" s="1"/>
      <c r="BE446" s="1135"/>
      <c r="BF446" s="1135"/>
      <c r="BG446" s="1135"/>
      <c r="BH446" s="1135"/>
      <c r="BI446" s="1135"/>
      <c r="BJ446" s="1135"/>
      <c r="BK446" s="1135"/>
      <c r="BL446" s="1135"/>
    </row>
    <row r="447">
      <c r="A447" s="1013"/>
      <c r="B447" s="1274" t="s">
        <v>1243</v>
      </c>
      <c r="C447" s="1274" t="s">
        <v>227</v>
      </c>
      <c r="D447" s="1256" t="s">
        <v>70</v>
      </c>
      <c r="E447" s="1257" t="s">
        <v>69</v>
      </c>
      <c r="F447" s="1258" t="s">
        <v>70</v>
      </c>
      <c r="G447" s="1258" t="s">
        <v>70</v>
      </c>
      <c r="H447" s="1257" t="s">
        <v>69</v>
      </c>
      <c r="I447" s="1257" t="s">
        <v>69</v>
      </c>
      <c r="J447" s="1257" t="s">
        <v>69</v>
      </c>
      <c r="K447" s="1257" t="s">
        <v>69</v>
      </c>
      <c r="L447" s="1258" t="s">
        <v>70</v>
      </c>
      <c r="M447" s="1257" t="s">
        <v>69</v>
      </c>
      <c r="N447" s="1257" t="s">
        <v>69</v>
      </c>
      <c r="O447" s="1258" t="s">
        <v>70</v>
      </c>
      <c r="P447" s="1258"/>
      <c r="Q447" s="1258" t="s">
        <v>70</v>
      </c>
      <c r="R447" s="1257" t="s">
        <v>69</v>
      </c>
      <c r="S447" s="1258" t="s">
        <v>70</v>
      </c>
      <c r="T447" s="1258" t="s">
        <v>70</v>
      </c>
      <c r="U447" s="1257" t="s">
        <v>69</v>
      </c>
      <c r="V447" s="1258" t="s">
        <v>70</v>
      </c>
      <c r="W447" s="1258" t="s">
        <v>70</v>
      </c>
      <c r="X447" s="1258" t="s">
        <v>70</v>
      </c>
      <c r="Y447" s="1258" t="s">
        <v>70</v>
      </c>
      <c r="Z447" s="1257" t="s">
        <v>69</v>
      </c>
      <c r="AA447" s="1258" t="s">
        <v>70</v>
      </c>
      <c r="AB447" s="1258" t="s">
        <v>70</v>
      </c>
      <c r="AC447" s="1258" t="s">
        <v>70</v>
      </c>
      <c r="AD447" s="1258" t="s">
        <v>70</v>
      </c>
      <c r="AE447" s="1258" t="s">
        <v>70</v>
      </c>
      <c r="AF447" s="1257" t="s">
        <v>69</v>
      </c>
      <c r="AG447" s="1258" t="s">
        <v>70</v>
      </c>
      <c r="AH447" s="1258" t="s">
        <v>70</v>
      </c>
      <c r="AI447" s="1258" t="s">
        <v>70</v>
      </c>
      <c r="AJ447" s="1258" t="s">
        <v>70</v>
      </c>
      <c r="AK447" s="1275" t="s">
        <v>70</v>
      </c>
      <c r="AL447" s="1040"/>
      <c r="AM447" s="1"/>
      <c r="AN447" s="1"/>
      <c r="AO447" s="1"/>
      <c r="AP447" s="1"/>
      <c r="AQ447" s="1"/>
      <c r="AR447" s="1"/>
      <c r="AS447" s="1"/>
      <c r="AT447" s="1"/>
      <c r="AU447" s="1"/>
      <c r="AV447" s="1"/>
      <c r="AW447" s="1"/>
      <c r="AX447" s="1"/>
      <c r="AY447" s="1"/>
      <c r="AZ447" s="1"/>
      <c r="BA447" s="1"/>
      <c r="BB447" s="1"/>
      <c r="BC447" s="1"/>
      <c r="BD447" s="1"/>
      <c r="BE447" s="1135"/>
      <c r="BF447" s="1135"/>
      <c r="BG447" s="1135"/>
      <c r="BH447" s="1135"/>
      <c r="BI447" s="1135"/>
      <c r="BJ447" s="1135"/>
      <c r="BK447" s="1135"/>
      <c r="BL447" s="1135"/>
    </row>
    <row r="448">
      <c r="A448" s="1247" t="s">
        <v>1294</v>
      </c>
      <c r="B448" s="1276" t="s">
        <v>1197</v>
      </c>
      <c r="C448" s="1276" t="s">
        <v>177</v>
      </c>
      <c r="D448" s="1256" t="s">
        <v>70</v>
      </c>
      <c r="E448" s="1257" t="s">
        <v>69</v>
      </c>
      <c r="F448" s="1258" t="s">
        <v>70</v>
      </c>
      <c r="G448" s="1257" t="s">
        <v>69</v>
      </c>
      <c r="H448" s="1257" t="s">
        <v>69</v>
      </c>
      <c r="I448" s="1257" t="s">
        <v>69</v>
      </c>
      <c r="J448" s="1258" t="s">
        <v>70</v>
      </c>
      <c r="K448" s="1257" t="s">
        <v>69</v>
      </c>
      <c r="L448" s="1257" t="s">
        <v>69</v>
      </c>
      <c r="M448" s="1258" t="s">
        <v>70</v>
      </c>
      <c r="N448" s="1257" t="s">
        <v>69</v>
      </c>
      <c r="O448" s="1258" t="s">
        <v>70</v>
      </c>
      <c r="P448" s="1258"/>
      <c r="Q448" s="1257" t="s">
        <v>69</v>
      </c>
      <c r="R448" s="1257" t="s">
        <v>69</v>
      </c>
      <c r="S448" s="1257" t="s">
        <v>69</v>
      </c>
      <c r="T448" s="1257" t="s">
        <v>69</v>
      </c>
      <c r="U448" s="1257" t="s">
        <v>69</v>
      </c>
      <c r="V448" s="1257" t="s">
        <v>69</v>
      </c>
      <c r="W448" s="1257" t="s">
        <v>69</v>
      </c>
      <c r="X448" s="1258" t="s">
        <v>70</v>
      </c>
      <c r="Y448" s="1259" t="s">
        <v>99</v>
      </c>
      <c r="Z448" s="1258" t="s">
        <v>70</v>
      </c>
      <c r="AA448" s="1257" t="s">
        <v>69</v>
      </c>
      <c r="AB448" s="1257" t="s">
        <v>69</v>
      </c>
      <c r="AC448" s="1257" t="s">
        <v>69</v>
      </c>
      <c r="AD448" s="1258" t="s">
        <v>70</v>
      </c>
      <c r="AE448" s="1257" t="s">
        <v>69</v>
      </c>
      <c r="AF448" s="1257" t="s">
        <v>69</v>
      </c>
      <c r="AG448" s="1257" t="s">
        <v>69</v>
      </c>
      <c r="AH448" s="1258" t="s">
        <v>70</v>
      </c>
      <c r="AI448" s="1258" t="s">
        <v>70</v>
      </c>
      <c r="AJ448" s="1258" t="s">
        <v>70</v>
      </c>
      <c r="AK448" s="1260" t="s">
        <v>69</v>
      </c>
      <c r="AL448" s="1040"/>
      <c r="AM448" s="1"/>
      <c r="AN448" s="1"/>
      <c r="AO448" s="1"/>
      <c r="AP448" s="1"/>
      <c r="AQ448" s="1"/>
      <c r="AR448" s="1"/>
      <c r="AS448" s="1"/>
      <c r="AT448" s="1"/>
      <c r="AU448" s="1"/>
      <c r="AV448" s="1"/>
      <c r="AW448" s="1"/>
      <c r="AX448" s="1"/>
      <c r="AY448" s="1"/>
      <c r="AZ448" s="1"/>
      <c r="BA448" s="1"/>
      <c r="BB448" s="1"/>
      <c r="BC448" s="1"/>
      <c r="BD448" s="1"/>
      <c r="BE448" s="1135"/>
      <c r="BF448" s="1135"/>
      <c r="BG448" s="1135"/>
      <c r="BH448" s="1135"/>
      <c r="BI448" s="1135"/>
      <c r="BJ448" s="1135"/>
      <c r="BK448" s="1135"/>
      <c r="BL448" s="1135"/>
    </row>
    <row r="449">
      <c r="A449" s="901"/>
      <c r="B449" s="1277" t="s">
        <v>1277</v>
      </c>
      <c r="C449" s="1277" t="s">
        <v>177</v>
      </c>
      <c r="D449" s="1249" t="s">
        <v>70</v>
      </c>
      <c r="E449" s="1250" t="s">
        <v>69</v>
      </c>
      <c r="F449" s="1251" t="s">
        <v>70</v>
      </c>
      <c r="G449" s="1250" t="s">
        <v>69</v>
      </c>
      <c r="H449" s="1250" t="s">
        <v>69</v>
      </c>
      <c r="I449" s="1250" t="s">
        <v>69</v>
      </c>
      <c r="J449" s="1251" t="s">
        <v>70</v>
      </c>
      <c r="K449" s="1250" t="s">
        <v>69</v>
      </c>
      <c r="L449" s="1250" t="s">
        <v>69</v>
      </c>
      <c r="M449" s="1251" t="s">
        <v>70</v>
      </c>
      <c r="N449" s="1250" t="s">
        <v>69</v>
      </c>
      <c r="O449" s="1251" t="s">
        <v>70</v>
      </c>
      <c r="P449" s="1251"/>
      <c r="Q449" s="1250" t="s">
        <v>69</v>
      </c>
      <c r="R449" s="1250" t="s">
        <v>69</v>
      </c>
      <c r="S449" s="1250" t="s">
        <v>69</v>
      </c>
      <c r="T449" s="1251" t="s">
        <v>70</v>
      </c>
      <c r="U449" s="1250" t="s">
        <v>69</v>
      </c>
      <c r="V449" s="1250" t="s">
        <v>69</v>
      </c>
      <c r="W449" s="1257" t="s">
        <v>69</v>
      </c>
      <c r="X449" s="1258" t="s">
        <v>70</v>
      </c>
      <c r="Y449" s="1257" t="s">
        <v>69</v>
      </c>
      <c r="Z449" s="1258" t="s">
        <v>70</v>
      </c>
      <c r="AA449" s="1257" t="s">
        <v>69</v>
      </c>
      <c r="AB449" s="1257" t="s">
        <v>69</v>
      </c>
      <c r="AC449" s="1257" t="s">
        <v>69</v>
      </c>
      <c r="AD449" s="1258" t="s">
        <v>70</v>
      </c>
      <c r="AE449" s="1257" t="s">
        <v>69</v>
      </c>
      <c r="AF449" s="1257" t="s">
        <v>69</v>
      </c>
      <c r="AG449" s="1257" t="s">
        <v>69</v>
      </c>
      <c r="AH449" s="1258" t="s">
        <v>70</v>
      </c>
      <c r="AI449" s="1258" t="s">
        <v>70</v>
      </c>
      <c r="AJ449" s="1258" t="s">
        <v>70</v>
      </c>
      <c r="AK449" s="1260" t="s">
        <v>69</v>
      </c>
      <c r="AL449" s="1040"/>
      <c r="AM449" s="1"/>
      <c r="AN449" s="1"/>
      <c r="AO449" s="1"/>
      <c r="AP449" s="1"/>
      <c r="AQ449" s="1"/>
      <c r="AR449" s="1"/>
      <c r="AS449" s="1"/>
      <c r="AT449" s="1"/>
      <c r="AU449" s="1"/>
      <c r="AV449" s="1"/>
      <c r="AW449" s="1"/>
      <c r="AX449" s="1"/>
      <c r="AY449" s="1"/>
      <c r="AZ449" s="1"/>
      <c r="BA449" s="1"/>
      <c r="BB449" s="1"/>
      <c r="BC449" s="1"/>
      <c r="BD449" s="1"/>
      <c r="BE449" s="1135"/>
      <c r="BF449" s="1135"/>
      <c r="BG449" s="1135"/>
      <c r="BH449" s="1135"/>
      <c r="BI449" s="1135"/>
      <c r="BJ449" s="1135"/>
      <c r="BK449" s="1135"/>
      <c r="BL449" s="1135"/>
    </row>
    <row r="450">
      <c r="A450" s="901"/>
      <c r="B450" s="1277" t="s">
        <v>1257</v>
      </c>
      <c r="C450" s="1277" t="s">
        <v>177</v>
      </c>
      <c r="D450" s="1256" t="s">
        <v>70</v>
      </c>
      <c r="E450" s="1257" t="s">
        <v>69</v>
      </c>
      <c r="F450" s="1258" t="s">
        <v>70</v>
      </c>
      <c r="G450" s="1258" t="s">
        <v>70</v>
      </c>
      <c r="H450" s="1257" t="s">
        <v>69</v>
      </c>
      <c r="I450" s="1257" t="s">
        <v>69</v>
      </c>
      <c r="J450" s="1258" t="s">
        <v>70</v>
      </c>
      <c r="K450" s="1257" t="s">
        <v>69</v>
      </c>
      <c r="L450" s="1257" t="s">
        <v>69</v>
      </c>
      <c r="M450" s="1257" t="s">
        <v>69</v>
      </c>
      <c r="N450" s="1257" t="s">
        <v>69</v>
      </c>
      <c r="O450" s="1258" t="s">
        <v>70</v>
      </c>
      <c r="P450" s="1258"/>
      <c r="Q450" s="1257" t="s">
        <v>69</v>
      </c>
      <c r="R450" s="1257" t="s">
        <v>69</v>
      </c>
      <c r="S450" s="1257" t="s">
        <v>69</v>
      </c>
      <c r="T450" s="1257" t="s">
        <v>69</v>
      </c>
      <c r="U450" s="1257" t="s">
        <v>69</v>
      </c>
      <c r="V450" s="1257" t="s">
        <v>69</v>
      </c>
      <c r="W450" s="1250" t="s">
        <v>69</v>
      </c>
      <c r="X450" s="1251" t="s">
        <v>70</v>
      </c>
      <c r="Y450" s="1251" t="s">
        <v>70</v>
      </c>
      <c r="Z450" s="1251" t="s">
        <v>70</v>
      </c>
      <c r="AA450" s="1250" t="s">
        <v>69</v>
      </c>
      <c r="AB450" s="1250" t="s">
        <v>69</v>
      </c>
      <c r="AC450" s="1250" t="s">
        <v>69</v>
      </c>
      <c r="AD450" s="1251" t="s">
        <v>70</v>
      </c>
      <c r="AE450" s="1250" t="s">
        <v>69</v>
      </c>
      <c r="AF450" s="1251" t="s">
        <v>70</v>
      </c>
      <c r="AG450" s="1250" t="s">
        <v>69</v>
      </c>
      <c r="AH450" s="1251" t="s">
        <v>70</v>
      </c>
      <c r="AI450" s="1251" t="s">
        <v>70</v>
      </c>
      <c r="AJ450" s="1251" t="s">
        <v>70</v>
      </c>
      <c r="AK450" s="1254" t="s">
        <v>69</v>
      </c>
      <c r="AL450" s="1"/>
      <c r="AM450" s="1"/>
      <c r="AN450" s="1"/>
      <c r="AO450" s="1"/>
      <c r="AP450" s="1"/>
      <c r="AQ450" s="1"/>
      <c r="AR450" s="1"/>
      <c r="AS450" s="1"/>
      <c r="AT450" s="1"/>
      <c r="AU450" s="1"/>
      <c r="AV450" s="1"/>
      <c r="AW450" s="1"/>
      <c r="AX450" s="1"/>
      <c r="AY450" s="1"/>
      <c r="AZ450" s="1"/>
      <c r="BA450" s="1"/>
      <c r="BB450" s="1"/>
      <c r="BC450" s="1"/>
      <c r="BD450" s="1"/>
      <c r="BE450" s="1135"/>
      <c r="BF450" s="1135"/>
      <c r="BG450" s="1135"/>
      <c r="BH450" s="1135"/>
      <c r="BI450" s="1135"/>
      <c r="BJ450" s="1135"/>
      <c r="BK450" s="1135"/>
      <c r="BL450" s="1135"/>
    </row>
    <row r="451">
      <c r="A451" s="901"/>
      <c r="B451" s="1278" t="s">
        <v>66</v>
      </c>
      <c r="C451" s="1278" t="s">
        <v>290</v>
      </c>
      <c r="D451" s="1279"/>
      <c r="E451" s="204"/>
      <c r="F451" s="204"/>
      <c r="G451" s="204"/>
      <c r="H451" s="204"/>
      <c r="I451" s="204"/>
      <c r="J451" s="204"/>
      <c r="K451" s="204"/>
      <c r="L451" s="204"/>
      <c r="M451" s="204"/>
      <c r="N451" s="204"/>
      <c r="O451" s="204"/>
      <c r="P451" s="204"/>
      <c r="Q451" s="204"/>
      <c r="R451" s="204"/>
      <c r="S451" s="204"/>
      <c r="T451" s="204"/>
      <c r="U451" s="204"/>
      <c r="V451" s="204"/>
      <c r="W451" s="204"/>
      <c r="X451" s="204"/>
      <c r="Y451" s="538"/>
      <c r="Z451" s="1258" t="s">
        <v>70</v>
      </c>
      <c r="AA451" s="1257" t="s">
        <v>69</v>
      </c>
      <c r="AB451" s="1259" t="s">
        <v>99</v>
      </c>
      <c r="AC451" s="1259" t="s">
        <v>99</v>
      </c>
      <c r="AD451" s="1258" t="s">
        <v>70</v>
      </c>
      <c r="AE451" s="1257" t="s">
        <v>69</v>
      </c>
      <c r="AF451" s="1257" t="s">
        <v>69</v>
      </c>
      <c r="AG451" s="1257" t="s">
        <v>69</v>
      </c>
      <c r="AH451" s="1258" t="s">
        <v>70</v>
      </c>
      <c r="AI451" s="1258" t="s">
        <v>70</v>
      </c>
      <c r="AJ451" s="1258" t="s">
        <v>70</v>
      </c>
      <c r="AK451" s="1260" t="s">
        <v>69</v>
      </c>
      <c r="AL451" s="1040"/>
      <c r="AM451" s="1"/>
      <c r="AN451" s="1"/>
      <c r="AO451" s="1"/>
      <c r="AP451" s="1"/>
      <c r="AQ451" s="1"/>
      <c r="AR451" s="1"/>
      <c r="AS451" s="1"/>
      <c r="AT451" s="1"/>
      <c r="AU451" s="1"/>
      <c r="AV451" s="1"/>
      <c r="AW451" s="1"/>
      <c r="AX451" s="1"/>
      <c r="AY451" s="1"/>
      <c r="AZ451" s="1"/>
      <c r="BA451" s="1"/>
      <c r="BB451" s="1"/>
      <c r="BC451" s="1"/>
      <c r="BD451" s="1"/>
      <c r="BE451" s="1135"/>
      <c r="BF451" s="1135"/>
      <c r="BG451" s="1135"/>
      <c r="BH451" s="1135"/>
      <c r="BI451" s="1135"/>
      <c r="BJ451" s="1135"/>
      <c r="BK451" s="1135"/>
      <c r="BL451" s="1135"/>
    </row>
    <row r="452">
      <c r="A452" s="901"/>
      <c r="B452" s="1280" t="s">
        <v>1289</v>
      </c>
      <c r="C452" s="1280" t="s">
        <v>290</v>
      </c>
      <c r="D452" s="114"/>
      <c r="Y452" s="71"/>
      <c r="Z452" s="1258" t="s">
        <v>70</v>
      </c>
      <c r="AA452" s="1257" t="s">
        <v>69</v>
      </c>
      <c r="AB452" s="1258" t="s">
        <v>70</v>
      </c>
      <c r="AC452" s="1259" t="s">
        <v>99</v>
      </c>
      <c r="AD452" s="1258" t="s">
        <v>70</v>
      </c>
      <c r="AE452" s="1258" t="s">
        <v>70</v>
      </c>
      <c r="AF452" s="1259" t="s">
        <v>99</v>
      </c>
      <c r="AG452" s="1259" t="s">
        <v>99</v>
      </c>
      <c r="AH452" s="1258" t="s">
        <v>70</v>
      </c>
      <c r="AI452" s="1258" t="s">
        <v>70</v>
      </c>
      <c r="AJ452" s="1258" t="s">
        <v>70</v>
      </c>
      <c r="AK452" s="1281" t="s">
        <v>99</v>
      </c>
      <c r="AL452" s="1040"/>
      <c r="AM452" s="1"/>
      <c r="AN452" s="1"/>
      <c r="AO452" s="1"/>
      <c r="AP452" s="1"/>
      <c r="AQ452" s="1"/>
      <c r="AR452" s="1"/>
      <c r="AS452" s="1"/>
      <c r="AT452" s="1"/>
      <c r="AU452" s="1"/>
      <c r="AV452" s="1"/>
      <c r="AW452" s="1"/>
      <c r="AX452" s="1"/>
      <c r="AY452" s="1"/>
      <c r="AZ452" s="1"/>
      <c r="BA452" s="1"/>
      <c r="BB452" s="1"/>
      <c r="BC452" s="1"/>
      <c r="BD452" s="1"/>
      <c r="BE452" s="1135"/>
      <c r="BF452" s="1135"/>
      <c r="BG452" s="1135"/>
      <c r="BH452" s="1135"/>
      <c r="BI452" s="1135"/>
      <c r="BJ452" s="1135"/>
      <c r="BK452" s="1135"/>
      <c r="BL452" s="1135"/>
    </row>
    <row r="453">
      <c r="A453" s="901"/>
      <c r="B453" s="1280" t="s">
        <v>1288</v>
      </c>
      <c r="C453" s="1280" t="s">
        <v>290</v>
      </c>
      <c r="D453" s="124"/>
      <c r="E453" s="65"/>
      <c r="F453" s="65"/>
      <c r="G453" s="65"/>
      <c r="H453" s="65"/>
      <c r="I453" s="65"/>
      <c r="J453" s="65"/>
      <c r="K453" s="65"/>
      <c r="L453" s="65"/>
      <c r="M453" s="65"/>
      <c r="N453" s="65"/>
      <c r="O453" s="65"/>
      <c r="P453" s="65"/>
      <c r="Q453" s="65"/>
      <c r="R453" s="65"/>
      <c r="S453" s="65"/>
      <c r="T453" s="65"/>
      <c r="U453" s="65"/>
      <c r="V453" s="65"/>
      <c r="W453" s="65"/>
      <c r="X453" s="65"/>
      <c r="Y453" s="66"/>
      <c r="Z453" s="1258" t="s">
        <v>70</v>
      </c>
      <c r="AA453" s="1257" t="s">
        <v>69</v>
      </c>
      <c r="AB453" s="1257" t="s">
        <v>69</v>
      </c>
      <c r="AC453" s="1259" t="s">
        <v>99</v>
      </c>
      <c r="AD453" s="1258" t="s">
        <v>70</v>
      </c>
      <c r="AE453" s="1257" t="s">
        <v>69</v>
      </c>
      <c r="AF453" s="1257" t="s">
        <v>69</v>
      </c>
      <c r="AG453" s="1259" t="s">
        <v>99</v>
      </c>
      <c r="AH453" s="1258" t="s">
        <v>70</v>
      </c>
      <c r="AI453" s="1258" t="s">
        <v>70</v>
      </c>
      <c r="AJ453" s="1258" t="s">
        <v>70</v>
      </c>
      <c r="AK453" s="1260" t="s">
        <v>69</v>
      </c>
      <c r="AL453" s="1040"/>
      <c r="AM453" s="1"/>
      <c r="AN453" s="1"/>
      <c r="AO453" s="1"/>
      <c r="AP453" s="1"/>
      <c r="AQ453" s="1"/>
      <c r="AR453" s="1"/>
      <c r="AS453" s="1"/>
      <c r="AT453" s="1"/>
      <c r="AU453" s="1"/>
      <c r="AV453" s="1"/>
      <c r="AW453" s="1"/>
      <c r="AX453" s="1"/>
      <c r="AY453" s="1"/>
      <c r="AZ453" s="1"/>
      <c r="BA453" s="1"/>
      <c r="BB453" s="1"/>
      <c r="BC453" s="1"/>
      <c r="BD453" s="1"/>
      <c r="BE453" s="1135"/>
      <c r="BF453" s="1135"/>
      <c r="BG453" s="1135"/>
      <c r="BH453" s="1135"/>
      <c r="BI453" s="1135"/>
      <c r="BJ453" s="1135"/>
      <c r="BK453" s="1135"/>
      <c r="BL453" s="1135"/>
    </row>
    <row r="454">
      <c r="A454" s="901"/>
      <c r="B454" s="1282" t="s">
        <v>1191</v>
      </c>
      <c r="C454" s="1282" t="s">
        <v>174</v>
      </c>
      <c r="D454" s="1283" t="s">
        <v>69</v>
      </c>
      <c r="E454" s="1257" t="s">
        <v>69</v>
      </c>
      <c r="F454" s="1257" t="s">
        <v>69</v>
      </c>
      <c r="G454" s="1258" t="s">
        <v>70</v>
      </c>
      <c r="H454" s="1258" t="s">
        <v>70</v>
      </c>
      <c r="I454" s="1258" t="s">
        <v>70</v>
      </c>
      <c r="J454" s="1258" t="s">
        <v>70</v>
      </c>
      <c r="K454" s="1258" t="s">
        <v>70</v>
      </c>
      <c r="L454" s="1257" t="s">
        <v>69</v>
      </c>
      <c r="M454" s="1258" t="s">
        <v>70</v>
      </c>
      <c r="N454" s="1258" t="s">
        <v>70</v>
      </c>
      <c r="O454" s="1257" t="s">
        <v>69</v>
      </c>
      <c r="P454" s="1257"/>
      <c r="Q454" s="1257" t="s">
        <v>69</v>
      </c>
      <c r="R454" s="1258" t="s">
        <v>70</v>
      </c>
      <c r="S454" s="1258" t="s">
        <v>70</v>
      </c>
      <c r="T454" s="1258" t="s">
        <v>70</v>
      </c>
      <c r="U454" s="1257" t="s">
        <v>69</v>
      </c>
      <c r="V454" s="1258" t="s">
        <v>70</v>
      </c>
      <c r="W454" s="1258" t="s">
        <v>70</v>
      </c>
      <c r="X454" s="1258" t="s">
        <v>70</v>
      </c>
      <c r="Y454" s="1257" t="s">
        <v>69</v>
      </c>
      <c r="Z454" s="1257" t="s">
        <v>69</v>
      </c>
      <c r="AA454" s="1257" t="s">
        <v>69</v>
      </c>
      <c r="AB454" s="1258" t="s">
        <v>70</v>
      </c>
      <c r="AC454" s="1257" t="s">
        <v>69</v>
      </c>
      <c r="AD454" s="1257" t="s">
        <v>69</v>
      </c>
      <c r="AE454" s="1258" t="s">
        <v>70</v>
      </c>
      <c r="AF454" s="1257" t="s">
        <v>69</v>
      </c>
      <c r="AG454" s="1257" t="s">
        <v>69</v>
      </c>
      <c r="AH454" s="1257" t="s">
        <v>69</v>
      </c>
      <c r="AI454" s="1257" t="s">
        <v>69</v>
      </c>
      <c r="AJ454" s="1257" t="s">
        <v>69</v>
      </c>
      <c r="AK454" s="1260" t="s">
        <v>69</v>
      </c>
      <c r="AL454" s="1040"/>
      <c r="AM454" s="1"/>
      <c r="AN454" s="1"/>
      <c r="AO454" s="1"/>
      <c r="AP454" s="1"/>
      <c r="AQ454" s="1"/>
      <c r="AR454" s="1"/>
      <c r="AS454" s="1"/>
      <c r="AT454" s="1"/>
      <c r="AU454" s="1"/>
      <c r="AV454" s="1"/>
      <c r="AW454" s="1"/>
      <c r="AX454" s="1"/>
      <c r="AY454" s="1"/>
      <c r="AZ454" s="1"/>
      <c r="BA454" s="1"/>
      <c r="BB454" s="1"/>
      <c r="BC454" s="1"/>
      <c r="BD454" s="1"/>
      <c r="BE454" s="1135"/>
      <c r="BF454" s="1135"/>
      <c r="BG454" s="1135"/>
      <c r="BH454" s="1135"/>
      <c r="BI454" s="1135"/>
      <c r="BJ454" s="1135"/>
      <c r="BK454" s="1135"/>
      <c r="BL454" s="1135"/>
    </row>
    <row r="455">
      <c r="A455" s="901"/>
      <c r="B455" s="1284" t="s">
        <v>1295</v>
      </c>
      <c r="C455" s="1284" t="s">
        <v>174</v>
      </c>
      <c r="D455" s="1285" t="s">
        <v>69</v>
      </c>
      <c r="E455" s="1250" t="s">
        <v>69</v>
      </c>
      <c r="F455" s="1250" t="s">
        <v>69</v>
      </c>
      <c r="G455" s="1251" t="s">
        <v>70</v>
      </c>
      <c r="H455" s="1251" t="s">
        <v>70</v>
      </c>
      <c r="I455" s="1250" t="s">
        <v>69</v>
      </c>
      <c r="J455" s="1251" t="s">
        <v>70</v>
      </c>
      <c r="K455" s="1251" t="s">
        <v>70</v>
      </c>
      <c r="L455" s="1251" t="s">
        <v>70</v>
      </c>
      <c r="M455" s="1251" t="s">
        <v>70</v>
      </c>
      <c r="N455" s="1251" t="s">
        <v>70</v>
      </c>
      <c r="O455" s="1250" t="s">
        <v>69</v>
      </c>
      <c r="P455" s="1250"/>
      <c r="Q455" s="1250" t="s">
        <v>69</v>
      </c>
      <c r="R455" s="1251" t="s">
        <v>70</v>
      </c>
      <c r="S455" s="1251" t="s">
        <v>70</v>
      </c>
      <c r="T455" s="1251" t="s">
        <v>70</v>
      </c>
      <c r="U455" s="1250" t="s">
        <v>69</v>
      </c>
      <c r="V455" s="1251" t="s">
        <v>70</v>
      </c>
      <c r="W455" s="1251" t="s">
        <v>70</v>
      </c>
      <c r="X455" s="1250" t="s">
        <v>69</v>
      </c>
      <c r="Y455" s="1250" t="s">
        <v>69</v>
      </c>
      <c r="Z455" s="1250" t="s">
        <v>69</v>
      </c>
      <c r="AA455" s="1250" t="s">
        <v>69</v>
      </c>
      <c r="AB455" s="1251" t="s">
        <v>70</v>
      </c>
      <c r="AC455" s="1257" t="s">
        <v>69</v>
      </c>
      <c r="AD455" s="1257" t="s">
        <v>69</v>
      </c>
      <c r="AE455" s="1258" t="s">
        <v>70</v>
      </c>
      <c r="AF455" s="1257" t="s">
        <v>69</v>
      </c>
      <c r="AG455" s="1257" t="s">
        <v>69</v>
      </c>
      <c r="AH455" s="1257" t="s">
        <v>69</v>
      </c>
      <c r="AI455" s="1257" t="s">
        <v>69</v>
      </c>
      <c r="AJ455" s="1257" t="s">
        <v>69</v>
      </c>
      <c r="AK455" s="1260" t="s">
        <v>69</v>
      </c>
      <c r="AL455" s="1040"/>
      <c r="AM455" s="1"/>
      <c r="AN455" s="1"/>
      <c r="AO455" s="1"/>
      <c r="AP455" s="1"/>
      <c r="AQ455" s="1"/>
      <c r="AR455" s="1"/>
      <c r="AS455" s="1"/>
      <c r="AT455" s="1"/>
      <c r="AU455" s="1"/>
      <c r="AV455" s="1"/>
      <c r="AW455" s="1"/>
      <c r="AX455" s="1"/>
      <c r="AY455" s="1"/>
      <c r="AZ455" s="1"/>
      <c r="BA455" s="1"/>
      <c r="BB455" s="1"/>
      <c r="BC455" s="1"/>
      <c r="BD455" s="1"/>
      <c r="BE455" s="1135"/>
      <c r="BF455" s="1135"/>
      <c r="BG455" s="1135"/>
      <c r="BH455" s="1135"/>
      <c r="BI455" s="1135"/>
      <c r="BJ455" s="1135"/>
      <c r="BK455" s="1135"/>
      <c r="BL455" s="1135"/>
    </row>
    <row r="456">
      <c r="A456" s="901"/>
      <c r="B456" s="1284" t="s">
        <v>1202</v>
      </c>
      <c r="C456" s="1284" t="s">
        <v>174</v>
      </c>
      <c r="D456" s="1286" t="s">
        <v>99</v>
      </c>
      <c r="E456" s="1257" t="s">
        <v>69</v>
      </c>
      <c r="F456" s="1257" t="s">
        <v>69</v>
      </c>
      <c r="G456" s="1258" t="s">
        <v>70</v>
      </c>
      <c r="H456" s="1258" t="s">
        <v>70</v>
      </c>
      <c r="I456" s="1258" t="s">
        <v>70</v>
      </c>
      <c r="J456" s="1258" t="s">
        <v>70</v>
      </c>
      <c r="K456" s="1258" t="s">
        <v>70</v>
      </c>
      <c r="L456" s="1258" t="s">
        <v>70</v>
      </c>
      <c r="M456" s="1258" t="s">
        <v>70</v>
      </c>
      <c r="N456" s="1258" t="s">
        <v>70</v>
      </c>
      <c r="O456" s="1257" t="s">
        <v>69</v>
      </c>
      <c r="P456" s="1257"/>
      <c r="Q456" s="1257" t="s">
        <v>69</v>
      </c>
      <c r="R456" s="1258" t="s">
        <v>70</v>
      </c>
      <c r="S456" s="1257" t="s">
        <v>69</v>
      </c>
      <c r="T456" s="1258" t="s">
        <v>70</v>
      </c>
      <c r="U456" s="1258" t="s">
        <v>70</v>
      </c>
      <c r="V456" s="1258" t="s">
        <v>70</v>
      </c>
      <c r="W456" s="1258" t="s">
        <v>70</v>
      </c>
      <c r="X456" s="1257" t="s">
        <v>69</v>
      </c>
      <c r="Y456" s="1257" t="s">
        <v>69</v>
      </c>
      <c r="Z456" s="1257" t="s">
        <v>69</v>
      </c>
      <c r="AA456" s="1257" t="s">
        <v>69</v>
      </c>
      <c r="AB456" s="1258" t="s">
        <v>70</v>
      </c>
      <c r="AC456" s="1257" t="s">
        <v>69</v>
      </c>
      <c r="AD456" s="1257" t="s">
        <v>69</v>
      </c>
      <c r="AE456" s="1258" t="s">
        <v>70</v>
      </c>
      <c r="AF456" s="1257" t="s">
        <v>69</v>
      </c>
      <c r="AG456" s="1257" t="s">
        <v>69</v>
      </c>
      <c r="AH456" s="1257" t="s">
        <v>69</v>
      </c>
      <c r="AI456" s="1257" t="s">
        <v>69</v>
      </c>
      <c r="AJ456" s="1257" t="s">
        <v>69</v>
      </c>
      <c r="AK456" s="1260" t="s">
        <v>69</v>
      </c>
      <c r="AL456" s="1270"/>
      <c r="AM456" s="1270"/>
      <c r="AN456" s="1270"/>
      <c r="AO456" s="1270"/>
      <c r="AP456" s="1270"/>
      <c r="AQ456" s="1270"/>
      <c r="AR456" s="1270"/>
      <c r="AS456" s="1270"/>
      <c r="AT456" s="1270"/>
      <c r="AU456" s="1270"/>
      <c r="AV456" s="1270"/>
      <c r="AW456" s="1270"/>
      <c r="AX456" s="1270"/>
      <c r="AY456" s="1270"/>
      <c r="AZ456" s="1"/>
      <c r="BA456" s="1"/>
      <c r="BB456" s="1"/>
      <c r="BC456" s="1"/>
      <c r="BD456" s="1"/>
      <c r="BE456" s="1135"/>
      <c r="BF456" s="1135"/>
      <c r="BG456" s="1135"/>
      <c r="BH456" s="1135"/>
      <c r="BI456" s="1135"/>
      <c r="BJ456" s="1135"/>
      <c r="BK456" s="1135"/>
      <c r="BL456" s="1135"/>
    </row>
    <row r="457">
      <c r="A457" s="901"/>
      <c r="B457" s="1284" t="s">
        <v>1268</v>
      </c>
      <c r="C457" s="1284" t="s">
        <v>174</v>
      </c>
      <c r="D457" s="1256" t="s">
        <v>70</v>
      </c>
      <c r="E457" s="1257" t="s">
        <v>69</v>
      </c>
      <c r="F457" s="1258" t="s">
        <v>70</v>
      </c>
      <c r="G457" s="1257" t="s">
        <v>69</v>
      </c>
      <c r="H457" s="1258" t="s">
        <v>70</v>
      </c>
      <c r="I457" s="1257" t="s">
        <v>69</v>
      </c>
      <c r="J457" s="1257" t="s">
        <v>69</v>
      </c>
      <c r="K457" s="1258" t="s">
        <v>70</v>
      </c>
      <c r="L457" s="1257" t="s">
        <v>69</v>
      </c>
      <c r="M457" s="1258" t="s">
        <v>70</v>
      </c>
      <c r="N457" s="1258" t="s">
        <v>70</v>
      </c>
      <c r="O457" s="1257" t="s">
        <v>69</v>
      </c>
      <c r="P457" s="1257"/>
      <c r="Q457" s="1257" t="s">
        <v>69</v>
      </c>
      <c r="R457" s="1258" t="s">
        <v>70</v>
      </c>
      <c r="S457" s="1258" t="s">
        <v>70</v>
      </c>
      <c r="T457" s="1258" t="s">
        <v>70</v>
      </c>
      <c r="U457" s="1257" t="s">
        <v>69</v>
      </c>
      <c r="V457" s="1257" t="s">
        <v>69</v>
      </c>
      <c r="W457" s="1258" t="s">
        <v>70</v>
      </c>
      <c r="X457" s="1257" t="s">
        <v>69</v>
      </c>
      <c r="Y457" s="1257" t="s">
        <v>69</v>
      </c>
      <c r="Z457" s="1257" t="s">
        <v>69</v>
      </c>
      <c r="AA457" s="1257" t="s">
        <v>69</v>
      </c>
      <c r="AB457" s="1258" t="s">
        <v>70</v>
      </c>
      <c r="AC457" s="1257" t="s">
        <v>69</v>
      </c>
      <c r="AD457" s="1257" t="s">
        <v>69</v>
      </c>
      <c r="AE457" s="1258" t="s">
        <v>70</v>
      </c>
      <c r="AF457" s="1257" t="s">
        <v>69</v>
      </c>
      <c r="AG457" s="1257" t="s">
        <v>69</v>
      </c>
      <c r="AH457" s="1258" t="s">
        <v>70</v>
      </c>
      <c r="AI457" s="1257" t="s">
        <v>69</v>
      </c>
      <c r="AJ457" s="1257" t="s">
        <v>69</v>
      </c>
      <c r="AK457" s="1260" t="s">
        <v>69</v>
      </c>
      <c r="AL457" s="1270"/>
      <c r="AM457" s="1270"/>
      <c r="AN457" s="1270"/>
      <c r="AO457" s="1270"/>
      <c r="AP457" s="1270"/>
      <c r="AQ457" s="1270"/>
      <c r="AR457" s="1270"/>
      <c r="AS457" s="1270"/>
      <c r="AT457" s="1270"/>
      <c r="AU457" s="1270"/>
      <c r="AV457" s="1270"/>
      <c r="AW457" s="1270"/>
      <c r="AX457" s="1270"/>
      <c r="AY457" s="1270"/>
      <c r="AZ457" s="1"/>
      <c r="BA457" s="1"/>
      <c r="BB457" s="1"/>
      <c r="BC457" s="1"/>
      <c r="BD457" s="1"/>
      <c r="BE457" s="1135"/>
      <c r="BF457" s="1135"/>
      <c r="BG457" s="1135"/>
      <c r="BH457" s="1135"/>
      <c r="BI457" s="1135"/>
      <c r="BJ457" s="1135"/>
      <c r="BK457" s="1135"/>
      <c r="BL457" s="1135"/>
    </row>
    <row r="458">
      <c r="A458" s="901"/>
      <c r="B458" s="1287" t="s">
        <v>1249</v>
      </c>
      <c r="C458" s="1287" t="s">
        <v>12</v>
      </c>
      <c r="D458" s="1256" t="s">
        <v>70</v>
      </c>
      <c r="E458" s="1257" t="s">
        <v>69</v>
      </c>
      <c r="F458" s="1258" t="s">
        <v>70</v>
      </c>
      <c r="G458" s="1258" t="s">
        <v>70</v>
      </c>
      <c r="H458" s="1258" t="s">
        <v>70</v>
      </c>
      <c r="I458" s="1259" t="s">
        <v>99</v>
      </c>
      <c r="J458" s="1258" t="s">
        <v>70</v>
      </c>
      <c r="K458" s="1258" t="s">
        <v>70</v>
      </c>
      <c r="L458" s="1258" t="s">
        <v>70</v>
      </c>
      <c r="M458" s="1258" t="s">
        <v>70</v>
      </c>
      <c r="N458" s="1258" t="s">
        <v>70</v>
      </c>
      <c r="O458" s="1257" t="s">
        <v>69</v>
      </c>
      <c r="P458" s="1257"/>
      <c r="Q458" s="1259" t="s">
        <v>99</v>
      </c>
      <c r="R458" s="1258" t="s">
        <v>70</v>
      </c>
      <c r="S458" s="1258" t="s">
        <v>70</v>
      </c>
      <c r="T458" s="1258" t="s">
        <v>70</v>
      </c>
      <c r="U458" s="1258" t="s">
        <v>70</v>
      </c>
      <c r="V458" s="1258" t="s">
        <v>70</v>
      </c>
      <c r="W458" s="1258" t="s">
        <v>70</v>
      </c>
      <c r="X458" s="1258" t="s">
        <v>70</v>
      </c>
      <c r="Y458" s="1257" t="s">
        <v>69</v>
      </c>
      <c r="Z458" s="1257" t="s">
        <v>69</v>
      </c>
      <c r="AA458" s="1257" t="s">
        <v>69</v>
      </c>
      <c r="AB458" s="1258" t="s">
        <v>70</v>
      </c>
      <c r="AC458" s="1250" t="s">
        <v>69</v>
      </c>
      <c r="AD458" s="1250" t="s">
        <v>69</v>
      </c>
      <c r="AE458" s="1251" t="s">
        <v>70</v>
      </c>
      <c r="AF458" s="1251" t="s">
        <v>70</v>
      </c>
      <c r="AG458" s="1250" t="s">
        <v>69</v>
      </c>
      <c r="AH458" s="1250" t="s">
        <v>69</v>
      </c>
      <c r="AI458" s="1250" t="s">
        <v>69</v>
      </c>
      <c r="AJ458" s="1250" t="s">
        <v>69</v>
      </c>
      <c r="AK458" s="1254" t="s">
        <v>69</v>
      </c>
      <c r="AL458" s="1"/>
      <c r="AM458" s="1"/>
      <c r="AN458" s="1"/>
      <c r="AO458" s="1"/>
      <c r="AP458" s="1"/>
      <c r="AQ458" s="1"/>
      <c r="AR458" s="1"/>
      <c r="AS458" s="1"/>
      <c r="AT458" s="1"/>
      <c r="AU458" s="1"/>
      <c r="AV458" s="1"/>
      <c r="AW458" s="1"/>
      <c r="AX458" s="1"/>
      <c r="AY458" s="1"/>
      <c r="AZ458" s="1"/>
      <c r="BA458" s="1"/>
      <c r="BB458" s="1"/>
      <c r="BC458" s="1"/>
      <c r="BD458" s="1"/>
      <c r="BE458" s="1135"/>
      <c r="BF458" s="1135"/>
      <c r="BG458" s="1135"/>
      <c r="BH458" s="1135"/>
      <c r="BI458" s="1135"/>
      <c r="BJ458" s="1135"/>
      <c r="BK458" s="1135"/>
      <c r="BL458" s="1135"/>
    </row>
    <row r="459">
      <c r="A459" s="901"/>
      <c r="B459" s="1288" t="s">
        <v>37</v>
      </c>
      <c r="C459" s="1288" t="s">
        <v>12</v>
      </c>
      <c r="D459" s="1256" t="s">
        <v>70</v>
      </c>
      <c r="E459" s="1257" t="s">
        <v>69</v>
      </c>
      <c r="F459" s="1257" t="s">
        <v>69</v>
      </c>
      <c r="G459" s="1258" t="s">
        <v>70</v>
      </c>
      <c r="H459" s="1258" t="s">
        <v>70</v>
      </c>
      <c r="I459" s="1258" t="s">
        <v>70</v>
      </c>
      <c r="J459" s="1258" t="s">
        <v>70</v>
      </c>
      <c r="K459" s="1257" t="s">
        <v>69</v>
      </c>
      <c r="L459" s="1258" t="s">
        <v>70</v>
      </c>
      <c r="M459" s="1258" t="s">
        <v>70</v>
      </c>
      <c r="N459" s="1258" t="s">
        <v>70</v>
      </c>
      <c r="O459" s="1257" t="s">
        <v>69</v>
      </c>
      <c r="P459" s="1257"/>
      <c r="Q459" s="1257" t="s">
        <v>69</v>
      </c>
      <c r="R459" s="1258" t="s">
        <v>70</v>
      </c>
      <c r="S459" s="1258" t="s">
        <v>70</v>
      </c>
      <c r="T459" s="1258" t="s">
        <v>70</v>
      </c>
      <c r="U459" s="1258" t="s">
        <v>70</v>
      </c>
      <c r="V459" s="1258" t="s">
        <v>70</v>
      </c>
      <c r="W459" s="1258" t="s">
        <v>70</v>
      </c>
      <c r="X459" s="1258" t="s">
        <v>70</v>
      </c>
      <c r="Y459" s="1257" t="s">
        <v>69</v>
      </c>
      <c r="Z459" s="1257" t="s">
        <v>69</v>
      </c>
      <c r="AA459" s="1257" t="s">
        <v>69</v>
      </c>
      <c r="AB459" s="1258" t="s">
        <v>70</v>
      </c>
      <c r="AC459" s="1257" t="s">
        <v>69</v>
      </c>
      <c r="AD459" s="1257" t="s">
        <v>69</v>
      </c>
      <c r="AE459" s="1258" t="s">
        <v>70</v>
      </c>
      <c r="AF459" s="1258" t="s">
        <v>70</v>
      </c>
      <c r="AG459" s="1257" t="s">
        <v>69</v>
      </c>
      <c r="AH459" s="1257" t="s">
        <v>69</v>
      </c>
      <c r="AI459" s="1257" t="s">
        <v>69</v>
      </c>
      <c r="AJ459" s="1257" t="s">
        <v>69</v>
      </c>
      <c r="AK459" s="1260" t="s">
        <v>69</v>
      </c>
      <c r="AL459" s="1040"/>
      <c r="AM459" s="1"/>
      <c r="AN459" s="1"/>
      <c r="AO459" s="1"/>
      <c r="AP459" s="1"/>
      <c r="AQ459" s="1"/>
      <c r="AR459" s="1"/>
      <c r="AS459" s="1"/>
      <c r="AT459" s="1"/>
      <c r="AU459" s="1"/>
      <c r="AV459" s="1"/>
      <c r="AW459" s="1"/>
      <c r="AX459" s="1"/>
      <c r="AY459" s="1"/>
      <c r="AZ459" s="1"/>
      <c r="BA459" s="1"/>
      <c r="BB459" s="1"/>
      <c r="BC459" s="1"/>
      <c r="BD459" s="1"/>
      <c r="BE459" s="1135"/>
      <c r="BF459" s="1135"/>
      <c r="BG459" s="1135"/>
      <c r="BH459" s="1135"/>
      <c r="BI459" s="1135"/>
      <c r="BJ459" s="1135"/>
      <c r="BK459" s="1135"/>
      <c r="BL459" s="1135"/>
    </row>
    <row r="460">
      <c r="A460" s="901"/>
      <c r="B460" s="1288" t="s">
        <v>41</v>
      </c>
      <c r="C460" s="1288" t="s">
        <v>12</v>
      </c>
      <c r="D460" s="1256" t="s">
        <v>70</v>
      </c>
      <c r="E460" s="1257" t="s">
        <v>69</v>
      </c>
      <c r="F460" s="1257" t="s">
        <v>69</v>
      </c>
      <c r="G460" s="1258" t="s">
        <v>70</v>
      </c>
      <c r="H460" s="1258" t="s">
        <v>70</v>
      </c>
      <c r="I460" s="1259" t="s">
        <v>99</v>
      </c>
      <c r="J460" s="1258" t="s">
        <v>70</v>
      </c>
      <c r="K460" s="1258" t="s">
        <v>70</v>
      </c>
      <c r="L460" s="1258" t="s">
        <v>70</v>
      </c>
      <c r="M460" s="1258" t="s">
        <v>70</v>
      </c>
      <c r="N460" s="1257" t="s">
        <v>69</v>
      </c>
      <c r="O460" s="1257" t="s">
        <v>69</v>
      </c>
      <c r="P460" s="1257"/>
      <c r="Q460" s="1259" t="s">
        <v>99</v>
      </c>
      <c r="R460" s="1258" t="s">
        <v>70</v>
      </c>
      <c r="S460" s="1257" t="s">
        <v>69</v>
      </c>
      <c r="T460" s="1259" t="s">
        <v>99</v>
      </c>
      <c r="U460" s="1258" t="s">
        <v>70</v>
      </c>
      <c r="V460" s="1258" t="s">
        <v>70</v>
      </c>
      <c r="W460" s="1258" t="s">
        <v>70</v>
      </c>
      <c r="X460" s="1259" t="s">
        <v>99</v>
      </c>
      <c r="Y460" s="1257" t="s">
        <v>69</v>
      </c>
      <c r="Z460" s="1257" t="s">
        <v>69</v>
      </c>
      <c r="AA460" s="1257" t="s">
        <v>69</v>
      </c>
      <c r="AB460" s="1258" t="s">
        <v>70</v>
      </c>
      <c r="AC460" s="1257" t="s">
        <v>69</v>
      </c>
      <c r="AD460" s="1257" t="s">
        <v>69</v>
      </c>
      <c r="AE460" s="1258" t="s">
        <v>70</v>
      </c>
      <c r="AF460" s="1257" t="s">
        <v>69</v>
      </c>
      <c r="AG460" s="1257" t="s">
        <v>69</v>
      </c>
      <c r="AH460" s="1257" t="s">
        <v>69</v>
      </c>
      <c r="AI460" s="1257" t="s">
        <v>69</v>
      </c>
      <c r="AJ460" s="1257" t="s">
        <v>69</v>
      </c>
      <c r="AK460" s="1260" t="s">
        <v>69</v>
      </c>
      <c r="AL460" s="1040"/>
      <c r="AM460" s="1"/>
      <c r="AN460" s="1"/>
      <c r="AO460" s="1"/>
      <c r="AP460" s="1"/>
      <c r="AQ460" s="1"/>
      <c r="AR460" s="1"/>
      <c r="AS460" s="1"/>
      <c r="AT460" s="1"/>
      <c r="AU460" s="1"/>
      <c r="AV460" s="1"/>
      <c r="AW460" s="1"/>
      <c r="AX460" s="1"/>
      <c r="AY460" s="1"/>
      <c r="AZ460" s="1"/>
      <c r="BA460" s="1"/>
      <c r="BB460" s="1"/>
      <c r="BC460" s="1"/>
      <c r="BD460" s="1"/>
      <c r="BE460" s="1135"/>
      <c r="BF460" s="1135"/>
      <c r="BG460" s="1135"/>
      <c r="BH460" s="1135"/>
      <c r="BI460" s="1135"/>
      <c r="BJ460" s="1135"/>
      <c r="BK460" s="1135"/>
      <c r="BL460" s="1135"/>
    </row>
    <row r="461">
      <c r="A461" s="901"/>
      <c r="B461" s="1289" t="s">
        <v>1260</v>
      </c>
      <c r="C461" s="1289" t="s">
        <v>187</v>
      </c>
      <c r="D461" s="1261" t="s">
        <v>70</v>
      </c>
      <c r="E461" s="1262" t="s">
        <v>69</v>
      </c>
      <c r="F461" s="1263" t="s">
        <v>70</v>
      </c>
      <c r="G461" s="1263" t="s">
        <v>70</v>
      </c>
      <c r="H461" s="1263" t="s">
        <v>70</v>
      </c>
      <c r="I461" s="1263" t="s">
        <v>70</v>
      </c>
      <c r="J461" s="1263" t="s">
        <v>70</v>
      </c>
      <c r="K461" s="1263" t="s">
        <v>70</v>
      </c>
      <c r="L461" s="1262" t="s">
        <v>69</v>
      </c>
      <c r="M461" s="1263" t="s">
        <v>70</v>
      </c>
      <c r="N461" s="1263" t="s">
        <v>70</v>
      </c>
      <c r="O461" s="1262" t="s">
        <v>69</v>
      </c>
      <c r="P461" s="1262"/>
      <c r="Q461" s="1262" t="s">
        <v>69</v>
      </c>
      <c r="R461" s="1263" t="s">
        <v>70</v>
      </c>
      <c r="S461" s="1263" t="s">
        <v>70</v>
      </c>
      <c r="T461" s="1263" t="s">
        <v>70</v>
      </c>
      <c r="U461" s="1262" t="s">
        <v>69</v>
      </c>
      <c r="V461" s="1263" t="s">
        <v>70</v>
      </c>
      <c r="W461" s="1263" t="s">
        <v>70</v>
      </c>
      <c r="X461" s="1263" t="s">
        <v>70</v>
      </c>
      <c r="Y461" s="1262" t="s">
        <v>69</v>
      </c>
      <c r="Z461" s="1262" t="s">
        <v>69</v>
      </c>
      <c r="AA461" s="1262" t="s">
        <v>69</v>
      </c>
      <c r="AB461" s="1263" t="s">
        <v>70</v>
      </c>
      <c r="AC461" s="1262" t="s">
        <v>69</v>
      </c>
      <c r="AD461" s="1262" t="s">
        <v>69</v>
      </c>
      <c r="AE461" s="1262" t="s">
        <v>69</v>
      </c>
      <c r="AF461" s="1263" t="s">
        <v>70</v>
      </c>
      <c r="AG461" s="1262" t="s">
        <v>69</v>
      </c>
      <c r="AH461" s="1263" t="s">
        <v>70</v>
      </c>
      <c r="AI461" s="1263" t="s">
        <v>70</v>
      </c>
      <c r="AJ461" s="1262" t="s">
        <v>69</v>
      </c>
      <c r="AK461" s="1264" t="s">
        <v>69</v>
      </c>
      <c r="AL461" s="1040"/>
      <c r="AM461" s="1"/>
      <c r="AN461" s="1"/>
      <c r="AO461" s="1"/>
      <c r="AP461" s="1"/>
      <c r="AQ461" s="1"/>
      <c r="AR461" s="1"/>
      <c r="AS461" s="1"/>
      <c r="AT461" s="1"/>
      <c r="AU461" s="1"/>
      <c r="AV461" s="1"/>
      <c r="AW461" s="1"/>
      <c r="AX461" s="1"/>
      <c r="AY461" s="1"/>
      <c r="AZ461" s="1"/>
      <c r="BA461" s="1"/>
      <c r="BB461" s="1"/>
      <c r="BC461" s="1"/>
      <c r="BD461" s="1"/>
      <c r="BE461" s="1135"/>
      <c r="BF461" s="1135"/>
      <c r="BG461" s="1135"/>
      <c r="BH461" s="1135"/>
      <c r="BI461" s="1135"/>
      <c r="BJ461" s="1135"/>
      <c r="BK461" s="1135"/>
      <c r="BL461" s="1135"/>
    </row>
    <row r="462">
      <c r="A462" s="899" t="s">
        <v>68</v>
      </c>
      <c r="B462" s="1290"/>
      <c r="D462" s="1291"/>
      <c r="E462" s="1292"/>
      <c r="F462" s="1292"/>
      <c r="G462" s="1292"/>
      <c r="H462" s="1292"/>
      <c r="I462" s="1292"/>
      <c r="J462" s="1292"/>
      <c r="K462" s="1292"/>
      <c r="L462" s="1292"/>
      <c r="M462" s="1292"/>
      <c r="N462" s="1292"/>
      <c r="O462" s="1292"/>
      <c r="P462" s="1292"/>
      <c r="Q462" s="1292"/>
      <c r="R462" s="1292"/>
      <c r="S462" s="1292"/>
      <c r="T462" s="1292"/>
      <c r="U462" s="1292"/>
      <c r="V462" s="1292"/>
      <c r="W462" s="1292"/>
      <c r="X462" s="1292"/>
      <c r="Y462" s="1292"/>
      <c r="Z462" s="1292"/>
      <c r="AA462" s="1292"/>
      <c r="AB462" s="1292"/>
      <c r="AC462" s="1292"/>
      <c r="AD462" s="1292"/>
      <c r="AE462" s="1292"/>
      <c r="AF462" s="1292"/>
      <c r="AG462" s="1292"/>
      <c r="AH462" s="1292"/>
      <c r="AI462" s="1292"/>
      <c r="AJ462" s="1292"/>
      <c r="AK462" s="1292"/>
      <c r="AL462" s="1270"/>
      <c r="AM462" s="1"/>
      <c r="AN462" s="1"/>
      <c r="AO462" s="1"/>
      <c r="AP462" s="1"/>
      <c r="AQ462" s="1"/>
      <c r="AR462" s="1"/>
      <c r="AS462" s="1"/>
      <c r="AT462" s="1"/>
      <c r="AU462" s="1"/>
      <c r="AV462" s="1"/>
      <c r="AW462" s="1"/>
      <c r="AX462" s="1"/>
      <c r="AY462" s="1"/>
      <c r="AZ462" s="1"/>
      <c r="BA462" s="1"/>
      <c r="BB462" s="1"/>
      <c r="BC462" s="1"/>
      <c r="BD462" s="1"/>
      <c r="BE462" s="1135"/>
      <c r="BF462" s="1135"/>
      <c r="BG462" s="1135"/>
      <c r="BH462" s="1135"/>
      <c r="BI462" s="1135"/>
      <c r="BJ462" s="1135"/>
      <c r="BK462" s="1135"/>
      <c r="BL462" s="1135"/>
    </row>
    <row r="463">
      <c r="A463" s="901"/>
      <c r="B463" s="790" t="s">
        <v>69</v>
      </c>
      <c r="D463" s="1113">
        <f t="shared" ref="D463:O463" si="146">COUNTIF(D437:D461,"Voor")</f>
        <v>2</v>
      </c>
      <c r="E463" s="1114">
        <f t="shared" si="146"/>
        <v>21</v>
      </c>
      <c r="F463" s="1114">
        <f t="shared" si="146"/>
        <v>8</v>
      </c>
      <c r="G463" s="1114">
        <f t="shared" si="146"/>
        <v>12</v>
      </c>
      <c r="H463" s="1114">
        <f t="shared" si="146"/>
        <v>12</v>
      </c>
      <c r="I463" s="1114">
        <f t="shared" si="146"/>
        <v>14</v>
      </c>
      <c r="J463" s="1114">
        <f t="shared" si="146"/>
        <v>11</v>
      </c>
      <c r="K463" s="1114">
        <f t="shared" si="146"/>
        <v>9</v>
      </c>
      <c r="L463" s="1114">
        <f t="shared" si="146"/>
        <v>13</v>
      </c>
      <c r="M463" s="1114">
        <f t="shared" si="146"/>
        <v>11</v>
      </c>
      <c r="N463" s="1114">
        <f t="shared" si="146"/>
        <v>12</v>
      </c>
      <c r="O463" s="1114">
        <f t="shared" si="146"/>
        <v>8</v>
      </c>
      <c r="P463" s="1114"/>
      <c r="Q463" s="1114">
        <f t="shared" ref="Q463:AK463" si="147">COUNTIF(Q437:Q461,"Voor")</f>
        <v>9</v>
      </c>
      <c r="R463" s="1114">
        <f t="shared" si="147"/>
        <v>12</v>
      </c>
      <c r="S463" s="1114">
        <f t="shared" si="147"/>
        <v>13</v>
      </c>
      <c r="T463" s="1114">
        <f t="shared" si="147"/>
        <v>11</v>
      </c>
      <c r="U463" s="1114">
        <f t="shared" si="147"/>
        <v>17</v>
      </c>
      <c r="V463" s="1114">
        <f t="shared" si="147"/>
        <v>13</v>
      </c>
      <c r="W463" s="1114">
        <f t="shared" si="147"/>
        <v>9</v>
      </c>
      <c r="X463" s="1114">
        <f t="shared" si="147"/>
        <v>7</v>
      </c>
      <c r="Y463" s="1114">
        <f t="shared" si="147"/>
        <v>16</v>
      </c>
      <c r="Z463" s="1114">
        <f t="shared" si="147"/>
        <v>14</v>
      </c>
      <c r="AA463" s="1114">
        <f t="shared" si="147"/>
        <v>14</v>
      </c>
      <c r="AB463" s="1114">
        <f t="shared" si="147"/>
        <v>6</v>
      </c>
      <c r="AC463" s="1114">
        <f t="shared" si="147"/>
        <v>13</v>
      </c>
      <c r="AD463" s="1114">
        <f t="shared" si="147"/>
        <v>12</v>
      </c>
      <c r="AE463" s="1114">
        <f t="shared" si="147"/>
        <v>7</v>
      </c>
      <c r="AF463" s="1114">
        <f t="shared" si="147"/>
        <v>16</v>
      </c>
      <c r="AG463" s="1114">
        <f t="shared" si="147"/>
        <v>16</v>
      </c>
      <c r="AH463" s="1114">
        <f t="shared" si="147"/>
        <v>6</v>
      </c>
      <c r="AI463" s="1114">
        <f t="shared" si="147"/>
        <v>7</v>
      </c>
      <c r="AJ463" s="1114">
        <f t="shared" si="147"/>
        <v>8</v>
      </c>
      <c r="AK463" s="1114">
        <f t="shared" si="147"/>
        <v>19</v>
      </c>
      <c r="AL463" s="1175"/>
      <c r="AM463" s="1175"/>
      <c r="AN463" s="1175"/>
      <c r="AO463" s="1175"/>
      <c r="AP463" s="1175"/>
      <c r="AQ463" s="1175"/>
      <c r="AR463" s="1175"/>
      <c r="AS463" s="1175"/>
      <c r="AT463" s="1175"/>
      <c r="AU463" s="1175"/>
      <c r="AV463" s="1175"/>
      <c r="AW463" s="1175"/>
      <c r="AX463" s="1175"/>
      <c r="AY463" s="1175"/>
      <c r="AZ463" s="1"/>
      <c r="BA463" s="1"/>
      <c r="BB463" s="1"/>
      <c r="BC463" s="1"/>
      <c r="BD463" s="1"/>
      <c r="BE463" s="1135"/>
      <c r="BF463" s="1135"/>
      <c r="BG463" s="1135"/>
      <c r="BH463" s="1135"/>
      <c r="BI463" s="1135"/>
      <c r="BJ463" s="1135"/>
      <c r="BK463" s="1135"/>
      <c r="BL463" s="1135"/>
    </row>
    <row r="464">
      <c r="A464" s="901"/>
      <c r="B464" s="792" t="s">
        <v>70</v>
      </c>
      <c r="D464" s="1116">
        <f t="shared" ref="D464:O464" si="148">COUNTIF(D437:D461,"Tegen")</f>
        <v>18</v>
      </c>
      <c r="E464" s="1117">
        <f t="shared" si="148"/>
        <v>0</v>
      </c>
      <c r="F464" s="1117">
        <f t="shared" si="148"/>
        <v>13</v>
      </c>
      <c r="G464" s="1117">
        <f t="shared" si="148"/>
        <v>9</v>
      </c>
      <c r="H464" s="1117">
        <f t="shared" si="148"/>
        <v>9</v>
      </c>
      <c r="I464" s="1117">
        <f t="shared" si="148"/>
        <v>4</v>
      </c>
      <c r="J464" s="1117">
        <f t="shared" si="148"/>
        <v>10</v>
      </c>
      <c r="K464" s="1117">
        <f t="shared" si="148"/>
        <v>11</v>
      </c>
      <c r="L464" s="1117">
        <f t="shared" si="148"/>
        <v>7</v>
      </c>
      <c r="M464" s="1117">
        <f t="shared" si="148"/>
        <v>10</v>
      </c>
      <c r="N464" s="1117">
        <f t="shared" si="148"/>
        <v>9</v>
      </c>
      <c r="O464" s="1117">
        <f t="shared" si="148"/>
        <v>13</v>
      </c>
      <c r="P464" s="1117"/>
      <c r="Q464" s="1117">
        <f t="shared" ref="Q464:AK464" si="149">COUNTIF(Q437:Q461,"Tegen")</f>
        <v>9</v>
      </c>
      <c r="R464" s="1117">
        <f t="shared" si="149"/>
        <v>8</v>
      </c>
      <c r="S464" s="1117">
        <f t="shared" si="149"/>
        <v>8</v>
      </c>
      <c r="T464" s="1117">
        <f t="shared" si="149"/>
        <v>9</v>
      </c>
      <c r="U464" s="1117">
        <f t="shared" si="149"/>
        <v>4</v>
      </c>
      <c r="V464" s="1117">
        <f t="shared" si="149"/>
        <v>8</v>
      </c>
      <c r="W464" s="1117">
        <f t="shared" si="149"/>
        <v>12</v>
      </c>
      <c r="X464" s="1117">
        <f t="shared" si="149"/>
        <v>12</v>
      </c>
      <c r="Y464" s="1117">
        <f t="shared" si="149"/>
        <v>2</v>
      </c>
      <c r="Z464" s="1117">
        <f t="shared" si="149"/>
        <v>7</v>
      </c>
      <c r="AA464" s="1117">
        <f t="shared" si="149"/>
        <v>7</v>
      </c>
      <c r="AB464" s="1117">
        <f t="shared" si="149"/>
        <v>14</v>
      </c>
      <c r="AC464" s="1117">
        <f t="shared" si="149"/>
        <v>5</v>
      </c>
      <c r="AD464" s="1117">
        <f t="shared" si="149"/>
        <v>8</v>
      </c>
      <c r="AE464" s="1117">
        <f t="shared" si="149"/>
        <v>14</v>
      </c>
      <c r="AF464" s="1117">
        <f t="shared" si="149"/>
        <v>4</v>
      </c>
      <c r="AG464" s="1117">
        <f t="shared" si="149"/>
        <v>3</v>
      </c>
      <c r="AH464" s="1117">
        <f t="shared" si="149"/>
        <v>15</v>
      </c>
      <c r="AI464" s="1117">
        <f t="shared" si="149"/>
        <v>14</v>
      </c>
      <c r="AJ464" s="1117">
        <f t="shared" si="149"/>
        <v>13</v>
      </c>
      <c r="AK464" s="1117">
        <f t="shared" si="149"/>
        <v>1</v>
      </c>
      <c r="AL464" s="1175"/>
      <c r="AM464" s="1175"/>
      <c r="AN464" s="1175"/>
      <c r="AO464" s="1175"/>
      <c r="AP464" s="1175"/>
      <c r="AQ464" s="1175"/>
      <c r="AR464" s="1175"/>
      <c r="AS464" s="1175"/>
      <c r="AT464" s="1175"/>
      <c r="AU464" s="1175"/>
      <c r="AV464" s="1175"/>
      <c r="AW464" s="1175"/>
      <c r="AX464" s="1175"/>
      <c r="AY464" s="1175"/>
      <c r="AZ464" s="1"/>
      <c r="BA464" s="1"/>
      <c r="BB464" s="1"/>
      <c r="BC464" s="1"/>
      <c r="BD464" s="1"/>
      <c r="BE464" s="1135"/>
      <c r="BF464" s="1135"/>
      <c r="BG464" s="1135"/>
      <c r="BH464" s="1135"/>
      <c r="BI464" s="1135"/>
      <c r="BJ464" s="1135"/>
      <c r="BK464" s="1135"/>
      <c r="BL464" s="1135"/>
    </row>
    <row r="465">
      <c r="A465" s="901"/>
      <c r="B465" s="1241" t="s">
        <v>71</v>
      </c>
      <c r="D465" s="1118">
        <f t="shared" ref="D465:O465" si="150">COUNTIF(D437:D461,"SO")</f>
        <v>1</v>
      </c>
      <c r="E465" s="1119">
        <f t="shared" si="150"/>
        <v>0</v>
      </c>
      <c r="F465" s="1119">
        <f t="shared" si="150"/>
        <v>0</v>
      </c>
      <c r="G465" s="1119">
        <f t="shared" si="150"/>
        <v>0</v>
      </c>
      <c r="H465" s="1119">
        <f t="shared" si="150"/>
        <v>0</v>
      </c>
      <c r="I465" s="1119">
        <f t="shared" si="150"/>
        <v>3</v>
      </c>
      <c r="J465" s="1119">
        <f t="shared" si="150"/>
        <v>0</v>
      </c>
      <c r="K465" s="1119">
        <f t="shared" si="150"/>
        <v>1</v>
      </c>
      <c r="L465" s="1119">
        <f t="shared" si="150"/>
        <v>1</v>
      </c>
      <c r="M465" s="1119">
        <f t="shared" si="150"/>
        <v>0</v>
      </c>
      <c r="N465" s="1119">
        <f t="shared" si="150"/>
        <v>0</v>
      </c>
      <c r="O465" s="1119">
        <f t="shared" si="150"/>
        <v>0</v>
      </c>
      <c r="P465" s="1119"/>
      <c r="Q465" s="1119">
        <f t="shared" ref="Q465:AK465" si="151">COUNTIF(Q437:Q461,"SO")</f>
        <v>3</v>
      </c>
      <c r="R465" s="1119">
        <f t="shared" si="151"/>
        <v>1</v>
      </c>
      <c r="S465" s="1119">
        <f t="shared" si="151"/>
        <v>0</v>
      </c>
      <c r="T465" s="1119">
        <f t="shared" si="151"/>
        <v>1</v>
      </c>
      <c r="U465" s="1119">
        <f t="shared" si="151"/>
        <v>0</v>
      </c>
      <c r="V465" s="1119">
        <f t="shared" si="151"/>
        <v>0</v>
      </c>
      <c r="W465" s="1119">
        <f t="shared" si="151"/>
        <v>0</v>
      </c>
      <c r="X465" s="1119">
        <f t="shared" si="151"/>
        <v>2</v>
      </c>
      <c r="Y465" s="1119">
        <f t="shared" si="151"/>
        <v>3</v>
      </c>
      <c r="Z465" s="1119">
        <f t="shared" si="151"/>
        <v>0</v>
      </c>
      <c r="AA465" s="1119">
        <f t="shared" si="151"/>
        <v>0</v>
      </c>
      <c r="AB465" s="1119">
        <f t="shared" si="151"/>
        <v>1</v>
      </c>
      <c r="AC465" s="1119">
        <f t="shared" si="151"/>
        <v>3</v>
      </c>
      <c r="AD465" s="1119">
        <f t="shared" si="151"/>
        <v>1</v>
      </c>
      <c r="AE465" s="1119">
        <f t="shared" si="151"/>
        <v>0</v>
      </c>
      <c r="AF465" s="1119">
        <f t="shared" si="151"/>
        <v>1</v>
      </c>
      <c r="AG465" s="1119">
        <f t="shared" si="151"/>
        <v>2</v>
      </c>
      <c r="AH465" s="1119">
        <f t="shared" si="151"/>
        <v>0</v>
      </c>
      <c r="AI465" s="1119">
        <f t="shared" si="151"/>
        <v>0</v>
      </c>
      <c r="AJ465" s="1119">
        <f t="shared" si="151"/>
        <v>0</v>
      </c>
      <c r="AK465" s="1119">
        <f t="shared" si="151"/>
        <v>1</v>
      </c>
      <c r="AL465" s="1175"/>
      <c r="AM465" s="1175"/>
      <c r="AN465" s="1175"/>
      <c r="AO465" s="1175"/>
      <c r="AP465" s="1175"/>
      <c r="AQ465" s="1175"/>
      <c r="AR465" s="1175"/>
      <c r="AS465" s="1175"/>
      <c r="AT465" s="1175"/>
      <c r="AU465" s="1175"/>
      <c r="AV465" s="1175"/>
      <c r="AW465" s="1175"/>
      <c r="AX465" s="1175"/>
      <c r="AY465" s="1175"/>
      <c r="AZ465" s="1"/>
      <c r="BA465" s="1"/>
      <c r="BB465" s="1"/>
      <c r="BC465" s="1"/>
      <c r="BD465" s="1"/>
      <c r="BE465" s="1135"/>
      <c r="BF465" s="1135"/>
      <c r="BG465" s="1135"/>
      <c r="BH465" s="1135"/>
      <c r="BI465" s="1135"/>
      <c r="BJ465" s="1135"/>
      <c r="BK465" s="1135"/>
      <c r="BL465" s="1135"/>
    </row>
    <row r="466">
      <c r="A466" s="901"/>
      <c r="B466" s="796" t="s">
        <v>72</v>
      </c>
      <c r="D466" s="1120">
        <f t="shared" ref="D466:O466" si="152">COUNTIF(D437:D461,"NG")</f>
        <v>0</v>
      </c>
      <c r="E466" s="1121">
        <f t="shared" si="152"/>
        <v>0</v>
      </c>
      <c r="F466" s="1121">
        <f t="shared" si="152"/>
        <v>0</v>
      </c>
      <c r="G466" s="1121">
        <f t="shared" si="152"/>
        <v>0</v>
      </c>
      <c r="H466" s="1121">
        <f t="shared" si="152"/>
        <v>0</v>
      </c>
      <c r="I466" s="1121">
        <f t="shared" si="152"/>
        <v>0</v>
      </c>
      <c r="J466" s="1121">
        <f t="shared" si="152"/>
        <v>0</v>
      </c>
      <c r="K466" s="1121">
        <f t="shared" si="152"/>
        <v>0</v>
      </c>
      <c r="L466" s="1121">
        <f t="shared" si="152"/>
        <v>0</v>
      </c>
      <c r="M466" s="1121">
        <f t="shared" si="152"/>
        <v>0</v>
      </c>
      <c r="N466" s="1121">
        <f t="shared" si="152"/>
        <v>0</v>
      </c>
      <c r="O466" s="1121">
        <f t="shared" si="152"/>
        <v>0</v>
      </c>
      <c r="P466" s="1121"/>
      <c r="Q466" s="1121">
        <f t="shared" ref="Q466:AK466" si="153">COUNTIF(Q437:Q461,"NG")</f>
        <v>0</v>
      </c>
      <c r="R466" s="1121">
        <f t="shared" si="153"/>
        <v>0</v>
      </c>
      <c r="S466" s="1121">
        <f t="shared" si="153"/>
        <v>0</v>
      </c>
      <c r="T466" s="1121">
        <f t="shared" si="153"/>
        <v>0</v>
      </c>
      <c r="U466" s="1121">
        <f t="shared" si="153"/>
        <v>0</v>
      </c>
      <c r="V466" s="1121">
        <f t="shared" si="153"/>
        <v>0</v>
      </c>
      <c r="W466" s="1121">
        <f t="shared" si="153"/>
        <v>0</v>
      </c>
      <c r="X466" s="1121">
        <f t="shared" si="153"/>
        <v>0</v>
      </c>
      <c r="Y466" s="1121">
        <f t="shared" si="153"/>
        <v>0</v>
      </c>
      <c r="Z466" s="1121">
        <f t="shared" si="153"/>
        <v>0</v>
      </c>
      <c r="AA466" s="1121">
        <f t="shared" si="153"/>
        <v>0</v>
      </c>
      <c r="AB466" s="1121">
        <f t="shared" si="153"/>
        <v>0</v>
      </c>
      <c r="AC466" s="1121">
        <f t="shared" si="153"/>
        <v>0</v>
      </c>
      <c r="AD466" s="1121">
        <f t="shared" si="153"/>
        <v>0</v>
      </c>
      <c r="AE466" s="1121">
        <f t="shared" si="153"/>
        <v>0</v>
      </c>
      <c r="AF466" s="1121">
        <f t="shared" si="153"/>
        <v>0</v>
      </c>
      <c r="AG466" s="1121">
        <f t="shared" si="153"/>
        <v>0</v>
      </c>
      <c r="AH466" s="1121">
        <f t="shared" si="153"/>
        <v>0</v>
      </c>
      <c r="AI466" s="1121">
        <f t="shared" si="153"/>
        <v>0</v>
      </c>
      <c r="AJ466" s="1121">
        <f t="shared" si="153"/>
        <v>0</v>
      </c>
      <c r="AK466" s="1121">
        <f t="shared" si="153"/>
        <v>0</v>
      </c>
      <c r="AL466" s="1293"/>
      <c r="AM466" s="1293"/>
      <c r="AN466" s="1293"/>
      <c r="AO466" s="1293"/>
      <c r="AP466" s="1293"/>
      <c r="AQ466" s="1293"/>
      <c r="AR466" s="1293"/>
      <c r="AS466" s="1293"/>
      <c r="AT466" s="1293"/>
      <c r="AU466" s="1293"/>
      <c r="AV466" s="1293"/>
      <c r="AW466" s="1293"/>
      <c r="AX466" s="1293"/>
      <c r="AY466" s="1293"/>
      <c r="AZ466" s="1"/>
      <c r="BA466" s="1"/>
      <c r="BB466" s="1"/>
      <c r="BC466" s="1"/>
      <c r="BD466" s="1"/>
      <c r="BE466" s="1135"/>
      <c r="BF466" s="1135"/>
      <c r="BG466" s="1135"/>
      <c r="BH466" s="1135"/>
      <c r="BI466" s="1135"/>
      <c r="BJ466" s="1135"/>
      <c r="BK466" s="1135"/>
      <c r="BL466" s="1135"/>
    </row>
    <row r="467">
      <c r="A467" s="901"/>
      <c r="B467" s="798" t="s">
        <v>73</v>
      </c>
      <c r="D467" s="1122">
        <f t="shared" ref="D467:O467" si="154">SUM(D463:D466)</f>
        <v>21</v>
      </c>
      <c r="E467" s="1123">
        <f t="shared" si="154"/>
        <v>21</v>
      </c>
      <c r="F467" s="1123">
        <f t="shared" si="154"/>
        <v>21</v>
      </c>
      <c r="G467" s="1123">
        <f t="shared" si="154"/>
        <v>21</v>
      </c>
      <c r="H467" s="1123">
        <f t="shared" si="154"/>
        <v>21</v>
      </c>
      <c r="I467" s="1123">
        <f t="shared" si="154"/>
        <v>21</v>
      </c>
      <c r="J467" s="1123">
        <f t="shared" si="154"/>
        <v>21</v>
      </c>
      <c r="K467" s="1123">
        <f t="shared" si="154"/>
        <v>21</v>
      </c>
      <c r="L467" s="1123">
        <f t="shared" si="154"/>
        <v>21</v>
      </c>
      <c r="M467" s="1123">
        <f t="shared" si="154"/>
        <v>21</v>
      </c>
      <c r="N467" s="1123">
        <f t="shared" si="154"/>
        <v>21</v>
      </c>
      <c r="O467" s="1123">
        <f t="shared" si="154"/>
        <v>21</v>
      </c>
      <c r="P467" s="1123"/>
      <c r="Q467" s="1123">
        <f t="shared" ref="Q467:AK467" si="155">SUM(Q463:Q466)</f>
        <v>21</v>
      </c>
      <c r="R467" s="1123">
        <f t="shared" si="155"/>
        <v>21</v>
      </c>
      <c r="S467" s="1123">
        <f t="shared" si="155"/>
        <v>21</v>
      </c>
      <c r="T467" s="1123">
        <f t="shared" si="155"/>
        <v>21</v>
      </c>
      <c r="U467" s="1123">
        <f t="shared" si="155"/>
        <v>21</v>
      </c>
      <c r="V467" s="1123">
        <f t="shared" si="155"/>
        <v>21</v>
      </c>
      <c r="W467" s="1123">
        <f t="shared" si="155"/>
        <v>21</v>
      </c>
      <c r="X467" s="1123">
        <f t="shared" si="155"/>
        <v>21</v>
      </c>
      <c r="Y467" s="1123">
        <f t="shared" si="155"/>
        <v>21</v>
      </c>
      <c r="Z467" s="1123">
        <f t="shared" si="155"/>
        <v>21</v>
      </c>
      <c r="AA467" s="1123">
        <f t="shared" si="155"/>
        <v>21</v>
      </c>
      <c r="AB467" s="1123">
        <f t="shared" si="155"/>
        <v>21</v>
      </c>
      <c r="AC467" s="1123">
        <f t="shared" si="155"/>
        <v>21</v>
      </c>
      <c r="AD467" s="1123">
        <f t="shared" si="155"/>
        <v>21</v>
      </c>
      <c r="AE467" s="1123">
        <f t="shared" si="155"/>
        <v>21</v>
      </c>
      <c r="AF467" s="1123">
        <f t="shared" si="155"/>
        <v>21</v>
      </c>
      <c r="AG467" s="1123">
        <f t="shared" si="155"/>
        <v>21</v>
      </c>
      <c r="AH467" s="1123">
        <f t="shared" si="155"/>
        <v>21</v>
      </c>
      <c r="AI467" s="1123">
        <f t="shared" si="155"/>
        <v>21</v>
      </c>
      <c r="AJ467" s="1123">
        <f t="shared" si="155"/>
        <v>21</v>
      </c>
      <c r="AK467" s="1123">
        <f t="shared" si="155"/>
        <v>21</v>
      </c>
      <c r="AL467" s="1175"/>
      <c r="AM467" s="1175"/>
      <c r="AN467" s="1175"/>
      <c r="AO467" s="1175"/>
      <c r="AP467" s="1175"/>
      <c r="AQ467" s="1175"/>
      <c r="AR467" s="1175"/>
      <c r="AS467" s="1175"/>
      <c r="AT467" s="1175"/>
      <c r="AU467" s="1175"/>
      <c r="AV467" s="1175"/>
      <c r="AW467" s="1175"/>
      <c r="AX467" s="1175"/>
      <c r="AY467" s="1175"/>
      <c r="AZ467" s="1"/>
      <c r="BA467" s="1"/>
      <c r="BB467" s="1"/>
      <c r="BC467" s="1"/>
      <c r="BD467" s="1"/>
      <c r="BE467" s="1135"/>
      <c r="BF467" s="1135"/>
      <c r="BG467" s="1135"/>
      <c r="BH467" s="1135"/>
      <c r="BI467" s="1135"/>
      <c r="BJ467" s="1135"/>
      <c r="BK467" s="1135"/>
      <c r="BL467" s="1135"/>
    </row>
    <row r="468">
      <c r="A468" s="901"/>
      <c r="B468" s="800" t="s">
        <v>74</v>
      </c>
      <c r="D468" s="1124">
        <f t="shared" ref="D468:O468" si="156">D463+D464+D465</f>
        <v>21</v>
      </c>
      <c r="E468" s="1125">
        <f t="shared" si="156"/>
        <v>21</v>
      </c>
      <c r="F468" s="1125">
        <f t="shared" si="156"/>
        <v>21</v>
      </c>
      <c r="G468" s="1125">
        <f t="shared" si="156"/>
        <v>21</v>
      </c>
      <c r="H468" s="1125">
        <f t="shared" si="156"/>
        <v>21</v>
      </c>
      <c r="I468" s="1125">
        <f t="shared" si="156"/>
        <v>21</v>
      </c>
      <c r="J468" s="1125">
        <f t="shared" si="156"/>
        <v>21</v>
      </c>
      <c r="K468" s="1125">
        <f t="shared" si="156"/>
        <v>21</v>
      </c>
      <c r="L468" s="1125">
        <f t="shared" si="156"/>
        <v>21</v>
      </c>
      <c r="M468" s="1125">
        <f t="shared" si="156"/>
        <v>21</v>
      </c>
      <c r="N468" s="1125">
        <f t="shared" si="156"/>
        <v>21</v>
      </c>
      <c r="O468" s="1125">
        <f t="shared" si="156"/>
        <v>21</v>
      </c>
      <c r="P468" s="1125"/>
      <c r="Q468" s="1125">
        <f t="shared" ref="Q468:AK468" si="157">Q463+Q464+Q465</f>
        <v>21</v>
      </c>
      <c r="R468" s="1125">
        <f t="shared" si="157"/>
        <v>21</v>
      </c>
      <c r="S468" s="1125">
        <f t="shared" si="157"/>
        <v>21</v>
      </c>
      <c r="T468" s="1125">
        <f t="shared" si="157"/>
        <v>21</v>
      </c>
      <c r="U468" s="1125">
        <f t="shared" si="157"/>
        <v>21</v>
      </c>
      <c r="V468" s="1125">
        <f t="shared" si="157"/>
        <v>21</v>
      </c>
      <c r="W468" s="1125">
        <f t="shared" si="157"/>
        <v>21</v>
      </c>
      <c r="X468" s="1125">
        <f t="shared" si="157"/>
        <v>21</v>
      </c>
      <c r="Y468" s="1125">
        <f t="shared" si="157"/>
        <v>21</v>
      </c>
      <c r="Z468" s="1125">
        <f t="shared" si="157"/>
        <v>21</v>
      </c>
      <c r="AA468" s="1125">
        <f t="shared" si="157"/>
        <v>21</v>
      </c>
      <c r="AB468" s="1125">
        <f t="shared" si="157"/>
        <v>21</v>
      </c>
      <c r="AC468" s="1125">
        <f t="shared" si="157"/>
        <v>21</v>
      </c>
      <c r="AD468" s="1125">
        <f t="shared" si="157"/>
        <v>21</v>
      </c>
      <c r="AE468" s="1125">
        <f t="shared" si="157"/>
        <v>21</v>
      </c>
      <c r="AF468" s="1125">
        <f t="shared" si="157"/>
        <v>21</v>
      </c>
      <c r="AG468" s="1125">
        <f t="shared" si="157"/>
        <v>21</v>
      </c>
      <c r="AH468" s="1125">
        <f t="shared" si="157"/>
        <v>21</v>
      </c>
      <c r="AI468" s="1125">
        <f t="shared" si="157"/>
        <v>21</v>
      </c>
      <c r="AJ468" s="1125">
        <f t="shared" si="157"/>
        <v>21</v>
      </c>
      <c r="AK468" s="1125">
        <f t="shared" si="157"/>
        <v>21</v>
      </c>
      <c r="AL468" s="1175"/>
      <c r="AM468" s="1175"/>
      <c r="AN468" s="1175"/>
      <c r="AO468" s="1175"/>
      <c r="AP468" s="1175"/>
      <c r="AQ468" s="1175"/>
      <c r="AR468" s="1175"/>
      <c r="AS468" s="1175"/>
      <c r="AT468" s="1175"/>
      <c r="AU468" s="1175"/>
      <c r="AV468" s="1175"/>
      <c r="AW468" s="1175"/>
      <c r="AX468" s="1175"/>
      <c r="AY468" s="1175"/>
      <c r="AZ468" s="1"/>
      <c r="BA468" s="1"/>
      <c r="BB468" s="1"/>
      <c r="BC468" s="1"/>
      <c r="BD468" s="1"/>
      <c r="BE468" s="1135"/>
      <c r="BF468" s="1135"/>
      <c r="BG468" s="1135"/>
      <c r="BH468" s="1135"/>
      <c r="BI468" s="1135"/>
      <c r="BJ468" s="1135"/>
      <c r="BK468" s="1135"/>
      <c r="BL468" s="1135"/>
    </row>
    <row r="469">
      <c r="A469" s="901"/>
      <c r="B469" s="854" t="s">
        <v>75</v>
      </c>
      <c r="D469" s="1126">
        <f t="shared" ref="D469:O469" si="158">IFERROR(D468/D467,"")</f>
        <v>1</v>
      </c>
      <c r="E469" s="1127">
        <f t="shared" si="158"/>
        <v>1</v>
      </c>
      <c r="F469" s="1127">
        <f t="shared" si="158"/>
        <v>1</v>
      </c>
      <c r="G469" s="1127">
        <f t="shared" si="158"/>
        <v>1</v>
      </c>
      <c r="H469" s="1127">
        <f t="shared" si="158"/>
        <v>1</v>
      </c>
      <c r="I469" s="1127">
        <f t="shared" si="158"/>
        <v>1</v>
      </c>
      <c r="J469" s="1127">
        <f t="shared" si="158"/>
        <v>1</v>
      </c>
      <c r="K469" s="1127">
        <f t="shared" si="158"/>
        <v>1</v>
      </c>
      <c r="L469" s="1127">
        <f t="shared" si="158"/>
        <v>1</v>
      </c>
      <c r="M469" s="1127">
        <f t="shared" si="158"/>
        <v>1</v>
      </c>
      <c r="N469" s="1127">
        <f t="shared" si="158"/>
        <v>1</v>
      </c>
      <c r="O469" s="1127">
        <f t="shared" si="158"/>
        <v>1</v>
      </c>
      <c r="P469" s="1127"/>
      <c r="Q469" s="1127">
        <f t="shared" ref="Q469:AK469" si="159">IFERROR(Q468/Q467,"")</f>
        <v>1</v>
      </c>
      <c r="R469" s="1127">
        <f t="shared" si="159"/>
        <v>1</v>
      </c>
      <c r="S469" s="1127">
        <f t="shared" si="159"/>
        <v>1</v>
      </c>
      <c r="T469" s="1127">
        <f t="shared" si="159"/>
        <v>1</v>
      </c>
      <c r="U469" s="1127">
        <f t="shared" si="159"/>
        <v>1</v>
      </c>
      <c r="V469" s="1127">
        <f t="shared" si="159"/>
        <v>1</v>
      </c>
      <c r="W469" s="1127">
        <f t="shared" si="159"/>
        <v>1</v>
      </c>
      <c r="X469" s="1127">
        <f t="shared" si="159"/>
        <v>1</v>
      </c>
      <c r="Y469" s="1127">
        <f t="shared" si="159"/>
        <v>1</v>
      </c>
      <c r="Z469" s="1127">
        <f t="shared" si="159"/>
        <v>1</v>
      </c>
      <c r="AA469" s="1127">
        <f t="shared" si="159"/>
        <v>1</v>
      </c>
      <c r="AB469" s="1127">
        <f t="shared" si="159"/>
        <v>1</v>
      </c>
      <c r="AC469" s="1127">
        <f t="shared" si="159"/>
        <v>1</v>
      </c>
      <c r="AD469" s="1127">
        <f t="shared" si="159"/>
        <v>1</v>
      </c>
      <c r="AE469" s="1127">
        <f t="shared" si="159"/>
        <v>1</v>
      </c>
      <c r="AF469" s="1127">
        <f t="shared" si="159"/>
        <v>1</v>
      </c>
      <c r="AG469" s="1127">
        <f t="shared" si="159"/>
        <v>1</v>
      </c>
      <c r="AH469" s="1127">
        <f t="shared" si="159"/>
        <v>1</v>
      </c>
      <c r="AI469" s="1127">
        <f t="shared" si="159"/>
        <v>1</v>
      </c>
      <c r="AJ469" s="1127">
        <f t="shared" si="159"/>
        <v>1</v>
      </c>
      <c r="AK469" s="1127">
        <f t="shared" si="159"/>
        <v>1</v>
      </c>
      <c r="AL469" s="1178"/>
      <c r="AM469" s="1178"/>
      <c r="AN469" s="1178"/>
      <c r="AO469" s="1178"/>
      <c r="AP469" s="1178"/>
      <c r="AQ469" s="1178"/>
      <c r="AR469" s="1178"/>
      <c r="AS469" s="1178"/>
      <c r="AT469" s="1178"/>
      <c r="AU469" s="1178"/>
      <c r="AV469" s="1178"/>
      <c r="AW469" s="1178"/>
      <c r="AX469" s="1178"/>
      <c r="AY469" s="1178"/>
      <c r="AZ469" s="1178"/>
      <c r="BA469" s="1178"/>
      <c r="BB469" s="1178"/>
      <c r="BC469" s="1178"/>
      <c r="BD469" s="1178"/>
      <c r="BE469" s="1179"/>
      <c r="BF469" s="1179"/>
      <c r="BG469" s="1179"/>
      <c r="BH469" s="1179"/>
      <c r="BI469" s="1179"/>
      <c r="BJ469" s="1179"/>
      <c r="BK469" s="1179"/>
      <c r="BL469" s="1179"/>
    </row>
    <row r="470">
      <c r="A470" s="912"/>
      <c r="D470" s="1180"/>
      <c r="M470" s="1294"/>
      <c r="N470" s="1045"/>
      <c r="O470" s="1045"/>
      <c r="P470" s="1045"/>
      <c r="Q470" s="1045"/>
      <c r="R470" s="1045"/>
      <c r="S470" s="1045"/>
      <c r="T470" s="1045"/>
      <c r="U470" s="1045"/>
      <c r="V470" s="1045"/>
      <c r="W470" s="1045"/>
      <c r="X470" s="1045"/>
      <c r="Y470" s="1045"/>
      <c r="Z470" s="1045"/>
      <c r="AA470" s="1045"/>
      <c r="AB470" s="1045"/>
      <c r="AC470" s="1045"/>
      <c r="AD470" s="1045"/>
      <c r="AE470" s="1045"/>
      <c r="AF470" s="1045"/>
      <c r="AG470" s="1045"/>
      <c r="AH470" s="1045"/>
      <c r="AI470" s="1045"/>
      <c r="AJ470" s="1045"/>
      <c r="AK470" s="1045"/>
      <c r="AL470" s="1045"/>
      <c r="AM470" s="1045"/>
      <c r="AN470" s="1045"/>
      <c r="AO470" s="1045"/>
      <c r="AP470" s="1045"/>
      <c r="AQ470" s="1045"/>
      <c r="AR470" s="1045"/>
      <c r="AS470" s="1045"/>
      <c r="AT470" s="1045"/>
      <c r="AU470" s="1045"/>
      <c r="AV470" s="1045"/>
      <c r="AW470" s="1045"/>
      <c r="AX470" s="1045"/>
      <c r="AY470" s="1045"/>
      <c r="AZ470" s="1045"/>
      <c r="BA470" s="1045"/>
      <c r="BB470" s="1045"/>
      <c r="BC470" s="1045"/>
      <c r="BD470" s="1046"/>
      <c r="BE470" s="1295"/>
      <c r="BF470" s="1295"/>
      <c r="BG470" s="1295"/>
      <c r="BH470" s="1295"/>
      <c r="BI470" s="1295"/>
      <c r="BJ470" s="1295"/>
      <c r="BK470" s="1295"/>
      <c r="BL470" s="1295"/>
    </row>
    <row r="471">
      <c r="A471" s="731"/>
      <c r="B471" s="732" t="s">
        <v>1170</v>
      </c>
      <c r="C471" s="732" t="s">
        <v>7</v>
      </c>
      <c r="D471" s="1296"/>
      <c r="E471" s="1197"/>
      <c r="F471" s="1197"/>
      <c r="G471" s="1197"/>
      <c r="H471" s="1197"/>
      <c r="I471" s="1197"/>
      <c r="J471" s="1197"/>
      <c r="K471" s="1197"/>
      <c r="L471" s="1197"/>
      <c r="BD471" s="1052"/>
      <c r="BE471" s="1295"/>
      <c r="BF471" s="1295"/>
      <c r="BG471" s="1295"/>
      <c r="BH471" s="1295"/>
      <c r="BI471" s="1295"/>
      <c r="BJ471" s="1295"/>
      <c r="BK471" s="1295"/>
      <c r="BL471" s="1295"/>
    </row>
    <row r="472">
      <c r="A472" s="1083" t="s">
        <v>240</v>
      </c>
      <c r="B472" s="390"/>
      <c r="C472" s="390"/>
      <c r="D472" s="1297" t="s">
        <v>1296</v>
      </c>
      <c r="E472" s="1056"/>
      <c r="F472" s="1056"/>
      <c r="G472" s="1056"/>
      <c r="H472" s="1056"/>
      <c r="I472" s="1056"/>
      <c r="J472" s="1056"/>
      <c r="K472" s="1056"/>
      <c r="L472" s="1058"/>
      <c r="M472" s="1056"/>
      <c r="N472" s="1056"/>
      <c r="O472" s="1056"/>
      <c r="P472" s="1056"/>
      <c r="Q472" s="1056"/>
      <c r="R472" s="1056"/>
      <c r="S472" s="1056"/>
      <c r="T472" s="1056"/>
      <c r="U472" s="1056"/>
      <c r="V472" s="1056"/>
      <c r="W472" s="1056"/>
      <c r="X472" s="1056"/>
      <c r="Y472" s="1056"/>
      <c r="Z472" s="1056"/>
      <c r="AA472" s="1056"/>
      <c r="AB472" s="1056"/>
      <c r="AC472" s="1056"/>
      <c r="AD472" s="1056"/>
      <c r="AE472" s="1056"/>
      <c r="AF472" s="1056"/>
      <c r="AG472" s="1056"/>
      <c r="AH472" s="1056"/>
      <c r="AI472" s="1056"/>
      <c r="AJ472" s="1056"/>
      <c r="AK472" s="1056"/>
      <c r="AL472" s="1056"/>
      <c r="AM472" s="1056"/>
      <c r="AN472" s="1056"/>
      <c r="AO472" s="1056"/>
      <c r="AP472" s="1056"/>
      <c r="AQ472" s="1056"/>
      <c r="AR472" s="1056"/>
      <c r="AS472" s="1056"/>
      <c r="AT472" s="1056"/>
      <c r="AU472" s="1056"/>
      <c r="AV472" s="1056"/>
      <c r="AW472" s="1056"/>
      <c r="AX472" s="1056"/>
      <c r="AY472" s="1056"/>
      <c r="AZ472" s="1056"/>
      <c r="BA472" s="1056"/>
      <c r="BB472" s="1056"/>
      <c r="BC472" s="1056"/>
      <c r="BD472" s="1058"/>
      <c r="BE472" s="1295"/>
      <c r="BF472" s="1295"/>
      <c r="BG472" s="1295"/>
      <c r="BH472" s="1295"/>
      <c r="BI472" s="1295"/>
      <c r="BJ472" s="1295"/>
      <c r="BK472" s="1295"/>
      <c r="BL472" s="1295"/>
    </row>
    <row r="473">
      <c r="A473" s="912"/>
      <c r="D473" s="1180"/>
      <c r="BE473" s="1129"/>
      <c r="BF473" s="1129"/>
      <c r="BG473" s="1129"/>
      <c r="BH473" s="1129"/>
      <c r="BI473" s="1129"/>
      <c r="BJ473" s="1129"/>
      <c r="BK473" s="1129"/>
      <c r="BL473" s="1129"/>
    </row>
    <row r="474">
      <c r="A474" s="731"/>
      <c r="B474" s="732" t="s">
        <v>1170</v>
      </c>
      <c r="C474" s="732" t="s">
        <v>7</v>
      </c>
      <c r="D474" s="918"/>
      <c r="AM474" s="1298"/>
      <c r="AN474" s="1045"/>
      <c r="AO474" s="1045"/>
      <c r="AP474" s="1045"/>
      <c r="AQ474" s="1045"/>
      <c r="AR474" s="1045"/>
      <c r="AS474" s="1045"/>
      <c r="AT474" s="1045"/>
      <c r="AU474" s="1045"/>
      <c r="AV474" s="1045"/>
      <c r="AW474" s="1045"/>
      <c r="AX474" s="1045"/>
      <c r="AY474" s="1045"/>
      <c r="AZ474" s="1045"/>
      <c r="BA474" s="1045"/>
      <c r="BB474" s="1045"/>
      <c r="BC474" s="1045"/>
      <c r="BD474" s="1046"/>
      <c r="BE474" s="1129"/>
      <c r="BF474" s="1129"/>
      <c r="BG474" s="1129"/>
      <c r="BH474" s="1129"/>
      <c r="BI474" s="1129"/>
      <c r="BJ474" s="1129"/>
      <c r="BK474" s="1129"/>
      <c r="BL474" s="1129"/>
    </row>
    <row r="475">
      <c r="A475" s="1083" t="s">
        <v>202</v>
      </c>
      <c r="B475" s="390"/>
      <c r="C475" s="390"/>
      <c r="D475" s="1299" t="s">
        <v>203</v>
      </c>
      <c r="E475" s="1300" t="s">
        <v>205</v>
      </c>
      <c r="F475" s="1300" t="s">
        <v>206</v>
      </c>
      <c r="G475" s="1300" t="s">
        <v>638</v>
      </c>
      <c r="H475" s="1300" t="s">
        <v>201</v>
      </c>
      <c r="I475" s="1300" t="s">
        <v>207</v>
      </c>
      <c r="J475" s="1300" t="s">
        <v>209</v>
      </c>
      <c r="K475" s="1300" t="s">
        <v>210</v>
      </c>
      <c r="L475" s="1300" t="s">
        <v>639</v>
      </c>
      <c r="M475" s="1300" t="s">
        <v>1297</v>
      </c>
      <c r="N475" s="1245" t="s">
        <v>641</v>
      </c>
      <c r="O475" s="1245" t="s">
        <v>643</v>
      </c>
      <c r="P475" s="1245"/>
      <c r="Q475" s="1245" t="s">
        <v>1298</v>
      </c>
      <c r="R475" s="1245" t="s">
        <v>645</v>
      </c>
      <c r="S475" s="1245" t="s">
        <v>212</v>
      </c>
      <c r="T475" s="1245" t="s">
        <v>214</v>
      </c>
      <c r="U475" s="1245" t="s">
        <v>218</v>
      </c>
      <c r="V475" s="1245" t="s">
        <v>219</v>
      </c>
      <c r="W475" s="1245" t="s">
        <v>640</v>
      </c>
      <c r="X475" s="1245" t="s">
        <v>647</v>
      </c>
      <c r="Y475" s="1245" t="s">
        <v>648</v>
      </c>
      <c r="Z475" s="1245" t="s">
        <v>649</v>
      </c>
      <c r="AA475" s="1245" t="s">
        <v>651</v>
      </c>
      <c r="AB475" s="1245" t="s">
        <v>223</v>
      </c>
      <c r="AC475" s="1245" t="s">
        <v>652</v>
      </c>
      <c r="AD475" s="1245" t="s">
        <v>1299</v>
      </c>
      <c r="AE475" s="1245" t="s">
        <v>656</v>
      </c>
      <c r="AF475" s="1245" t="s">
        <v>657</v>
      </c>
      <c r="AG475" s="1245" t="s">
        <v>658</v>
      </c>
      <c r="AH475" s="1245" t="s">
        <v>226</v>
      </c>
      <c r="AI475" s="1245" t="s">
        <v>654</v>
      </c>
      <c r="AJ475" s="1245" t="s">
        <v>228</v>
      </c>
      <c r="AK475" s="1245" t="s">
        <v>231</v>
      </c>
      <c r="AL475" s="1301" t="s">
        <v>232</v>
      </c>
      <c r="AM475" s="1051"/>
      <c r="BD475" s="1052"/>
      <c r="BE475" s="1129"/>
      <c r="BF475" s="1129"/>
      <c r="BG475" s="1129"/>
      <c r="BH475" s="1129"/>
      <c r="BI475" s="1129"/>
      <c r="BJ475" s="1129"/>
      <c r="BK475" s="1129"/>
      <c r="BL475" s="1129"/>
    </row>
    <row r="476">
      <c r="A476" s="1302" t="s">
        <v>1300</v>
      </c>
      <c r="B476" s="1303" t="s">
        <v>1289</v>
      </c>
      <c r="C476" s="1303" t="s">
        <v>200</v>
      </c>
      <c r="D476" s="1304" t="s">
        <v>99</v>
      </c>
      <c r="E476" s="1305" t="s">
        <v>99</v>
      </c>
      <c r="F476" s="1306" t="s">
        <v>69</v>
      </c>
      <c r="G476" s="1214" t="s">
        <v>99</v>
      </c>
      <c r="H476" s="1186" t="s">
        <v>69</v>
      </c>
      <c r="I476" s="1186" t="s">
        <v>69</v>
      </c>
      <c r="J476" s="1214" t="s">
        <v>99</v>
      </c>
      <c r="K476" s="1186" t="s">
        <v>69</v>
      </c>
      <c r="L476" s="1306" t="s">
        <v>69</v>
      </c>
      <c r="M476" s="1307" t="s">
        <v>99</v>
      </c>
      <c r="N476" s="1257" t="s">
        <v>69</v>
      </c>
      <c r="O476" s="1257" t="s">
        <v>69</v>
      </c>
      <c r="P476" s="1257"/>
      <c r="Q476" s="1259" t="s">
        <v>99</v>
      </c>
      <c r="R476" s="1259" t="s">
        <v>99</v>
      </c>
      <c r="S476" s="1258" t="s">
        <v>70</v>
      </c>
      <c r="T476" s="1257" t="s">
        <v>69</v>
      </c>
      <c r="U476" s="1257" t="s">
        <v>69</v>
      </c>
      <c r="V476" s="1259" t="s">
        <v>99</v>
      </c>
      <c r="W476" s="1257" t="s">
        <v>69</v>
      </c>
      <c r="X476" s="1257" t="s">
        <v>69</v>
      </c>
      <c r="Y476" s="1257" t="s">
        <v>69</v>
      </c>
      <c r="Z476" s="1257" t="s">
        <v>69</v>
      </c>
      <c r="AA476" s="1257" t="s">
        <v>69</v>
      </c>
      <c r="AB476" s="1258" t="s">
        <v>70</v>
      </c>
      <c r="AC476" s="1258" t="s">
        <v>70</v>
      </c>
      <c r="AD476" s="1257" t="s">
        <v>69</v>
      </c>
      <c r="AE476" s="1257" t="s">
        <v>69</v>
      </c>
      <c r="AF476" s="1257" t="s">
        <v>69</v>
      </c>
      <c r="AG476" s="1257" t="s">
        <v>69</v>
      </c>
      <c r="AH476" s="1259" t="s">
        <v>99</v>
      </c>
      <c r="AI476" s="1257" t="s">
        <v>69</v>
      </c>
      <c r="AJ476" s="1258" t="s">
        <v>70</v>
      </c>
      <c r="AK476" s="1258" t="s">
        <v>70</v>
      </c>
      <c r="AL476" s="1275" t="s">
        <v>70</v>
      </c>
      <c r="AM476" s="1051"/>
      <c r="BD476" s="1052"/>
      <c r="BE476" s="1129"/>
      <c r="BF476" s="1129"/>
      <c r="BG476" s="1129"/>
      <c r="BH476" s="1129"/>
      <c r="BI476" s="1129"/>
      <c r="BJ476" s="1129"/>
      <c r="BK476" s="1129"/>
      <c r="BL476" s="1129"/>
    </row>
    <row r="477">
      <c r="A477" s="901"/>
      <c r="B477" s="1266" t="s">
        <v>1293</v>
      </c>
      <c r="C477" s="1266" t="s">
        <v>200</v>
      </c>
      <c r="D477" s="1308" t="s">
        <v>69</v>
      </c>
      <c r="E477" s="1306" t="s">
        <v>69</v>
      </c>
      <c r="F477" s="1306" t="s">
        <v>69</v>
      </c>
      <c r="G477" s="1187" t="s">
        <v>70</v>
      </c>
      <c r="H477" s="1186" t="s">
        <v>69</v>
      </c>
      <c r="I477" s="1186" t="s">
        <v>69</v>
      </c>
      <c r="J477" s="1186" t="s">
        <v>69</v>
      </c>
      <c r="K477" s="1186" t="s">
        <v>69</v>
      </c>
      <c r="L477" s="1306" t="s">
        <v>69</v>
      </c>
      <c r="M477" s="1309" t="s">
        <v>70</v>
      </c>
      <c r="N477" s="1257" t="s">
        <v>69</v>
      </c>
      <c r="O477" s="1257" t="s">
        <v>69</v>
      </c>
      <c r="P477" s="1257"/>
      <c r="Q477" s="1257" t="s">
        <v>69</v>
      </c>
      <c r="R477" s="1257" t="s">
        <v>69</v>
      </c>
      <c r="S477" s="1258" t="s">
        <v>70</v>
      </c>
      <c r="T477" s="1258" t="s">
        <v>70</v>
      </c>
      <c r="U477" s="1258" t="s">
        <v>70</v>
      </c>
      <c r="V477" s="1258" t="s">
        <v>70</v>
      </c>
      <c r="W477" s="1257" t="s">
        <v>69</v>
      </c>
      <c r="X477" s="1257" t="s">
        <v>69</v>
      </c>
      <c r="Y477" s="1257" t="s">
        <v>69</v>
      </c>
      <c r="Z477" s="1257" t="s">
        <v>69</v>
      </c>
      <c r="AA477" s="1257" t="s">
        <v>69</v>
      </c>
      <c r="AB477" s="1258" t="s">
        <v>70</v>
      </c>
      <c r="AC477" s="1258" t="s">
        <v>70</v>
      </c>
      <c r="AD477" s="1257" t="s">
        <v>69</v>
      </c>
      <c r="AE477" s="1257" t="s">
        <v>69</v>
      </c>
      <c r="AF477" s="1257" t="s">
        <v>69</v>
      </c>
      <c r="AG477" s="1257" t="s">
        <v>69</v>
      </c>
      <c r="AH477" s="1258" t="s">
        <v>70</v>
      </c>
      <c r="AI477" s="1257" t="s">
        <v>69</v>
      </c>
      <c r="AJ477" s="1258" t="s">
        <v>70</v>
      </c>
      <c r="AK477" s="1258" t="s">
        <v>70</v>
      </c>
      <c r="AL477" s="1275" t="s">
        <v>70</v>
      </c>
      <c r="AM477" s="1051"/>
      <c r="BD477" s="1052"/>
      <c r="BE477" s="1129"/>
      <c r="BF477" s="1129"/>
      <c r="BG477" s="1129"/>
      <c r="BH477" s="1129"/>
      <c r="BI477" s="1129"/>
      <c r="BJ477" s="1129"/>
      <c r="BK477" s="1129"/>
      <c r="BL477" s="1129"/>
    </row>
    <row r="478">
      <c r="A478" s="901"/>
      <c r="B478" s="1266" t="s">
        <v>1301</v>
      </c>
      <c r="C478" s="1266" t="s">
        <v>200</v>
      </c>
      <c r="D478" s="1310" t="s">
        <v>100</v>
      </c>
      <c r="E478" s="1311" t="s">
        <v>100</v>
      </c>
      <c r="F478" s="1311" t="s">
        <v>100</v>
      </c>
      <c r="G478" s="1200" t="s">
        <v>99</v>
      </c>
      <c r="H478" s="1184" t="s">
        <v>69</v>
      </c>
      <c r="I478" s="1184" t="s">
        <v>69</v>
      </c>
      <c r="J478" s="1185" t="s">
        <v>70</v>
      </c>
      <c r="K478" s="1184" t="s">
        <v>69</v>
      </c>
      <c r="L478" s="1312" t="s">
        <v>69</v>
      </c>
      <c r="M478" s="1313" t="s">
        <v>69</v>
      </c>
      <c r="N478" s="1257" t="s">
        <v>69</v>
      </c>
      <c r="O478" s="1257" t="s">
        <v>69</v>
      </c>
      <c r="P478" s="1257"/>
      <c r="Q478" s="1259" t="s">
        <v>99</v>
      </c>
      <c r="R478" s="1258" t="s">
        <v>70</v>
      </c>
      <c r="S478" s="1258" t="s">
        <v>70</v>
      </c>
      <c r="T478" s="1257" t="s">
        <v>69</v>
      </c>
      <c r="U478" s="1257" t="s">
        <v>69</v>
      </c>
      <c r="V478" s="1259" t="s">
        <v>99</v>
      </c>
      <c r="W478" s="1257" t="s">
        <v>69</v>
      </c>
      <c r="X478" s="1257" t="s">
        <v>69</v>
      </c>
      <c r="Y478" s="1257" t="s">
        <v>69</v>
      </c>
      <c r="Z478" s="1257" t="s">
        <v>69</v>
      </c>
      <c r="AA478" s="1257" t="s">
        <v>69</v>
      </c>
      <c r="AB478" s="1258" t="s">
        <v>70</v>
      </c>
      <c r="AC478" s="1314" t="s">
        <v>100</v>
      </c>
      <c r="AD478" s="1314" t="s">
        <v>100</v>
      </c>
      <c r="AE478" s="1314" t="s">
        <v>100</v>
      </c>
      <c r="AF478" s="1314" t="s">
        <v>100</v>
      </c>
      <c r="AG478" s="1314" t="s">
        <v>100</v>
      </c>
      <c r="AH478" s="1314" t="s">
        <v>100</v>
      </c>
      <c r="AI478" s="1314" t="s">
        <v>100</v>
      </c>
      <c r="AJ478" s="1314" t="s">
        <v>100</v>
      </c>
      <c r="AK478" s="1314" t="s">
        <v>100</v>
      </c>
      <c r="AL478" s="1315" t="s">
        <v>100</v>
      </c>
      <c r="AM478" s="1051"/>
      <c r="BD478" s="1052"/>
      <c r="BE478" s="1129"/>
      <c r="BF478" s="1129"/>
      <c r="BG478" s="1129"/>
      <c r="BH478" s="1129"/>
      <c r="BI478" s="1129"/>
      <c r="BJ478" s="1129"/>
      <c r="BK478" s="1129"/>
      <c r="BL478" s="1129"/>
    </row>
    <row r="479">
      <c r="A479" s="901"/>
      <c r="B479" s="1266" t="s">
        <v>67</v>
      </c>
      <c r="C479" s="1266" t="s">
        <v>200</v>
      </c>
      <c r="D479" s="1308" t="s">
        <v>69</v>
      </c>
      <c r="E479" s="1306" t="s">
        <v>69</v>
      </c>
      <c r="F479" s="1306" t="s">
        <v>69</v>
      </c>
      <c r="G479" s="1214" t="s">
        <v>99</v>
      </c>
      <c r="H479" s="1186" t="s">
        <v>69</v>
      </c>
      <c r="I479" s="1186" t="s">
        <v>69</v>
      </c>
      <c r="J479" s="1187" t="s">
        <v>70</v>
      </c>
      <c r="K479" s="1186" t="s">
        <v>69</v>
      </c>
      <c r="L479" s="1306" t="s">
        <v>69</v>
      </c>
      <c r="M479" s="1316" t="s">
        <v>69</v>
      </c>
      <c r="N479" s="1250" t="s">
        <v>69</v>
      </c>
      <c r="O479" s="1250" t="s">
        <v>69</v>
      </c>
      <c r="P479" s="1250"/>
      <c r="Q479" s="1251" t="s">
        <v>70</v>
      </c>
      <c r="R479" s="1250" t="s">
        <v>69</v>
      </c>
      <c r="S479" s="1251" t="s">
        <v>70</v>
      </c>
      <c r="T479" s="1250" t="s">
        <v>69</v>
      </c>
      <c r="U479" s="1250" t="s">
        <v>69</v>
      </c>
      <c r="V479" s="1251" t="s">
        <v>70</v>
      </c>
      <c r="W479" s="1250" t="s">
        <v>69</v>
      </c>
      <c r="X479" s="1250" t="s">
        <v>69</v>
      </c>
      <c r="Y479" s="1250" t="s">
        <v>69</v>
      </c>
      <c r="Z479" s="1250" t="s">
        <v>69</v>
      </c>
      <c r="AA479" s="1250" t="s">
        <v>69</v>
      </c>
      <c r="AB479" s="1251" t="s">
        <v>70</v>
      </c>
      <c r="AC479" s="1251" t="s">
        <v>70</v>
      </c>
      <c r="AD479" s="1250" t="s">
        <v>69</v>
      </c>
      <c r="AE479" s="1252" t="s">
        <v>99</v>
      </c>
      <c r="AF479" s="1250" t="s">
        <v>69</v>
      </c>
      <c r="AG479" s="1250" t="s">
        <v>69</v>
      </c>
      <c r="AH479" s="1251" t="s">
        <v>70</v>
      </c>
      <c r="AI479" s="1250" t="s">
        <v>69</v>
      </c>
      <c r="AJ479" s="1251" t="s">
        <v>70</v>
      </c>
      <c r="AK479" s="1251" t="s">
        <v>70</v>
      </c>
      <c r="AL479" s="1317" t="s">
        <v>70</v>
      </c>
      <c r="AM479" s="1051"/>
      <c r="BD479" s="1052"/>
      <c r="BE479" s="1129"/>
      <c r="BF479" s="1129"/>
      <c r="BG479" s="1129"/>
      <c r="BH479" s="1129"/>
      <c r="BI479" s="1129"/>
      <c r="BJ479" s="1129"/>
      <c r="BK479" s="1129"/>
      <c r="BL479" s="1129"/>
    </row>
    <row r="480">
      <c r="A480" s="901"/>
      <c r="B480" s="1266" t="s">
        <v>1302</v>
      </c>
      <c r="C480" s="1266" t="s">
        <v>200</v>
      </c>
      <c r="D480" s="1304" t="s">
        <v>99</v>
      </c>
      <c r="E480" s="1306" t="s">
        <v>69</v>
      </c>
      <c r="F480" s="1305" t="s">
        <v>99</v>
      </c>
      <c r="G480" s="1186" t="s">
        <v>69</v>
      </c>
      <c r="H480" s="1187" t="s">
        <v>70</v>
      </c>
      <c r="I480" s="1186" t="s">
        <v>69</v>
      </c>
      <c r="J480" s="1186" t="s">
        <v>69</v>
      </c>
      <c r="K480" s="1186" t="s">
        <v>69</v>
      </c>
      <c r="L480" s="1306" t="s">
        <v>69</v>
      </c>
      <c r="M480" s="1316" t="s">
        <v>69</v>
      </c>
      <c r="N480" s="1250" t="s">
        <v>69</v>
      </c>
      <c r="O480" s="1252" t="s">
        <v>99</v>
      </c>
      <c r="P480" s="1252"/>
      <c r="Q480" s="1251" t="s">
        <v>70</v>
      </c>
      <c r="R480" s="1252" t="s">
        <v>99</v>
      </c>
      <c r="S480" s="1251" t="s">
        <v>70</v>
      </c>
      <c r="T480" s="1250" t="s">
        <v>69</v>
      </c>
      <c r="U480" s="1250" t="s">
        <v>69</v>
      </c>
      <c r="V480" s="1251" t="s">
        <v>70</v>
      </c>
      <c r="W480" s="1250" t="s">
        <v>69</v>
      </c>
      <c r="X480" s="1250" t="s">
        <v>69</v>
      </c>
      <c r="Y480" s="1250" t="s">
        <v>69</v>
      </c>
      <c r="Z480" s="1250" t="s">
        <v>69</v>
      </c>
      <c r="AA480" s="1250" t="s">
        <v>69</v>
      </c>
      <c r="AB480" s="1251" t="s">
        <v>70</v>
      </c>
      <c r="AC480" s="1251" t="s">
        <v>70</v>
      </c>
      <c r="AD480" s="1250" t="s">
        <v>69</v>
      </c>
      <c r="AE480" s="1250" t="s">
        <v>69</v>
      </c>
      <c r="AF480" s="1250" t="s">
        <v>69</v>
      </c>
      <c r="AG480" s="1252" t="s">
        <v>99</v>
      </c>
      <c r="AH480" s="1251" t="s">
        <v>70</v>
      </c>
      <c r="AI480" s="1250" t="s">
        <v>69</v>
      </c>
      <c r="AJ480" s="1252" t="s">
        <v>99</v>
      </c>
      <c r="AK480" s="1251" t="s">
        <v>70</v>
      </c>
      <c r="AL480" s="1254" t="s">
        <v>69</v>
      </c>
      <c r="AM480" s="1051"/>
      <c r="BD480" s="1052"/>
      <c r="BE480" s="1129"/>
      <c r="BF480" s="1129"/>
      <c r="BG480" s="1129"/>
      <c r="BH480" s="1129"/>
      <c r="BI480" s="1129"/>
      <c r="BJ480" s="1129"/>
      <c r="BK480" s="1129"/>
      <c r="BL480" s="1129"/>
    </row>
    <row r="481">
      <c r="A481" s="901"/>
      <c r="B481" s="1276" t="s">
        <v>1218</v>
      </c>
      <c r="C481" s="1276" t="s">
        <v>177</v>
      </c>
      <c r="D481" s="1318" t="s">
        <v>100</v>
      </c>
      <c r="E481" s="1319" t="s">
        <v>100</v>
      </c>
      <c r="F481" s="1319" t="s">
        <v>100</v>
      </c>
      <c r="G481" s="1187" t="s">
        <v>70</v>
      </c>
      <c r="H481" s="1186" t="s">
        <v>69</v>
      </c>
      <c r="I481" s="1187" t="s">
        <v>70</v>
      </c>
      <c r="J481" s="1186" t="s">
        <v>69</v>
      </c>
      <c r="K481" s="1186" t="s">
        <v>69</v>
      </c>
      <c r="L481" s="1306" t="s">
        <v>69</v>
      </c>
      <c r="M481" s="1316" t="s">
        <v>69</v>
      </c>
      <c r="N481" s="1250" t="s">
        <v>69</v>
      </c>
      <c r="O481" s="1250" t="s">
        <v>69</v>
      </c>
      <c r="P481" s="1250"/>
      <c r="Q481" s="1250" t="s">
        <v>69</v>
      </c>
      <c r="R481" s="1250" t="s">
        <v>69</v>
      </c>
      <c r="S481" s="1251" t="s">
        <v>70</v>
      </c>
      <c r="T481" s="1250" t="s">
        <v>69</v>
      </c>
      <c r="U481" s="1250" t="s">
        <v>69</v>
      </c>
      <c r="V481" s="1250" t="s">
        <v>69</v>
      </c>
      <c r="W481" s="1250" t="s">
        <v>69</v>
      </c>
      <c r="X481" s="1250" t="s">
        <v>69</v>
      </c>
      <c r="Y481" s="1250" t="s">
        <v>69</v>
      </c>
      <c r="Z481" s="1250" t="s">
        <v>69</v>
      </c>
      <c r="AA481" s="1250" t="s">
        <v>69</v>
      </c>
      <c r="AB481" s="1251" t="s">
        <v>70</v>
      </c>
      <c r="AC481" s="1251" t="s">
        <v>70</v>
      </c>
      <c r="AD481" s="1250" t="s">
        <v>69</v>
      </c>
      <c r="AE481" s="1250" t="s">
        <v>69</v>
      </c>
      <c r="AF481" s="1250" t="s">
        <v>69</v>
      </c>
      <c r="AG481" s="1250" t="s">
        <v>69</v>
      </c>
      <c r="AH481" s="1250" t="s">
        <v>69</v>
      </c>
      <c r="AI481" s="1250" t="s">
        <v>69</v>
      </c>
      <c r="AJ481" s="1250" t="s">
        <v>69</v>
      </c>
      <c r="AK481" s="1251" t="s">
        <v>70</v>
      </c>
      <c r="AL481" s="1317" t="s">
        <v>70</v>
      </c>
      <c r="AM481" s="1051"/>
      <c r="BD481" s="1052"/>
      <c r="BE481" s="1129"/>
      <c r="BF481" s="1129"/>
      <c r="BG481" s="1129"/>
      <c r="BH481" s="1129"/>
      <c r="BI481" s="1129"/>
      <c r="BJ481" s="1129"/>
      <c r="BK481" s="1129"/>
      <c r="BL481" s="1129"/>
    </row>
    <row r="482">
      <c r="A482" s="901"/>
      <c r="B482" s="1277" t="s">
        <v>61</v>
      </c>
      <c r="C482" s="1277" t="s">
        <v>177</v>
      </c>
      <c r="D482" s="1320" t="s">
        <v>70</v>
      </c>
      <c r="E482" s="1306" t="s">
        <v>69</v>
      </c>
      <c r="F482" s="1193" t="s">
        <v>70</v>
      </c>
      <c r="G482" s="1187" t="s">
        <v>70</v>
      </c>
      <c r="H482" s="1214" t="s">
        <v>99</v>
      </c>
      <c r="I482" s="1186" t="s">
        <v>69</v>
      </c>
      <c r="J482" s="1187" t="s">
        <v>70</v>
      </c>
      <c r="K482" s="1186" t="s">
        <v>69</v>
      </c>
      <c r="L482" s="1306" t="s">
        <v>69</v>
      </c>
      <c r="M482" s="1316" t="s">
        <v>69</v>
      </c>
      <c r="N482" s="1250" t="s">
        <v>69</v>
      </c>
      <c r="O482" s="1252" t="s">
        <v>99</v>
      </c>
      <c r="P482" s="1252"/>
      <c r="Q482" s="1250" t="s">
        <v>69</v>
      </c>
      <c r="R482" s="1250" t="s">
        <v>69</v>
      </c>
      <c r="S482" s="1251" t="s">
        <v>70</v>
      </c>
      <c r="T482" s="1250" t="s">
        <v>69</v>
      </c>
      <c r="U482" s="1250" t="s">
        <v>69</v>
      </c>
      <c r="V482" s="1250" t="s">
        <v>69</v>
      </c>
      <c r="W482" s="1250" t="s">
        <v>69</v>
      </c>
      <c r="X482" s="1250" t="s">
        <v>69</v>
      </c>
      <c r="Y482" s="1250" t="s">
        <v>69</v>
      </c>
      <c r="Z482" s="1250" t="s">
        <v>69</v>
      </c>
      <c r="AA482" s="1250" t="s">
        <v>69</v>
      </c>
      <c r="AB482" s="1252" t="s">
        <v>99</v>
      </c>
      <c r="AC482" s="1251" t="s">
        <v>70</v>
      </c>
      <c r="AD482" s="1250" t="s">
        <v>69</v>
      </c>
      <c r="AE482" s="1250" t="s">
        <v>69</v>
      </c>
      <c r="AF482" s="1250" t="s">
        <v>69</v>
      </c>
      <c r="AG482" s="1250" t="s">
        <v>69</v>
      </c>
      <c r="AH482" s="1252" t="s">
        <v>99</v>
      </c>
      <c r="AI482" s="1250" t="s">
        <v>69</v>
      </c>
      <c r="AJ482" s="1250" t="s">
        <v>69</v>
      </c>
      <c r="AK482" s="1251" t="s">
        <v>70</v>
      </c>
      <c r="AL482" s="1254" t="s">
        <v>69</v>
      </c>
      <c r="AM482" s="1051"/>
      <c r="BD482" s="1052"/>
      <c r="BE482" s="1129"/>
      <c r="BF482" s="1129"/>
      <c r="BG482" s="1129"/>
      <c r="BH482" s="1129"/>
      <c r="BI482" s="1129"/>
      <c r="BJ482" s="1129"/>
      <c r="BK482" s="1129"/>
      <c r="BL482" s="1129"/>
    </row>
    <row r="483">
      <c r="A483" s="901"/>
      <c r="B483" s="1277" t="s">
        <v>1257</v>
      </c>
      <c r="C483" s="1277" t="s">
        <v>177</v>
      </c>
      <c r="D483" s="1321" t="s">
        <v>100</v>
      </c>
      <c r="E483" s="1322" t="s">
        <v>100</v>
      </c>
      <c r="F483" s="1322" t="s">
        <v>100</v>
      </c>
      <c r="G483" s="1207" t="s">
        <v>70</v>
      </c>
      <c r="H483" s="1206" t="s">
        <v>69</v>
      </c>
      <c r="I483" s="1207" t="s">
        <v>70</v>
      </c>
      <c r="J483" s="1208" t="s">
        <v>99</v>
      </c>
      <c r="K483" s="1206" t="s">
        <v>69</v>
      </c>
      <c r="L483" s="1323" t="s">
        <v>69</v>
      </c>
      <c r="M483" s="1324" t="s">
        <v>70</v>
      </c>
      <c r="N483" s="1250" t="s">
        <v>69</v>
      </c>
      <c r="O483" s="1250" t="s">
        <v>69</v>
      </c>
      <c r="P483" s="1250"/>
      <c r="Q483" s="1250" t="s">
        <v>69</v>
      </c>
      <c r="R483" s="1251" t="s">
        <v>70</v>
      </c>
      <c r="S483" s="1251" t="s">
        <v>70</v>
      </c>
      <c r="T483" s="1250" t="s">
        <v>69</v>
      </c>
      <c r="U483" s="1250" t="s">
        <v>69</v>
      </c>
      <c r="V483" s="1251" t="s">
        <v>70</v>
      </c>
      <c r="W483" s="1325" t="s">
        <v>100</v>
      </c>
      <c r="X483" s="1325" t="s">
        <v>100</v>
      </c>
      <c r="Y483" s="1325" t="s">
        <v>100</v>
      </c>
      <c r="Z483" s="1325" t="s">
        <v>100</v>
      </c>
      <c r="AA483" s="1325" t="s">
        <v>100</v>
      </c>
      <c r="AB483" s="1325" t="s">
        <v>100</v>
      </c>
      <c r="AC483" s="1251" t="s">
        <v>70</v>
      </c>
      <c r="AD483" s="1250" t="s">
        <v>69</v>
      </c>
      <c r="AE483" s="1250" t="s">
        <v>69</v>
      </c>
      <c r="AF483" s="1250" t="s">
        <v>69</v>
      </c>
      <c r="AG483" s="1250" t="s">
        <v>69</v>
      </c>
      <c r="AH483" s="1250" t="s">
        <v>69</v>
      </c>
      <c r="AI483" s="1250" t="s">
        <v>69</v>
      </c>
      <c r="AJ483" s="1250" t="s">
        <v>69</v>
      </c>
      <c r="AK483" s="1251" t="s">
        <v>70</v>
      </c>
      <c r="AL483" s="1317" t="s">
        <v>70</v>
      </c>
      <c r="AM483" s="1051"/>
      <c r="BD483" s="1052"/>
      <c r="BE483" s="1129"/>
      <c r="BF483" s="1129"/>
      <c r="BG483" s="1129"/>
      <c r="BH483" s="1129"/>
      <c r="BI483" s="1129"/>
      <c r="BJ483" s="1129"/>
      <c r="BK483" s="1129"/>
      <c r="BL483" s="1129"/>
    </row>
    <row r="484">
      <c r="A484" s="901"/>
      <c r="B484" s="1273" t="s">
        <v>1303</v>
      </c>
      <c r="C484" s="1273" t="s">
        <v>227</v>
      </c>
      <c r="D484" s="1326" t="s">
        <v>1283</v>
      </c>
      <c r="E484" s="1077"/>
      <c r="F484" s="1078"/>
      <c r="G484" s="1327" t="s">
        <v>70</v>
      </c>
      <c r="H484" s="1328" t="s">
        <v>99</v>
      </c>
      <c r="I484" s="1327" t="s">
        <v>70</v>
      </c>
      <c r="J484" s="1327" t="s">
        <v>70</v>
      </c>
      <c r="K484" s="1327" t="s">
        <v>70</v>
      </c>
      <c r="L484" s="1329" t="s">
        <v>99</v>
      </c>
      <c r="M484" s="1330" t="s">
        <v>70</v>
      </c>
      <c r="N484" s="1250" t="s">
        <v>69</v>
      </c>
      <c r="O484" s="1252" t="s">
        <v>99</v>
      </c>
      <c r="P484" s="1252"/>
      <c r="Q484" s="1251" t="s">
        <v>70</v>
      </c>
      <c r="R484" s="1251" t="s">
        <v>70</v>
      </c>
      <c r="S484" s="1251" t="s">
        <v>70</v>
      </c>
      <c r="T484" s="1250" t="s">
        <v>69</v>
      </c>
      <c r="U484" s="1251" t="s">
        <v>70</v>
      </c>
      <c r="V484" s="1250" t="s">
        <v>69</v>
      </c>
      <c r="W484" s="1252" t="s">
        <v>99</v>
      </c>
      <c r="X484" s="1250" t="s">
        <v>69</v>
      </c>
      <c r="Y484" s="1250" t="s">
        <v>69</v>
      </c>
      <c r="Z484" s="1250" t="s">
        <v>69</v>
      </c>
      <c r="AA484" s="1250" t="s">
        <v>69</v>
      </c>
      <c r="AB484" s="1251" t="s">
        <v>70</v>
      </c>
      <c r="AC484" s="1251" t="s">
        <v>70</v>
      </c>
      <c r="AD484" s="1252" t="s">
        <v>99</v>
      </c>
      <c r="AE484" s="1252" t="s">
        <v>99</v>
      </c>
      <c r="AF484" s="1250" t="s">
        <v>69</v>
      </c>
      <c r="AG484" s="1251" t="s">
        <v>70</v>
      </c>
      <c r="AH484" s="1252" t="s">
        <v>99</v>
      </c>
      <c r="AI484" s="1250" t="s">
        <v>69</v>
      </c>
      <c r="AJ484" s="1250" t="s">
        <v>69</v>
      </c>
      <c r="AK484" s="1251" t="s">
        <v>70</v>
      </c>
      <c r="AL484" s="1317" t="s">
        <v>70</v>
      </c>
      <c r="AM484" s="1051"/>
      <c r="BD484" s="1052"/>
      <c r="BE484" s="1129"/>
      <c r="BF484" s="1129"/>
      <c r="BG484" s="1129"/>
      <c r="BH484" s="1129"/>
      <c r="BI484" s="1129"/>
      <c r="BJ484" s="1129"/>
      <c r="BK484" s="1129"/>
      <c r="BL484" s="1129"/>
    </row>
    <row r="485">
      <c r="A485" s="901"/>
      <c r="B485" s="1331" t="s">
        <v>1243</v>
      </c>
      <c r="C485" s="1273" t="s">
        <v>227</v>
      </c>
      <c r="D485" s="1332"/>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6"/>
      <c r="AC485" s="1251" t="s">
        <v>70</v>
      </c>
      <c r="AD485" s="1251" t="s">
        <v>70</v>
      </c>
      <c r="AE485" s="1251" t="s">
        <v>70</v>
      </c>
      <c r="AF485" s="1250" t="s">
        <v>69</v>
      </c>
      <c r="AG485" s="1250" t="s">
        <v>69</v>
      </c>
      <c r="AH485" s="1250" t="s">
        <v>69</v>
      </c>
      <c r="AI485" s="1250" t="s">
        <v>69</v>
      </c>
      <c r="AJ485" s="1250" t="s">
        <v>69</v>
      </c>
      <c r="AK485" s="1251" t="s">
        <v>70</v>
      </c>
      <c r="AL485" s="1254" t="s">
        <v>69</v>
      </c>
      <c r="AM485" s="1051"/>
      <c r="BD485" s="1052"/>
      <c r="BE485" s="1129"/>
      <c r="BF485" s="1129"/>
      <c r="BG485" s="1129"/>
      <c r="BH485" s="1129"/>
      <c r="BI485" s="1129"/>
      <c r="BJ485" s="1129"/>
      <c r="BK485" s="1129"/>
      <c r="BL485" s="1129"/>
    </row>
    <row r="486">
      <c r="A486" s="901"/>
      <c r="B486" s="1333" t="s">
        <v>1304</v>
      </c>
      <c r="C486" s="1333" t="s">
        <v>227</v>
      </c>
      <c r="D486" s="1334" t="s">
        <v>100</v>
      </c>
      <c r="E486" s="1325" t="s">
        <v>100</v>
      </c>
      <c r="F486" s="1325" t="s">
        <v>100</v>
      </c>
      <c r="G486" s="1156" t="s">
        <v>70</v>
      </c>
      <c r="H486" s="1157" t="s">
        <v>69</v>
      </c>
      <c r="I486" s="1157" t="s">
        <v>69</v>
      </c>
      <c r="J486" s="1157" t="s">
        <v>69</v>
      </c>
      <c r="K486" s="1157" t="s">
        <v>69</v>
      </c>
      <c r="L486" s="1250" t="s">
        <v>69</v>
      </c>
      <c r="M486" s="1250" t="s">
        <v>69</v>
      </c>
      <c r="N486" s="1251" t="s">
        <v>70</v>
      </c>
      <c r="O486" s="1250" t="s">
        <v>69</v>
      </c>
      <c r="P486" s="1250"/>
      <c r="Q486" s="1250" t="s">
        <v>69</v>
      </c>
      <c r="R486" s="1250" t="s">
        <v>69</v>
      </c>
      <c r="S486" s="1251" t="s">
        <v>70</v>
      </c>
      <c r="T486" s="1250" t="s">
        <v>69</v>
      </c>
      <c r="U486" s="1250" t="s">
        <v>69</v>
      </c>
      <c r="V486" s="1251" t="s">
        <v>70</v>
      </c>
      <c r="W486" s="1250" t="s">
        <v>69</v>
      </c>
      <c r="X486" s="1250" t="s">
        <v>69</v>
      </c>
      <c r="Y486" s="1250" t="s">
        <v>69</v>
      </c>
      <c r="Z486" s="1250" t="s">
        <v>69</v>
      </c>
      <c r="AA486" s="1250" t="s">
        <v>69</v>
      </c>
      <c r="AB486" s="1251" t="s">
        <v>70</v>
      </c>
      <c r="AC486" s="1335"/>
      <c r="AD486" s="914"/>
      <c r="AE486" s="914"/>
      <c r="AF486" s="914"/>
      <c r="AG486" s="914"/>
      <c r="AH486" s="914"/>
      <c r="AI486" s="914"/>
      <c r="AJ486" s="914"/>
      <c r="AK486" s="914"/>
      <c r="AL486" s="914"/>
      <c r="AM486" s="1051"/>
      <c r="BD486" s="1052"/>
      <c r="BE486" s="1129"/>
      <c r="BF486" s="1129"/>
      <c r="BG486" s="1129"/>
      <c r="BH486" s="1129"/>
      <c r="BI486" s="1129"/>
      <c r="BJ486" s="1129"/>
      <c r="BK486" s="1129"/>
      <c r="BL486" s="1129"/>
    </row>
    <row r="487">
      <c r="A487" s="1013"/>
      <c r="B487" s="1336" t="s">
        <v>1305</v>
      </c>
      <c r="C487" s="1336" t="s">
        <v>227</v>
      </c>
      <c r="D487" s="1334" t="s">
        <v>100</v>
      </c>
      <c r="E487" s="1325" t="s">
        <v>100</v>
      </c>
      <c r="F487" s="1325" t="s">
        <v>100</v>
      </c>
      <c r="G487" s="1337"/>
      <c r="H487" s="1338"/>
      <c r="I487" s="1338"/>
      <c r="J487" s="1338"/>
      <c r="K487" s="1338"/>
      <c r="L487" s="1338"/>
      <c r="M487" s="1338"/>
      <c r="N487" s="1338"/>
      <c r="O487" s="1338"/>
      <c r="P487" s="1338"/>
      <c r="Q487" s="1338"/>
      <c r="R487" s="1338"/>
      <c r="S487" s="1338"/>
      <c r="T487" s="1338"/>
      <c r="U487" s="1338"/>
      <c r="V487" s="1338"/>
      <c r="W487" s="1338"/>
      <c r="X487" s="1338"/>
      <c r="Y487" s="1338"/>
      <c r="Z487" s="1338"/>
      <c r="AA487" s="1338"/>
      <c r="AB487" s="1338"/>
      <c r="AC487" s="1338"/>
      <c r="AD487" s="1338"/>
      <c r="AE487" s="1338"/>
      <c r="AF487" s="1338"/>
      <c r="AG487" s="1338"/>
      <c r="AH487" s="1338"/>
      <c r="AI487" s="1338"/>
      <c r="AJ487" s="1338"/>
      <c r="AK487" s="1338"/>
      <c r="AL487" s="1338"/>
      <c r="AM487" s="1051"/>
      <c r="BD487" s="1052"/>
      <c r="BE487" s="1129"/>
      <c r="BF487" s="1129"/>
      <c r="BG487" s="1129"/>
      <c r="BH487" s="1129"/>
      <c r="BI487" s="1129"/>
      <c r="BJ487" s="1129"/>
      <c r="BK487" s="1129"/>
      <c r="BL487" s="1129"/>
    </row>
    <row r="488">
      <c r="A488" s="1247" t="s">
        <v>1306</v>
      </c>
      <c r="B488" s="1282" t="s">
        <v>53</v>
      </c>
      <c r="C488" s="1282" t="s">
        <v>174</v>
      </c>
      <c r="D488" s="1308" t="s">
        <v>69</v>
      </c>
      <c r="E488" s="1316" t="s">
        <v>69</v>
      </c>
      <c r="F488" s="1250" t="s">
        <v>69</v>
      </c>
      <c r="G488" s="1157" t="s">
        <v>69</v>
      </c>
      <c r="H488" s="1156" t="s">
        <v>70</v>
      </c>
      <c r="I488" s="1157" t="s">
        <v>69</v>
      </c>
      <c r="J488" s="1157" t="s">
        <v>69</v>
      </c>
      <c r="K488" s="1156" t="s">
        <v>70</v>
      </c>
      <c r="L488" s="1250" t="s">
        <v>69</v>
      </c>
      <c r="M488" s="1251" t="s">
        <v>70</v>
      </c>
      <c r="N488" s="1250" t="s">
        <v>69</v>
      </c>
      <c r="O488" s="1250" t="s">
        <v>69</v>
      </c>
      <c r="P488" s="1250"/>
      <c r="Q488" s="1250" t="s">
        <v>69</v>
      </c>
      <c r="R488" s="1250" t="s">
        <v>69</v>
      </c>
      <c r="S488" s="1250" t="s">
        <v>69</v>
      </c>
      <c r="T488" s="1250" t="s">
        <v>69</v>
      </c>
      <c r="U488" s="1251" t="s">
        <v>70</v>
      </c>
      <c r="V488" s="1251" t="s">
        <v>70</v>
      </c>
      <c r="W488" s="1251" t="s">
        <v>70</v>
      </c>
      <c r="X488" s="1250" t="s">
        <v>69</v>
      </c>
      <c r="Y488" s="1250" t="s">
        <v>69</v>
      </c>
      <c r="Z488" s="1250" t="s">
        <v>69</v>
      </c>
      <c r="AA488" s="1250" t="s">
        <v>69</v>
      </c>
      <c r="AB488" s="1250" t="s">
        <v>69</v>
      </c>
      <c r="AC488" s="1250" t="s">
        <v>69</v>
      </c>
      <c r="AD488" s="1250" t="s">
        <v>69</v>
      </c>
      <c r="AE488" s="1250" t="s">
        <v>69</v>
      </c>
      <c r="AF488" s="1250" t="s">
        <v>69</v>
      </c>
      <c r="AG488" s="1251" t="s">
        <v>70</v>
      </c>
      <c r="AH488" s="1251" t="s">
        <v>70</v>
      </c>
      <c r="AI488" s="1250" t="s">
        <v>69</v>
      </c>
      <c r="AJ488" s="1251" t="s">
        <v>70</v>
      </c>
      <c r="AK488" s="1250" t="s">
        <v>69</v>
      </c>
      <c r="AL488" s="1317" t="s">
        <v>70</v>
      </c>
      <c r="AM488" s="1051"/>
      <c r="BD488" s="1052"/>
      <c r="BE488" s="1129"/>
      <c r="BF488" s="1129"/>
      <c r="BG488" s="1129"/>
      <c r="BH488" s="1129"/>
      <c r="BI488" s="1129"/>
      <c r="BJ488" s="1129"/>
      <c r="BK488" s="1129"/>
      <c r="BL488" s="1129"/>
    </row>
    <row r="489">
      <c r="A489" s="901"/>
      <c r="B489" s="1284" t="s">
        <v>1190</v>
      </c>
      <c r="C489" s="1284" t="s">
        <v>174</v>
      </c>
      <c r="D489" s="1339" t="s">
        <v>69</v>
      </c>
      <c r="E489" s="1250" t="s">
        <v>69</v>
      </c>
      <c r="F489" s="1250" t="s">
        <v>69</v>
      </c>
      <c r="G489" s="1157" t="s">
        <v>69</v>
      </c>
      <c r="H489" s="1340" t="s">
        <v>99</v>
      </c>
      <c r="I489" s="1156" t="s">
        <v>70</v>
      </c>
      <c r="J489" s="1157" t="s">
        <v>69</v>
      </c>
      <c r="K489" s="1156" t="s">
        <v>70</v>
      </c>
      <c r="L489" s="1250" t="s">
        <v>69</v>
      </c>
      <c r="M489" s="1251" t="s">
        <v>70</v>
      </c>
      <c r="N489" s="1250" t="s">
        <v>69</v>
      </c>
      <c r="O489" s="1251" t="s">
        <v>70</v>
      </c>
      <c r="P489" s="1251"/>
      <c r="Q489" s="1250" t="s">
        <v>69</v>
      </c>
      <c r="R489" s="1250" t="s">
        <v>69</v>
      </c>
      <c r="S489" s="1250" t="s">
        <v>69</v>
      </c>
      <c r="T489" s="1252" t="s">
        <v>99</v>
      </c>
      <c r="U489" s="1251" t="s">
        <v>70</v>
      </c>
      <c r="V489" s="1251" t="s">
        <v>70</v>
      </c>
      <c r="W489" s="1250" t="s">
        <v>69</v>
      </c>
      <c r="X489" s="1251" t="s">
        <v>70</v>
      </c>
      <c r="Y489" s="1250" t="s">
        <v>69</v>
      </c>
      <c r="Z489" s="1250" t="s">
        <v>69</v>
      </c>
      <c r="AA489" s="1250" t="s">
        <v>69</v>
      </c>
      <c r="AB489" s="1250" t="s">
        <v>69</v>
      </c>
      <c r="AC489" s="1250" t="s">
        <v>69</v>
      </c>
      <c r="AD489" s="1250" t="s">
        <v>69</v>
      </c>
      <c r="AE489" s="1250" t="s">
        <v>69</v>
      </c>
      <c r="AF489" s="1250" t="s">
        <v>69</v>
      </c>
      <c r="AG489" s="1252" t="s">
        <v>99</v>
      </c>
      <c r="AH489" s="1251" t="s">
        <v>70</v>
      </c>
      <c r="AI489" s="1251" t="s">
        <v>70</v>
      </c>
      <c r="AJ489" s="1251" t="s">
        <v>70</v>
      </c>
      <c r="AK489" s="1250" t="s">
        <v>69</v>
      </c>
      <c r="AL489" s="1254" t="s">
        <v>69</v>
      </c>
      <c r="AM489" s="1051"/>
      <c r="BD489" s="1052"/>
      <c r="BE489" s="1129"/>
      <c r="BF489" s="1129"/>
      <c r="BG489" s="1129"/>
      <c r="BH489" s="1129"/>
      <c r="BI489" s="1129"/>
      <c r="BJ489" s="1129"/>
      <c r="BK489" s="1129"/>
      <c r="BL489" s="1129"/>
    </row>
    <row r="490">
      <c r="A490" s="901"/>
      <c r="B490" s="1284" t="s">
        <v>51</v>
      </c>
      <c r="C490" s="1284" t="s">
        <v>174</v>
      </c>
      <c r="D490" s="941"/>
      <c r="E490" s="108"/>
      <c r="F490" s="108"/>
      <c r="G490" s="108"/>
      <c r="H490" s="108"/>
      <c r="I490" s="108"/>
      <c r="J490" s="108"/>
      <c r="K490" s="108"/>
      <c r="L490" s="108"/>
      <c r="M490" s="108"/>
      <c r="N490" s="108"/>
      <c r="O490" s="108"/>
      <c r="P490" s="108"/>
      <c r="Q490" s="108"/>
      <c r="R490" s="108"/>
      <c r="S490" s="108"/>
      <c r="T490" s="108"/>
      <c r="U490" s="108"/>
      <c r="V490" s="109"/>
      <c r="W490" s="1250" t="s">
        <v>69</v>
      </c>
      <c r="X490" s="1251" t="s">
        <v>70</v>
      </c>
      <c r="Y490" s="1250" t="s">
        <v>69</v>
      </c>
      <c r="Z490" s="1250" t="s">
        <v>69</v>
      </c>
      <c r="AA490" s="1250" t="s">
        <v>69</v>
      </c>
      <c r="AB490" s="1250" t="s">
        <v>69</v>
      </c>
      <c r="AC490" s="1250" t="s">
        <v>69</v>
      </c>
      <c r="AD490" s="1250" t="s">
        <v>69</v>
      </c>
      <c r="AE490" s="1251" t="s">
        <v>70</v>
      </c>
      <c r="AF490" s="1252" t="s">
        <v>99</v>
      </c>
      <c r="AG490" s="1251" t="s">
        <v>70</v>
      </c>
      <c r="AH490" s="1252" t="s">
        <v>99</v>
      </c>
      <c r="AI490" s="1250" t="s">
        <v>69</v>
      </c>
      <c r="AJ490" s="1250" t="s">
        <v>69</v>
      </c>
      <c r="AK490" s="1252" t="s">
        <v>99</v>
      </c>
      <c r="AL490" s="1341" t="s">
        <v>99</v>
      </c>
      <c r="AM490" s="1051"/>
      <c r="BD490" s="1052"/>
      <c r="BE490" s="1129"/>
      <c r="BF490" s="1129"/>
      <c r="BG490" s="1129"/>
      <c r="BH490" s="1129"/>
      <c r="BI490" s="1129"/>
      <c r="BJ490" s="1129"/>
      <c r="BK490" s="1129"/>
      <c r="BL490" s="1129"/>
    </row>
    <row r="491">
      <c r="A491" s="901"/>
      <c r="B491" s="1342" t="s">
        <v>1307</v>
      </c>
      <c r="C491" s="1342" t="s">
        <v>174</v>
      </c>
      <c r="D491" s="1308" t="s">
        <v>69</v>
      </c>
      <c r="E491" s="1306" t="s">
        <v>69</v>
      </c>
      <c r="F491" s="1306" t="s">
        <v>69</v>
      </c>
      <c r="G491" s="1186" t="s">
        <v>69</v>
      </c>
      <c r="H491" s="1187" t="s">
        <v>70</v>
      </c>
      <c r="I491" s="1187" t="s">
        <v>70</v>
      </c>
      <c r="J491" s="1186" t="s">
        <v>69</v>
      </c>
      <c r="K491" s="1186" t="s">
        <v>69</v>
      </c>
      <c r="L491" s="1306" t="s">
        <v>69</v>
      </c>
      <c r="M491" s="1343" t="s">
        <v>70</v>
      </c>
      <c r="N491" s="1250" t="s">
        <v>69</v>
      </c>
      <c r="O491" s="1250" t="s">
        <v>69</v>
      </c>
      <c r="P491" s="1250"/>
      <c r="Q491" s="1251" t="s">
        <v>70</v>
      </c>
      <c r="R491" s="1250" t="s">
        <v>69</v>
      </c>
      <c r="S491" s="1250" t="s">
        <v>69</v>
      </c>
      <c r="T491" s="1251" t="s">
        <v>70</v>
      </c>
      <c r="U491" s="1251" t="s">
        <v>70</v>
      </c>
      <c r="V491" s="1251" t="s">
        <v>70</v>
      </c>
      <c r="W491" s="1344"/>
      <c r="X491" s="1338"/>
      <c r="Y491" s="1338"/>
      <c r="Z491" s="1338"/>
      <c r="AA491" s="1338"/>
      <c r="AB491" s="1338"/>
      <c r="AC491" s="1338"/>
      <c r="AD491" s="1338"/>
      <c r="AE491" s="1338"/>
      <c r="AF491" s="1338"/>
      <c r="AG491" s="1338"/>
      <c r="AH491" s="1338"/>
      <c r="AI491" s="1338"/>
      <c r="AJ491" s="1338"/>
      <c r="AK491" s="1338"/>
      <c r="AL491" s="1338"/>
      <c r="AM491" s="1051"/>
      <c r="BD491" s="1052"/>
      <c r="BE491" s="1129"/>
      <c r="BF491" s="1129"/>
      <c r="BG491" s="1129"/>
      <c r="BH491" s="1129"/>
      <c r="BI491" s="1129"/>
      <c r="BJ491" s="1129"/>
      <c r="BK491" s="1129"/>
      <c r="BL491" s="1129"/>
    </row>
    <row r="492">
      <c r="A492" s="901"/>
      <c r="B492" s="1248" t="s">
        <v>1239</v>
      </c>
      <c r="C492" s="1248" t="s">
        <v>21</v>
      </c>
      <c r="D492" s="1320" t="s">
        <v>70</v>
      </c>
      <c r="E492" s="1306" t="s">
        <v>69</v>
      </c>
      <c r="F492" s="1306" t="s">
        <v>69</v>
      </c>
      <c r="G492" s="1186" t="s">
        <v>69</v>
      </c>
      <c r="H492" s="1187" t="s">
        <v>70</v>
      </c>
      <c r="I492" s="1186" t="s">
        <v>69</v>
      </c>
      <c r="J492" s="1187" t="s">
        <v>70</v>
      </c>
      <c r="K492" s="1186" t="s">
        <v>69</v>
      </c>
      <c r="L492" s="1306" t="s">
        <v>69</v>
      </c>
      <c r="M492" s="1316" t="s">
        <v>69</v>
      </c>
      <c r="N492" s="1250" t="s">
        <v>69</v>
      </c>
      <c r="O492" s="1250" t="s">
        <v>69</v>
      </c>
      <c r="P492" s="1250"/>
      <c r="Q492" s="1250" t="s">
        <v>69</v>
      </c>
      <c r="R492" s="1250" t="s">
        <v>69</v>
      </c>
      <c r="S492" s="1251" t="s">
        <v>70</v>
      </c>
      <c r="T492" s="1250" t="s">
        <v>69</v>
      </c>
      <c r="U492" s="1250" t="s">
        <v>69</v>
      </c>
      <c r="V492" s="1250" t="s">
        <v>69</v>
      </c>
      <c r="W492" s="1251" t="s">
        <v>70</v>
      </c>
      <c r="X492" s="1250" t="s">
        <v>69</v>
      </c>
      <c r="Y492" s="1251" t="s">
        <v>70</v>
      </c>
      <c r="Z492" s="1252" t="s">
        <v>99</v>
      </c>
      <c r="AA492" s="1250" t="s">
        <v>69</v>
      </c>
      <c r="AB492" s="1251" t="s">
        <v>70</v>
      </c>
      <c r="AC492" s="1251" t="s">
        <v>70</v>
      </c>
      <c r="AD492" s="1250" t="s">
        <v>69</v>
      </c>
      <c r="AE492" s="1250" t="s">
        <v>69</v>
      </c>
      <c r="AF492" s="1250" t="s">
        <v>69</v>
      </c>
      <c r="AG492" s="1250" t="s">
        <v>69</v>
      </c>
      <c r="AH492" s="1251" t="s">
        <v>70</v>
      </c>
      <c r="AI492" s="1250" t="s">
        <v>69</v>
      </c>
      <c r="AJ492" s="1251" t="s">
        <v>70</v>
      </c>
      <c r="AK492" s="1250" t="s">
        <v>69</v>
      </c>
      <c r="AL492" s="1254" t="s">
        <v>69</v>
      </c>
      <c r="AM492" s="1051"/>
      <c r="BD492" s="1052"/>
      <c r="BE492" s="1129"/>
      <c r="BF492" s="1129"/>
      <c r="BG492" s="1129"/>
      <c r="BH492" s="1129"/>
      <c r="BI492" s="1129"/>
      <c r="BJ492" s="1129"/>
      <c r="BK492" s="1129"/>
      <c r="BL492" s="1129"/>
    </row>
    <row r="493">
      <c r="A493" s="901"/>
      <c r="B493" s="1255" t="s">
        <v>1268</v>
      </c>
      <c r="C493" s="1255" t="s">
        <v>21</v>
      </c>
      <c r="D493" s="1308" t="s">
        <v>69</v>
      </c>
      <c r="E493" s="1306" t="s">
        <v>69</v>
      </c>
      <c r="F493" s="1306" t="s">
        <v>69</v>
      </c>
      <c r="G493" s="1306" t="s">
        <v>69</v>
      </c>
      <c r="H493" s="1193" t="s">
        <v>70</v>
      </c>
      <c r="I493" s="1306" t="s">
        <v>69</v>
      </c>
      <c r="J493" s="1306" t="s">
        <v>69</v>
      </c>
      <c r="K493" s="1193" t="s">
        <v>70</v>
      </c>
      <c r="L493" s="1306" t="s">
        <v>69</v>
      </c>
      <c r="M493" s="1316" t="s">
        <v>69</v>
      </c>
      <c r="N493" s="1250" t="s">
        <v>69</v>
      </c>
      <c r="O493" s="1250" t="s">
        <v>69</v>
      </c>
      <c r="P493" s="1250"/>
      <c r="Q493" s="1250" t="s">
        <v>69</v>
      </c>
      <c r="R493" s="1250" t="s">
        <v>69</v>
      </c>
      <c r="S493" s="1251" t="s">
        <v>70</v>
      </c>
      <c r="T493" s="1250" t="s">
        <v>69</v>
      </c>
      <c r="U493" s="1250" t="s">
        <v>69</v>
      </c>
      <c r="V493" s="1250" t="s">
        <v>69</v>
      </c>
      <c r="W493" s="1251" t="s">
        <v>70</v>
      </c>
      <c r="X493" s="1250" t="s">
        <v>69</v>
      </c>
      <c r="Y493" s="1251" t="s">
        <v>70</v>
      </c>
      <c r="Z493" s="1252" t="s">
        <v>99</v>
      </c>
      <c r="AA493" s="1251" t="s">
        <v>70</v>
      </c>
      <c r="AB493" s="1251" t="s">
        <v>70</v>
      </c>
      <c r="AC493" s="1251" t="s">
        <v>70</v>
      </c>
      <c r="AD493" s="1250" t="s">
        <v>69</v>
      </c>
      <c r="AE493" s="1250" t="s">
        <v>69</v>
      </c>
      <c r="AF493" s="1250" t="s">
        <v>69</v>
      </c>
      <c r="AG493" s="1251" t="s">
        <v>70</v>
      </c>
      <c r="AH493" s="1251" t="s">
        <v>70</v>
      </c>
      <c r="AI493" s="1250" t="s">
        <v>69</v>
      </c>
      <c r="AJ493" s="1251" t="s">
        <v>70</v>
      </c>
      <c r="AK493" s="1250" t="s">
        <v>69</v>
      </c>
      <c r="AL493" s="1254" t="s">
        <v>69</v>
      </c>
      <c r="AM493" s="1051"/>
      <c r="BD493" s="1052"/>
      <c r="BE493" s="1129"/>
      <c r="BF493" s="1129"/>
      <c r="BG493" s="1129"/>
      <c r="BH493" s="1129"/>
      <c r="BI493" s="1129"/>
      <c r="BJ493" s="1129"/>
      <c r="BK493" s="1129"/>
      <c r="BL493" s="1129"/>
    </row>
    <row r="494">
      <c r="A494" s="901"/>
      <c r="B494" s="1255" t="s">
        <v>1308</v>
      </c>
      <c r="C494" s="1255" t="s">
        <v>21</v>
      </c>
      <c r="D494" s="1304" t="s">
        <v>99</v>
      </c>
      <c r="E494" s="1306" t="s">
        <v>69</v>
      </c>
      <c r="F494" s="1305" t="s">
        <v>99</v>
      </c>
      <c r="G494" s="1186" t="s">
        <v>69</v>
      </c>
      <c r="H494" s="1187" t="s">
        <v>70</v>
      </c>
      <c r="I494" s="1214" t="s">
        <v>99</v>
      </c>
      <c r="J494" s="1214" t="s">
        <v>99</v>
      </c>
      <c r="K494" s="1186" t="s">
        <v>69</v>
      </c>
      <c r="L494" s="1306" t="s">
        <v>69</v>
      </c>
      <c r="M494" s="1316" t="s">
        <v>69</v>
      </c>
      <c r="N494" s="1250" t="s">
        <v>69</v>
      </c>
      <c r="O494" s="1250" t="s">
        <v>69</v>
      </c>
      <c r="P494" s="1250"/>
      <c r="Q494" s="1251" t="s">
        <v>70</v>
      </c>
      <c r="R494" s="1250" t="s">
        <v>69</v>
      </c>
      <c r="S494" s="1251" t="s">
        <v>70</v>
      </c>
      <c r="T494" s="1250" t="s">
        <v>69</v>
      </c>
      <c r="U494" s="1250" t="s">
        <v>69</v>
      </c>
      <c r="V494" s="1250" t="s">
        <v>69</v>
      </c>
      <c r="W494" s="1251" t="s">
        <v>70</v>
      </c>
      <c r="X494" s="1250" t="s">
        <v>69</v>
      </c>
      <c r="Y494" s="1251" t="s">
        <v>70</v>
      </c>
      <c r="Z494" s="1250" t="s">
        <v>69</v>
      </c>
      <c r="AA494" s="1250" t="s">
        <v>69</v>
      </c>
      <c r="AB494" s="1251" t="s">
        <v>70</v>
      </c>
      <c r="AC494" s="1251" t="s">
        <v>70</v>
      </c>
      <c r="AD494" s="1250" t="s">
        <v>69</v>
      </c>
      <c r="AE494" s="1250" t="s">
        <v>69</v>
      </c>
      <c r="AF494" s="1250" t="s">
        <v>69</v>
      </c>
      <c r="AG494" s="1251" t="s">
        <v>70</v>
      </c>
      <c r="AH494" s="1251" t="s">
        <v>70</v>
      </c>
      <c r="AI494" s="1250" t="s">
        <v>69</v>
      </c>
      <c r="AJ494" s="1251" t="s">
        <v>70</v>
      </c>
      <c r="AK494" s="1250" t="s">
        <v>69</v>
      </c>
      <c r="AL494" s="1254" t="s">
        <v>69</v>
      </c>
      <c r="AM494" s="1051"/>
      <c r="BD494" s="1052"/>
      <c r="BE494" s="1129"/>
      <c r="BF494" s="1129"/>
      <c r="BG494" s="1129"/>
      <c r="BH494" s="1129"/>
      <c r="BI494" s="1129"/>
      <c r="BJ494" s="1129"/>
      <c r="BK494" s="1129"/>
      <c r="BL494" s="1129"/>
    </row>
    <row r="495">
      <c r="A495" s="901"/>
      <c r="B495" s="1255" t="s">
        <v>1309</v>
      </c>
      <c r="C495" s="1255" t="s">
        <v>21</v>
      </c>
      <c r="D495" s="1345" t="s">
        <v>70</v>
      </c>
      <c r="E495" s="1346" t="s">
        <v>69</v>
      </c>
      <c r="F495" s="1346" t="s">
        <v>69</v>
      </c>
      <c r="G495" s="1347" t="s">
        <v>69</v>
      </c>
      <c r="H495" s="1348" t="s">
        <v>70</v>
      </c>
      <c r="I495" s="1347" t="s">
        <v>69</v>
      </c>
      <c r="J495" s="1348" t="s">
        <v>70</v>
      </c>
      <c r="K495" s="1348" t="s">
        <v>70</v>
      </c>
      <c r="L495" s="1346" t="s">
        <v>69</v>
      </c>
      <c r="M495" s="1250" t="s">
        <v>69</v>
      </c>
      <c r="N495" s="1250" t="s">
        <v>69</v>
      </c>
      <c r="O495" s="1250" t="s">
        <v>69</v>
      </c>
      <c r="P495" s="1250"/>
      <c r="Q495" s="1250" t="s">
        <v>69</v>
      </c>
      <c r="R495" s="1250" t="s">
        <v>69</v>
      </c>
      <c r="S495" s="1251" t="s">
        <v>70</v>
      </c>
      <c r="T495" s="1251" t="s">
        <v>70</v>
      </c>
      <c r="U495" s="1250" t="s">
        <v>69</v>
      </c>
      <c r="V495" s="1250" t="s">
        <v>69</v>
      </c>
      <c r="W495" s="1251" t="s">
        <v>70</v>
      </c>
      <c r="X495" s="1250" t="s">
        <v>69</v>
      </c>
      <c r="Y495" s="1251" t="s">
        <v>70</v>
      </c>
      <c r="Z495" s="1250" t="s">
        <v>69</v>
      </c>
      <c r="AA495" s="1250" t="s">
        <v>69</v>
      </c>
      <c r="AB495" s="1251" t="s">
        <v>70</v>
      </c>
      <c r="AC495" s="1251" t="s">
        <v>70</v>
      </c>
      <c r="AD495" s="1250" t="s">
        <v>69</v>
      </c>
      <c r="AE495" s="1250" t="s">
        <v>69</v>
      </c>
      <c r="AF495" s="1250" t="s">
        <v>69</v>
      </c>
      <c r="AG495" s="1250" t="s">
        <v>69</v>
      </c>
      <c r="AH495" s="1251" t="s">
        <v>70</v>
      </c>
      <c r="AI495" s="1250" t="s">
        <v>69</v>
      </c>
      <c r="AJ495" s="1251" t="s">
        <v>70</v>
      </c>
      <c r="AK495" s="1250" t="s">
        <v>69</v>
      </c>
      <c r="AL495" s="1254" t="s">
        <v>69</v>
      </c>
      <c r="AM495" s="1051"/>
      <c r="BD495" s="1052"/>
      <c r="BE495" s="1129"/>
      <c r="BF495" s="1129"/>
      <c r="BG495" s="1129"/>
      <c r="BH495" s="1129"/>
      <c r="BI495" s="1129"/>
      <c r="BJ495" s="1129"/>
      <c r="BK495" s="1129"/>
      <c r="BL495" s="1129"/>
    </row>
    <row r="496">
      <c r="A496" s="901"/>
      <c r="B496" s="1255" t="s">
        <v>1182</v>
      </c>
      <c r="C496" s="1255" t="s">
        <v>21</v>
      </c>
      <c r="D496" s="941"/>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c r="AA496" s="108"/>
      <c r="AB496" s="109"/>
      <c r="AC496" s="1251" t="s">
        <v>70</v>
      </c>
      <c r="AD496" s="1250" t="s">
        <v>69</v>
      </c>
      <c r="AE496" s="1250" t="s">
        <v>69</v>
      </c>
      <c r="AF496" s="1252" t="s">
        <v>99</v>
      </c>
      <c r="AG496" s="1251" t="s">
        <v>70</v>
      </c>
      <c r="AH496" s="1251" t="s">
        <v>70</v>
      </c>
      <c r="AI496" s="1250" t="s">
        <v>69</v>
      </c>
      <c r="AJ496" s="1251" t="s">
        <v>70</v>
      </c>
      <c r="AK496" s="1250" t="s">
        <v>69</v>
      </c>
      <c r="AL496" s="1254" t="s">
        <v>69</v>
      </c>
      <c r="AM496" s="1051"/>
      <c r="BD496" s="1052"/>
      <c r="BE496" s="1129"/>
      <c r="BF496" s="1129"/>
      <c r="BG496" s="1129"/>
      <c r="BH496" s="1129"/>
      <c r="BI496" s="1129"/>
      <c r="BJ496" s="1129"/>
      <c r="BK496" s="1129"/>
      <c r="BL496" s="1129"/>
    </row>
    <row r="497">
      <c r="A497" s="901"/>
      <c r="B497" s="1255" t="s">
        <v>1310</v>
      </c>
      <c r="C497" s="1255" t="s">
        <v>21</v>
      </c>
      <c r="D497" s="1320" t="s">
        <v>70</v>
      </c>
      <c r="E497" s="1306" t="s">
        <v>69</v>
      </c>
      <c r="F497" s="1306" t="s">
        <v>69</v>
      </c>
      <c r="G497" s="1186" t="s">
        <v>69</v>
      </c>
      <c r="H497" s="1187" t="s">
        <v>70</v>
      </c>
      <c r="I497" s="1186" t="s">
        <v>69</v>
      </c>
      <c r="J497" s="1214" t="s">
        <v>99</v>
      </c>
      <c r="K497" s="1187" t="s">
        <v>70</v>
      </c>
      <c r="L497" s="1306" t="s">
        <v>69</v>
      </c>
      <c r="M497" s="1316" t="s">
        <v>69</v>
      </c>
      <c r="N497" s="1250" t="s">
        <v>69</v>
      </c>
      <c r="O497" s="1250" t="s">
        <v>69</v>
      </c>
      <c r="P497" s="1250"/>
      <c r="Q497" s="1250" t="s">
        <v>69</v>
      </c>
      <c r="R497" s="1250" t="s">
        <v>69</v>
      </c>
      <c r="S497" s="1251" t="s">
        <v>70</v>
      </c>
      <c r="T497" s="1250" t="s">
        <v>69</v>
      </c>
      <c r="U497" s="1250" t="s">
        <v>69</v>
      </c>
      <c r="V497" s="1251" t="s">
        <v>70</v>
      </c>
      <c r="W497" s="1251" t="s">
        <v>70</v>
      </c>
      <c r="X497" s="1250" t="s">
        <v>69</v>
      </c>
      <c r="Y497" s="1251" t="s">
        <v>70</v>
      </c>
      <c r="Z497" s="1250" t="s">
        <v>69</v>
      </c>
      <c r="AA497" s="1250" t="s">
        <v>69</v>
      </c>
      <c r="AB497" s="1251" t="s">
        <v>70</v>
      </c>
      <c r="AC497" s="1251" t="s">
        <v>70</v>
      </c>
      <c r="AD497" s="1250" t="s">
        <v>69</v>
      </c>
      <c r="AE497" s="1252" t="s">
        <v>99</v>
      </c>
      <c r="AF497" s="1250" t="s">
        <v>69</v>
      </c>
      <c r="AG497" s="1251" t="s">
        <v>70</v>
      </c>
      <c r="AH497" s="1251" t="s">
        <v>70</v>
      </c>
      <c r="AI497" s="1250" t="s">
        <v>69</v>
      </c>
      <c r="AJ497" s="1251" t="s">
        <v>70</v>
      </c>
      <c r="AK497" s="1250" t="s">
        <v>69</v>
      </c>
      <c r="AL497" s="1254" t="s">
        <v>69</v>
      </c>
      <c r="AM497" s="1051"/>
      <c r="BD497" s="1052"/>
      <c r="BE497" s="1129"/>
      <c r="BF497" s="1129"/>
      <c r="BG497" s="1129"/>
      <c r="BH497" s="1129"/>
      <c r="BI497" s="1129"/>
      <c r="BJ497" s="1129"/>
      <c r="BK497" s="1129"/>
      <c r="BL497" s="1129"/>
    </row>
    <row r="498">
      <c r="A498" s="901"/>
      <c r="B498" s="1255" t="s">
        <v>1311</v>
      </c>
      <c r="C498" s="1255" t="s">
        <v>21</v>
      </c>
      <c r="D498" s="1320" t="s">
        <v>70</v>
      </c>
      <c r="E498" s="1193" t="s">
        <v>70</v>
      </c>
      <c r="F498" s="1306" t="s">
        <v>69</v>
      </c>
      <c r="G498" s="1187" t="s">
        <v>70</v>
      </c>
      <c r="H498" s="1187" t="s">
        <v>70</v>
      </c>
      <c r="I498" s="1186" t="s">
        <v>69</v>
      </c>
      <c r="J498" s="1187" t="s">
        <v>70</v>
      </c>
      <c r="K498" s="1186" t="s">
        <v>69</v>
      </c>
      <c r="L498" s="1193" t="s">
        <v>70</v>
      </c>
      <c r="M498" s="1316" t="s">
        <v>69</v>
      </c>
      <c r="N498" s="1250" t="s">
        <v>69</v>
      </c>
      <c r="O498" s="1252" t="s">
        <v>99</v>
      </c>
      <c r="P498" s="1252"/>
      <c r="Q498" s="1250" t="s">
        <v>69</v>
      </c>
      <c r="R498" s="1251" t="s">
        <v>70</v>
      </c>
      <c r="S498" s="1251" t="s">
        <v>70</v>
      </c>
      <c r="T498" s="1252" t="s">
        <v>99</v>
      </c>
      <c r="U498" s="1250" t="s">
        <v>69</v>
      </c>
      <c r="V498" s="1250" t="s">
        <v>69</v>
      </c>
      <c r="W498" s="1250" t="s">
        <v>69</v>
      </c>
      <c r="X498" s="1250" t="s">
        <v>69</v>
      </c>
      <c r="Y498" s="1251" t="s">
        <v>70</v>
      </c>
      <c r="Z498" s="1250" t="s">
        <v>69</v>
      </c>
      <c r="AA498" s="1250" t="s">
        <v>69</v>
      </c>
      <c r="AB498" s="1251" t="s">
        <v>70</v>
      </c>
      <c r="AC498" s="1251" t="s">
        <v>70</v>
      </c>
      <c r="AD498" s="1250" t="s">
        <v>69</v>
      </c>
      <c r="AE498" s="1250" t="s">
        <v>69</v>
      </c>
      <c r="AF498" s="1250" t="s">
        <v>69</v>
      </c>
      <c r="AG498" s="1252" t="s">
        <v>99</v>
      </c>
      <c r="AH498" s="1252" t="s">
        <v>99</v>
      </c>
      <c r="AI498" s="1250" t="s">
        <v>69</v>
      </c>
      <c r="AJ498" s="1251" t="s">
        <v>70</v>
      </c>
      <c r="AK498" s="1250" t="s">
        <v>69</v>
      </c>
      <c r="AL498" s="1254" t="s">
        <v>69</v>
      </c>
      <c r="AM498" s="1051"/>
      <c r="BD498" s="1052"/>
      <c r="BE498" s="1129"/>
      <c r="BF498" s="1129"/>
      <c r="BG498" s="1129"/>
      <c r="BH498" s="1129"/>
      <c r="BI498" s="1129"/>
      <c r="BJ498" s="1129"/>
      <c r="BK498" s="1129"/>
      <c r="BL498" s="1129"/>
    </row>
    <row r="499">
      <c r="A499" s="901"/>
      <c r="B499" s="1349" t="s">
        <v>1312</v>
      </c>
      <c r="C499" s="1349" t="s">
        <v>21</v>
      </c>
      <c r="D499" s="1321" t="s">
        <v>100</v>
      </c>
      <c r="E499" s="1322" t="s">
        <v>100</v>
      </c>
      <c r="F499" s="1322" t="s">
        <v>100</v>
      </c>
      <c r="G499" s="1206" t="s">
        <v>69</v>
      </c>
      <c r="H499" s="1207" t="s">
        <v>70</v>
      </c>
      <c r="I499" s="1206" t="s">
        <v>69</v>
      </c>
      <c r="J499" s="1207" t="s">
        <v>70</v>
      </c>
      <c r="K499" s="1207" t="s">
        <v>70</v>
      </c>
      <c r="L499" s="1322" t="s">
        <v>100</v>
      </c>
      <c r="M499" s="1350" t="s">
        <v>100</v>
      </c>
      <c r="N499" s="1325" t="s">
        <v>100</v>
      </c>
      <c r="O499" s="1325" t="s">
        <v>100</v>
      </c>
      <c r="P499" s="1325"/>
      <c r="Q499" s="1325" t="s">
        <v>100</v>
      </c>
      <c r="R499" s="1325" t="s">
        <v>100</v>
      </c>
      <c r="S499" s="1325" t="s">
        <v>100</v>
      </c>
      <c r="T499" s="1325" t="s">
        <v>100</v>
      </c>
      <c r="U499" s="1325" t="s">
        <v>100</v>
      </c>
      <c r="V499" s="1325" t="s">
        <v>100</v>
      </c>
      <c r="W499" s="1325" t="s">
        <v>100</v>
      </c>
      <c r="X499" s="1325" t="s">
        <v>100</v>
      </c>
      <c r="Y499" s="1325" t="s">
        <v>100</v>
      </c>
      <c r="Z499" s="1325" t="s">
        <v>100</v>
      </c>
      <c r="AA499" s="1325" t="s">
        <v>100</v>
      </c>
      <c r="AB499" s="1325" t="s">
        <v>100</v>
      </c>
      <c r="AC499" s="941"/>
      <c r="AD499" s="108"/>
      <c r="AE499" s="108"/>
      <c r="AF499" s="108"/>
      <c r="AG499" s="108"/>
      <c r="AH499" s="108"/>
      <c r="AI499" s="108"/>
      <c r="AJ499" s="108"/>
      <c r="AK499" s="108"/>
      <c r="AL499" s="108"/>
      <c r="AM499" s="1051"/>
      <c r="BD499" s="1052"/>
      <c r="BE499" s="1129"/>
      <c r="BF499" s="1129"/>
      <c r="BG499" s="1129"/>
      <c r="BH499" s="1129"/>
      <c r="BI499" s="1129"/>
      <c r="BJ499" s="1129"/>
      <c r="BK499" s="1129"/>
      <c r="BL499" s="1129"/>
    </row>
    <row r="500">
      <c r="A500" s="901"/>
      <c r="B500" s="1351" t="s">
        <v>1202</v>
      </c>
      <c r="C500" s="1352" t="s">
        <v>233</v>
      </c>
      <c r="D500" s="1353"/>
      <c r="E500" s="204"/>
      <c r="F500" s="204"/>
      <c r="G500" s="204"/>
      <c r="H500" s="204"/>
      <c r="I500" s="204"/>
      <c r="J500" s="204"/>
      <c r="K500" s="204"/>
      <c r="L500" s="204"/>
      <c r="M500" s="204"/>
      <c r="N500" s="204"/>
      <c r="O500" s="204"/>
      <c r="P500" s="204"/>
      <c r="Q500" s="204"/>
      <c r="R500" s="204"/>
      <c r="S500" s="204"/>
      <c r="T500" s="204"/>
      <c r="U500" s="204"/>
      <c r="V500" s="538"/>
      <c r="W500" s="1251" t="s">
        <v>70</v>
      </c>
      <c r="X500" s="1250" t="s">
        <v>69</v>
      </c>
      <c r="Y500" s="1250" t="s">
        <v>69</v>
      </c>
      <c r="Z500" s="1250" t="s">
        <v>69</v>
      </c>
      <c r="AA500" s="1250" t="s">
        <v>69</v>
      </c>
      <c r="AB500" s="1251" t="s">
        <v>70</v>
      </c>
      <c r="AC500" s="1251" t="s">
        <v>70</v>
      </c>
      <c r="AD500" s="1251" t="s">
        <v>70</v>
      </c>
      <c r="AE500" s="1250" t="s">
        <v>69</v>
      </c>
      <c r="AF500" s="1250" t="s">
        <v>69</v>
      </c>
      <c r="AG500" s="1250" t="s">
        <v>69</v>
      </c>
      <c r="AH500" s="1251" t="s">
        <v>70</v>
      </c>
      <c r="AI500" s="1251" t="s">
        <v>70</v>
      </c>
      <c r="AJ500" s="1251" t="s">
        <v>70</v>
      </c>
      <c r="AK500" s="1250" t="s">
        <v>69</v>
      </c>
      <c r="AL500" s="1254" t="s">
        <v>69</v>
      </c>
      <c r="AM500" s="1051"/>
      <c r="BD500" s="1052"/>
      <c r="BE500" s="1129"/>
      <c r="BF500" s="1129"/>
      <c r="BG500" s="1129"/>
      <c r="BH500" s="1129"/>
      <c r="BI500" s="1129"/>
      <c r="BJ500" s="1129"/>
      <c r="BK500" s="1129"/>
      <c r="BL500" s="1129"/>
    </row>
    <row r="501">
      <c r="A501" s="901"/>
      <c r="B501" s="1352" t="s">
        <v>1251</v>
      </c>
      <c r="C501" s="1352" t="s">
        <v>233</v>
      </c>
      <c r="D501" s="114"/>
      <c r="V501" s="71"/>
      <c r="W501" s="1251" t="s">
        <v>70</v>
      </c>
      <c r="X501" s="1250" t="s">
        <v>69</v>
      </c>
      <c r="Y501" s="1250" t="s">
        <v>69</v>
      </c>
      <c r="Z501" s="1251" t="s">
        <v>70</v>
      </c>
      <c r="AA501" s="1251" t="s">
        <v>70</v>
      </c>
      <c r="AB501" s="1250" t="s">
        <v>69</v>
      </c>
      <c r="AC501" s="1250" t="s">
        <v>69</v>
      </c>
      <c r="AD501" s="1250" t="s">
        <v>69</v>
      </c>
      <c r="AE501" s="1250" t="s">
        <v>69</v>
      </c>
      <c r="AF501" s="1250" t="s">
        <v>69</v>
      </c>
      <c r="AG501" s="1250" t="s">
        <v>69</v>
      </c>
      <c r="AH501" s="1251" t="s">
        <v>70</v>
      </c>
      <c r="AI501" s="1250" t="s">
        <v>69</v>
      </c>
      <c r="AJ501" s="1251" t="s">
        <v>70</v>
      </c>
      <c r="AK501" s="1250" t="s">
        <v>69</v>
      </c>
      <c r="AL501" s="1254" t="s">
        <v>69</v>
      </c>
      <c r="AM501" s="1051"/>
      <c r="BD501" s="1052"/>
      <c r="BE501" s="1129"/>
      <c r="BF501" s="1129"/>
      <c r="BG501" s="1129"/>
      <c r="BH501" s="1129"/>
      <c r="BI501" s="1129"/>
      <c r="BJ501" s="1129"/>
      <c r="BK501" s="1129"/>
      <c r="BL501" s="1129"/>
    </row>
    <row r="502">
      <c r="A502" s="901"/>
      <c r="B502" s="1352" t="s">
        <v>1313</v>
      </c>
      <c r="C502" s="1352" t="s">
        <v>233</v>
      </c>
      <c r="D502" s="124"/>
      <c r="E502" s="65"/>
      <c r="F502" s="65"/>
      <c r="G502" s="65"/>
      <c r="H502" s="65"/>
      <c r="I502" s="65"/>
      <c r="J502" s="65"/>
      <c r="K502" s="65"/>
      <c r="L502" s="65"/>
      <c r="M502" s="65"/>
      <c r="N502" s="65"/>
      <c r="O502" s="65"/>
      <c r="P502" s="65"/>
      <c r="Q502" s="65"/>
      <c r="R502" s="65"/>
      <c r="S502" s="65"/>
      <c r="T502" s="65"/>
      <c r="U502" s="65"/>
      <c r="V502" s="66"/>
      <c r="W502" s="1251" t="s">
        <v>70</v>
      </c>
      <c r="X502" s="1251" t="s">
        <v>70</v>
      </c>
      <c r="Y502" s="1250" t="s">
        <v>69</v>
      </c>
      <c r="Z502" s="1251" t="s">
        <v>70</v>
      </c>
      <c r="AA502" s="1251" t="s">
        <v>70</v>
      </c>
      <c r="AB502" s="1250" t="s">
        <v>69</v>
      </c>
      <c r="AC502" s="1325" t="s">
        <v>100</v>
      </c>
      <c r="AD502" s="1325" t="s">
        <v>100</v>
      </c>
      <c r="AE502" s="1325" t="s">
        <v>100</v>
      </c>
      <c r="AF502" s="1325" t="s">
        <v>100</v>
      </c>
      <c r="AG502" s="1325" t="s">
        <v>100</v>
      </c>
      <c r="AH502" s="1325" t="s">
        <v>100</v>
      </c>
      <c r="AI502" s="1251" t="s">
        <v>70</v>
      </c>
      <c r="AJ502" s="1251" t="s">
        <v>70</v>
      </c>
      <c r="AK502" s="1250" t="s">
        <v>69</v>
      </c>
      <c r="AL502" s="1254" t="s">
        <v>69</v>
      </c>
      <c r="AM502" s="1051"/>
      <c r="BD502" s="1052"/>
      <c r="BE502" s="1129"/>
      <c r="BF502" s="1129"/>
      <c r="BG502" s="1129"/>
      <c r="BH502" s="1129"/>
      <c r="BI502" s="1129"/>
      <c r="BJ502" s="1129"/>
      <c r="BK502" s="1129"/>
      <c r="BL502" s="1129"/>
    </row>
    <row r="503">
      <c r="A503" s="901"/>
      <c r="B503" s="1287" t="s">
        <v>1314</v>
      </c>
      <c r="C503" s="1287" t="s">
        <v>12</v>
      </c>
      <c r="D503" s="1320" t="s">
        <v>70</v>
      </c>
      <c r="E503" s="1306" t="s">
        <v>69</v>
      </c>
      <c r="F503" s="1306" t="s">
        <v>69</v>
      </c>
      <c r="G503" s="1186" t="s">
        <v>69</v>
      </c>
      <c r="H503" s="1187" t="s">
        <v>70</v>
      </c>
      <c r="I503" s="1186" t="s">
        <v>69</v>
      </c>
      <c r="J503" s="1186" t="s">
        <v>69</v>
      </c>
      <c r="K503" s="1187" t="s">
        <v>70</v>
      </c>
      <c r="L503" s="1306" t="s">
        <v>69</v>
      </c>
      <c r="M503" s="1316" t="s">
        <v>69</v>
      </c>
      <c r="N503" s="1250" t="s">
        <v>69</v>
      </c>
      <c r="O503" s="1250" t="s">
        <v>69</v>
      </c>
      <c r="P503" s="1250"/>
      <c r="Q503" s="1251" t="s">
        <v>70</v>
      </c>
      <c r="R503" s="1251" t="s">
        <v>70</v>
      </c>
      <c r="S503" s="1251" t="s">
        <v>70</v>
      </c>
      <c r="T503" s="1251" t="s">
        <v>70</v>
      </c>
      <c r="U503" s="1251" t="s">
        <v>70</v>
      </c>
      <c r="V503" s="1251" t="s">
        <v>70</v>
      </c>
      <c r="W503" s="1251" t="s">
        <v>70</v>
      </c>
      <c r="X503" s="1250" t="s">
        <v>69</v>
      </c>
      <c r="Y503" s="1250" t="s">
        <v>69</v>
      </c>
      <c r="Z503" s="1251" t="s">
        <v>70</v>
      </c>
      <c r="AA503" s="1250" t="s">
        <v>69</v>
      </c>
      <c r="AB503" s="1250" t="s">
        <v>69</v>
      </c>
      <c r="AC503" s="1251" t="s">
        <v>70</v>
      </c>
      <c r="AD503" s="1250" t="s">
        <v>69</v>
      </c>
      <c r="AE503" s="1250" t="s">
        <v>69</v>
      </c>
      <c r="AF503" s="1250" t="s">
        <v>69</v>
      </c>
      <c r="AG503" s="1250" t="s">
        <v>69</v>
      </c>
      <c r="AH503" s="1251" t="s">
        <v>70</v>
      </c>
      <c r="AI503" s="1251" t="s">
        <v>70</v>
      </c>
      <c r="AJ503" s="1251" t="s">
        <v>70</v>
      </c>
      <c r="AK503" s="1250" t="s">
        <v>69</v>
      </c>
      <c r="AL503" s="1254" t="s">
        <v>69</v>
      </c>
      <c r="AM503" s="1051"/>
      <c r="BD503" s="1052"/>
      <c r="BE503" s="1129"/>
      <c r="BF503" s="1129"/>
      <c r="BG503" s="1129"/>
      <c r="BH503" s="1129"/>
      <c r="BI503" s="1129"/>
      <c r="BJ503" s="1129"/>
      <c r="BK503" s="1129"/>
      <c r="BL503" s="1129"/>
    </row>
    <row r="504">
      <c r="A504" s="901"/>
      <c r="B504" s="1354" t="s">
        <v>1249</v>
      </c>
      <c r="C504" s="1354" t="s">
        <v>12</v>
      </c>
      <c r="D504" s="1355" t="s">
        <v>70</v>
      </c>
      <c r="E504" s="1312" t="s">
        <v>69</v>
      </c>
      <c r="F504" s="1312" t="s">
        <v>69</v>
      </c>
      <c r="G504" s="1184" t="s">
        <v>69</v>
      </c>
      <c r="H504" s="1185" t="s">
        <v>70</v>
      </c>
      <c r="I504" s="1184" t="s">
        <v>69</v>
      </c>
      <c r="J504" s="1185" t="s">
        <v>70</v>
      </c>
      <c r="K504" s="1185" t="s">
        <v>70</v>
      </c>
      <c r="L504" s="1312" t="s">
        <v>69</v>
      </c>
      <c r="M504" s="1313" t="s">
        <v>69</v>
      </c>
      <c r="N504" s="1257" t="s">
        <v>69</v>
      </c>
      <c r="O504" s="1257" t="s">
        <v>69</v>
      </c>
      <c r="P504" s="1257"/>
      <c r="Q504" s="1258" t="s">
        <v>70</v>
      </c>
      <c r="R504" s="1258" t="s">
        <v>70</v>
      </c>
      <c r="S504" s="1258" t="s">
        <v>70</v>
      </c>
      <c r="T504" s="1258" t="s">
        <v>70</v>
      </c>
      <c r="U504" s="1258" t="s">
        <v>70</v>
      </c>
      <c r="V504" s="1257" t="s">
        <v>69</v>
      </c>
      <c r="W504" s="1258" t="s">
        <v>70</v>
      </c>
      <c r="X504" s="1257" t="s">
        <v>69</v>
      </c>
      <c r="Y504" s="1257" t="s">
        <v>69</v>
      </c>
      <c r="Z504" s="1258" t="s">
        <v>70</v>
      </c>
      <c r="AA504" s="1257" t="s">
        <v>69</v>
      </c>
      <c r="AB504" s="1258" t="s">
        <v>70</v>
      </c>
      <c r="AC504" s="1258" t="s">
        <v>70</v>
      </c>
      <c r="AD504" s="1257" t="s">
        <v>69</v>
      </c>
      <c r="AE504" s="1257" t="s">
        <v>69</v>
      </c>
      <c r="AF504" s="1257" t="s">
        <v>69</v>
      </c>
      <c r="AG504" s="1259" t="s">
        <v>99</v>
      </c>
      <c r="AH504" s="1258" t="s">
        <v>70</v>
      </c>
      <c r="AI504" s="1258" t="s">
        <v>70</v>
      </c>
      <c r="AJ504" s="1258" t="s">
        <v>70</v>
      </c>
      <c r="AK504" s="1257" t="s">
        <v>69</v>
      </c>
      <c r="AL504" s="1260" t="s">
        <v>69</v>
      </c>
      <c r="AM504" s="1051"/>
      <c r="BD504" s="1052"/>
      <c r="BE504" s="1129"/>
      <c r="BF504" s="1129"/>
      <c r="BG504" s="1129"/>
      <c r="BH504" s="1129"/>
      <c r="BI504" s="1129"/>
      <c r="BJ504" s="1129"/>
      <c r="BK504" s="1129"/>
      <c r="BL504" s="1129"/>
    </row>
    <row r="505">
      <c r="A505" s="901"/>
      <c r="B505" s="1356" t="s">
        <v>1202</v>
      </c>
      <c r="C505" s="1356" t="s">
        <v>12</v>
      </c>
      <c r="D505" s="1320" t="s">
        <v>70</v>
      </c>
      <c r="E505" s="1306" t="s">
        <v>69</v>
      </c>
      <c r="F505" s="1306" t="s">
        <v>69</v>
      </c>
      <c r="G505" s="1186" t="s">
        <v>69</v>
      </c>
      <c r="H505" s="1187" t="s">
        <v>70</v>
      </c>
      <c r="I505" s="1186" t="s">
        <v>69</v>
      </c>
      <c r="J505" s="1186" t="s">
        <v>69</v>
      </c>
      <c r="K505" s="1187" t="s">
        <v>70</v>
      </c>
      <c r="L505" s="1193" t="s">
        <v>70</v>
      </c>
      <c r="M505" s="1316" t="s">
        <v>69</v>
      </c>
      <c r="N505" s="1250" t="s">
        <v>69</v>
      </c>
      <c r="O505" s="1250" t="s">
        <v>69</v>
      </c>
      <c r="P505" s="1250"/>
      <c r="Q505" s="1251" t="s">
        <v>70</v>
      </c>
      <c r="R505" s="1251" t="s">
        <v>70</v>
      </c>
      <c r="S505" s="1251" t="s">
        <v>70</v>
      </c>
      <c r="T505" s="1251" t="s">
        <v>70</v>
      </c>
      <c r="U505" s="1251" t="s">
        <v>70</v>
      </c>
      <c r="V505" s="1250" t="s">
        <v>69</v>
      </c>
      <c r="W505" s="1129"/>
      <c r="AM505" s="1051"/>
      <c r="BD505" s="1052"/>
      <c r="BE505" s="1129"/>
      <c r="BF505" s="1129"/>
      <c r="BG505" s="1129"/>
      <c r="BH505" s="1129"/>
      <c r="BI505" s="1129"/>
      <c r="BJ505" s="1129"/>
      <c r="BK505" s="1129"/>
      <c r="BL505" s="1129"/>
    </row>
    <row r="506">
      <c r="A506" s="901"/>
      <c r="B506" s="1357" t="s">
        <v>1251</v>
      </c>
      <c r="C506" s="1357" t="s">
        <v>187</v>
      </c>
      <c r="D506" s="1355" t="s">
        <v>70</v>
      </c>
      <c r="E506" s="1312" t="s">
        <v>69</v>
      </c>
      <c r="F506" s="1358" t="s">
        <v>70</v>
      </c>
      <c r="G506" s="1312" t="s">
        <v>69</v>
      </c>
      <c r="H506" s="1312" t="s">
        <v>69</v>
      </c>
      <c r="I506" s="1312" t="s">
        <v>69</v>
      </c>
      <c r="J506" s="1358" t="s">
        <v>70</v>
      </c>
      <c r="K506" s="1358" t="s">
        <v>70</v>
      </c>
      <c r="L506" s="1312" t="s">
        <v>69</v>
      </c>
      <c r="M506" s="1313" t="s">
        <v>69</v>
      </c>
      <c r="N506" s="1258" t="s">
        <v>70</v>
      </c>
      <c r="O506" s="1257" t="s">
        <v>69</v>
      </c>
      <c r="P506" s="1257"/>
      <c r="Q506" s="1258" t="s">
        <v>70</v>
      </c>
      <c r="R506" s="1257" t="s">
        <v>69</v>
      </c>
      <c r="S506" s="1257" t="s">
        <v>69</v>
      </c>
      <c r="T506" s="1257" t="s">
        <v>69</v>
      </c>
      <c r="U506" s="1258" t="s">
        <v>70</v>
      </c>
      <c r="V506" s="1258" t="s">
        <v>70</v>
      </c>
      <c r="AM506" s="1051"/>
      <c r="BD506" s="1052"/>
      <c r="BE506" s="1129"/>
      <c r="BF506" s="1129"/>
      <c r="BG506" s="1129"/>
      <c r="BH506" s="1129"/>
      <c r="BI506" s="1129"/>
      <c r="BJ506" s="1129"/>
      <c r="BK506" s="1129"/>
      <c r="BL506" s="1129"/>
    </row>
    <row r="507">
      <c r="A507" s="1013"/>
      <c r="B507" s="1359" t="s">
        <v>1313</v>
      </c>
      <c r="C507" s="1359" t="s">
        <v>942</v>
      </c>
      <c r="D507" s="1310" t="s">
        <v>100</v>
      </c>
      <c r="E507" s="1311" t="s">
        <v>100</v>
      </c>
      <c r="F507" s="1311" t="s">
        <v>100</v>
      </c>
      <c r="G507" s="1184" t="s">
        <v>69</v>
      </c>
      <c r="H507" s="1185" t="s">
        <v>70</v>
      </c>
      <c r="I507" s="1184" t="s">
        <v>69</v>
      </c>
      <c r="J507" s="1184" t="s">
        <v>69</v>
      </c>
      <c r="K507" s="1185" t="s">
        <v>70</v>
      </c>
      <c r="L507" s="1358" t="s">
        <v>70</v>
      </c>
      <c r="M507" s="1313" t="s">
        <v>69</v>
      </c>
      <c r="N507" s="1257" t="s">
        <v>69</v>
      </c>
      <c r="O507" s="1257" t="s">
        <v>69</v>
      </c>
      <c r="P507" s="1257"/>
      <c r="Q507" s="1258" t="s">
        <v>70</v>
      </c>
      <c r="R507" s="1258" t="s">
        <v>70</v>
      </c>
      <c r="S507" s="1258" t="s">
        <v>70</v>
      </c>
      <c r="T507" s="1258" t="s">
        <v>70</v>
      </c>
      <c r="U507" s="1258" t="s">
        <v>70</v>
      </c>
      <c r="V507" s="1257" t="s">
        <v>69</v>
      </c>
      <c r="AM507" s="1051"/>
      <c r="BD507" s="1052"/>
      <c r="BE507" s="1129"/>
      <c r="BF507" s="1129"/>
      <c r="BG507" s="1129"/>
      <c r="BH507" s="1129"/>
      <c r="BI507" s="1129"/>
      <c r="BJ507" s="1129"/>
      <c r="BK507" s="1129"/>
      <c r="BL507" s="1129"/>
    </row>
    <row r="508">
      <c r="A508" s="1247" t="s">
        <v>68</v>
      </c>
      <c r="B508" s="1360"/>
      <c r="D508" s="1291"/>
      <c r="E508" s="1292"/>
      <c r="F508" s="1292"/>
      <c r="G508" s="1292"/>
      <c r="H508" s="1292"/>
      <c r="I508" s="1292"/>
      <c r="J508" s="1292"/>
      <c r="K508" s="1292"/>
      <c r="L508" s="1292"/>
      <c r="M508" s="1292"/>
      <c r="N508" s="1292"/>
      <c r="O508" s="1292"/>
      <c r="P508" s="1292"/>
      <c r="Q508" s="1292"/>
      <c r="R508" s="1292"/>
      <c r="S508" s="1292"/>
      <c r="T508" s="1292"/>
      <c r="U508" s="1292"/>
      <c r="V508" s="1292"/>
      <c r="W508" s="1292"/>
      <c r="X508" s="1292"/>
      <c r="Y508" s="1292"/>
      <c r="Z508" s="1292"/>
      <c r="AA508" s="1292"/>
      <c r="AB508" s="1292"/>
      <c r="AC508" s="1292"/>
      <c r="AD508" s="1292"/>
      <c r="AE508" s="1292"/>
      <c r="AF508" s="1292"/>
      <c r="AG508" s="1292"/>
      <c r="AH508" s="1292"/>
      <c r="AI508" s="1292"/>
      <c r="AJ508" s="1292"/>
      <c r="AK508" s="1292"/>
      <c r="AL508" s="1361"/>
      <c r="AM508" s="1051"/>
      <c r="BD508" s="1052"/>
      <c r="BE508" s="1129"/>
      <c r="BF508" s="1129"/>
      <c r="BG508" s="1129"/>
      <c r="BH508" s="1129"/>
      <c r="BI508" s="1129"/>
      <c r="BJ508" s="1129"/>
      <c r="BK508" s="1129"/>
      <c r="BL508" s="1129"/>
    </row>
    <row r="509">
      <c r="A509" s="901"/>
      <c r="B509" s="1362" t="s">
        <v>69</v>
      </c>
      <c r="D509" s="1113">
        <f t="shared" ref="D509:O509" si="160">COUNTIF(D476:D507,"Voor")</f>
        <v>6</v>
      </c>
      <c r="E509" s="1114">
        <f t="shared" si="160"/>
        <v>16</v>
      </c>
      <c r="F509" s="1114">
        <f t="shared" si="160"/>
        <v>14</v>
      </c>
      <c r="G509" s="1114">
        <f t="shared" si="160"/>
        <v>15</v>
      </c>
      <c r="H509" s="1114">
        <f t="shared" si="160"/>
        <v>8</v>
      </c>
      <c r="I509" s="1114">
        <f t="shared" si="160"/>
        <v>19</v>
      </c>
      <c r="J509" s="1114">
        <f t="shared" si="160"/>
        <v>11</v>
      </c>
      <c r="K509" s="1114">
        <f t="shared" si="160"/>
        <v>13</v>
      </c>
      <c r="L509" s="1114">
        <f t="shared" si="160"/>
        <v>20</v>
      </c>
      <c r="M509" s="1114">
        <f t="shared" si="160"/>
        <v>17</v>
      </c>
      <c r="N509" s="1114">
        <f t="shared" si="160"/>
        <v>22</v>
      </c>
      <c r="O509" s="1114">
        <f t="shared" si="160"/>
        <v>19</v>
      </c>
      <c r="P509" s="1114"/>
      <c r="Q509" s="1114">
        <f t="shared" ref="Q509:AL509" si="161">COUNTIF(Q476:Q507,"Voor")</f>
        <v>12</v>
      </c>
      <c r="R509" s="1114">
        <f t="shared" si="161"/>
        <v>14</v>
      </c>
      <c r="S509" s="1114">
        <f t="shared" si="161"/>
        <v>4</v>
      </c>
      <c r="T509" s="1114">
        <f t="shared" si="161"/>
        <v>15</v>
      </c>
      <c r="U509" s="1114">
        <f t="shared" si="161"/>
        <v>14</v>
      </c>
      <c r="V509" s="1114">
        <f t="shared" si="161"/>
        <v>11</v>
      </c>
      <c r="W509" s="1114">
        <f t="shared" si="161"/>
        <v>11</v>
      </c>
      <c r="X509" s="1114">
        <f t="shared" si="161"/>
        <v>20</v>
      </c>
      <c r="Y509" s="1114">
        <f t="shared" si="161"/>
        <v>17</v>
      </c>
      <c r="Z509" s="1114">
        <f t="shared" si="161"/>
        <v>17</v>
      </c>
      <c r="AA509" s="1114">
        <f t="shared" si="161"/>
        <v>20</v>
      </c>
      <c r="AB509" s="1114">
        <f t="shared" si="161"/>
        <v>6</v>
      </c>
      <c r="AC509" s="1114">
        <f t="shared" si="161"/>
        <v>4</v>
      </c>
      <c r="AD509" s="1114">
        <f t="shared" si="161"/>
        <v>20</v>
      </c>
      <c r="AE509" s="1114">
        <f t="shared" si="161"/>
        <v>18</v>
      </c>
      <c r="AF509" s="1114">
        <f t="shared" si="161"/>
        <v>21</v>
      </c>
      <c r="AG509" s="1114">
        <f t="shared" si="161"/>
        <v>12</v>
      </c>
      <c r="AH509" s="1114">
        <f t="shared" si="161"/>
        <v>3</v>
      </c>
      <c r="AI509" s="1114">
        <f t="shared" si="161"/>
        <v>19</v>
      </c>
      <c r="AJ509" s="1114">
        <f t="shared" si="161"/>
        <v>6</v>
      </c>
      <c r="AK509" s="1114">
        <f t="shared" si="161"/>
        <v>14</v>
      </c>
      <c r="AL509" s="1114">
        <f t="shared" si="161"/>
        <v>16</v>
      </c>
      <c r="AM509" s="1051"/>
      <c r="BD509" s="1052"/>
      <c r="BE509" s="1129"/>
      <c r="BF509" s="1129"/>
      <c r="BG509" s="1129"/>
      <c r="BH509" s="1129"/>
      <c r="BI509" s="1129"/>
      <c r="BJ509" s="1129"/>
      <c r="BK509" s="1129"/>
      <c r="BL509" s="1129"/>
    </row>
    <row r="510">
      <c r="A510" s="901"/>
      <c r="B510" s="1363" t="s">
        <v>70</v>
      </c>
      <c r="D510" s="1116">
        <f t="shared" ref="D510:O510" si="162">COUNTIF(D476:D507,"Tegen")</f>
        <v>9</v>
      </c>
      <c r="E510" s="1117">
        <f t="shared" si="162"/>
        <v>1</v>
      </c>
      <c r="F510" s="1117">
        <f t="shared" si="162"/>
        <v>2</v>
      </c>
      <c r="G510" s="1117">
        <f t="shared" si="162"/>
        <v>7</v>
      </c>
      <c r="H510" s="1117">
        <f t="shared" si="162"/>
        <v>14</v>
      </c>
      <c r="I510" s="1117">
        <f t="shared" si="162"/>
        <v>5</v>
      </c>
      <c r="J510" s="1117">
        <f t="shared" si="162"/>
        <v>10</v>
      </c>
      <c r="K510" s="1117">
        <f t="shared" si="162"/>
        <v>12</v>
      </c>
      <c r="L510" s="1117">
        <f t="shared" si="162"/>
        <v>3</v>
      </c>
      <c r="M510" s="1117">
        <f t="shared" si="162"/>
        <v>6</v>
      </c>
      <c r="N510" s="1117">
        <f t="shared" si="162"/>
        <v>2</v>
      </c>
      <c r="O510" s="1117">
        <f t="shared" si="162"/>
        <v>1</v>
      </c>
      <c r="P510" s="1117"/>
      <c r="Q510" s="1117">
        <f t="shared" ref="Q510:AL510" si="163">COUNTIF(Q476:Q507,"Tegen")</f>
        <v>10</v>
      </c>
      <c r="R510" s="1117">
        <f t="shared" si="163"/>
        <v>8</v>
      </c>
      <c r="S510" s="1117">
        <f t="shared" si="163"/>
        <v>20</v>
      </c>
      <c r="T510" s="1117">
        <f t="shared" si="163"/>
        <v>7</v>
      </c>
      <c r="U510" s="1117">
        <f t="shared" si="163"/>
        <v>10</v>
      </c>
      <c r="V510" s="1117">
        <f t="shared" si="163"/>
        <v>11</v>
      </c>
      <c r="W510" s="1117">
        <f t="shared" si="163"/>
        <v>11</v>
      </c>
      <c r="X510" s="1117">
        <f t="shared" si="163"/>
        <v>3</v>
      </c>
      <c r="Y510" s="1117">
        <f t="shared" si="163"/>
        <v>6</v>
      </c>
      <c r="Z510" s="1117">
        <f t="shared" si="163"/>
        <v>4</v>
      </c>
      <c r="AA510" s="1117">
        <f t="shared" si="163"/>
        <v>3</v>
      </c>
      <c r="AB510" s="1117">
        <f t="shared" si="163"/>
        <v>16</v>
      </c>
      <c r="AC510" s="1117">
        <f t="shared" si="163"/>
        <v>19</v>
      </c>
      <c r="AD510" s="1117">
        <f t="shared" si="163"/>
        <v>2</v>
      </c>
      <c r="AE510" s="1117">
        <f t="shared" si="163"/>
        <v>2</v>
      </c>
      <c r="AF510" s="1117">
        <f t="shared" si="163"/>
        <v>0</v>
      </c>
      <c r="AG510" s="1117">
        <f t="shared" si="163"/>
        <v>7</v>
      </c>
      <c r="AH510" s="1117">
        <f t="shared" si="163"/>
        <v>15</v>
      </c>
      <c r="AI510" s="1117">
        <f t="shared" si="163"/>
        <v>5</v>
      </c>
      <c r="AJ510" s="1117">
        <f t="shared" si="163"/>
        <v>17</v>
      </c>
      <c r="AK510" s="1117">
        <f t="shared" si="163"/>
        <v>9</v>
      </c>
      <c r="AL510" s="1117">
        <f t="shared" si="163"/>
        <v>7</v>
      </c>
      <c r="AM510" s="1051"/>
      <c r="BD510" s="1052"/>
      <c r="BE510" s="1129"/>
      <c r="BF510" s="1129"/>
      <c r="BG510" s="1129"/>
      <c r="BH510" s="1129"/>
      <c r="BI510" s="1129"/>
      <c r="BJ510" s="1129"/>
      <c r="BK510" s="1129"/>
      <c r="BL510" s="1129"/>
    </row>
    <row r="511">
      <c r="A511" s="901"/>
      <c r="B511" s="1364" t="s">
        <v>71</v>
      </c>
      <c r="D511" s="1118">
        <f t="shared" ref="D511:O511" si="164">COUNTIF(D476:D507,"SO")</f>
        <v>3</v>
      </c>
      <c r="E511" s="1119">
        <f t="shared" si="164"/>
        <v>1</v>
      </c>
      <c r="F511" s="1119">
        <f t="shared" si="164"/>
        <v>2</v>
      </c>
      <c r="G511" s="1119">
        <f t="shared" si="164"/>
        <v>3</v>
      </c>
      <c r="H511" s="1119">
        <f t="shared" si="164"/>
        <v>3</v>
      </c>
      <c r="I511" s="1119">
        <f t="shared" si="164"/>
        <v>1</v>
      </c>
      <c r="J511" s="1119">
        <f t="shared" si="164"/>
        <v>4</v>
      </c>
      <c r="K511" s="1119">
        <f t="shared" si="164"/>
        <v>0</v>
      </c>
      <c r="L511" s="1119">
        <f t="shared" si="164"/>
        <v>1</v>
      </c>
      <c r="M511" s="1119">
        <f t="shared" si="164"/>
        <v>1</v>
      </c>
      <c r="N511" s="1119">
        <f t="shared" si="164"/>
        <v>0</v>
      </c>
      <c r="O511" s="1119">
        <f t="shared" si="164"/>
        <v>4</v>
      </c>
      <c r="P511" s="1119"/>
      <c r="Q511" s="1119">
        <f t="shared" ref="Q511:AL511" si="165">COUNTIF(Q476:Q507,"SO")</f>
        <v>2</v>
      </c>
      <c r="R511" s="1119">
        <f t="shared" si="165"/>
        <v>2</v>
      </c>
      <c r="S511" s="1119">
        <f t="shared" si="165"/>
        <v>0</v>
      </c>
      <c r="T511" s="1119">
        <f t="shared" si="165"/>
        <v>2</v>
      </c>
      <c r="U511" s="1119">
        <f t="shared" si="165"/>
        <v>0</v>
      </c>
      <c r="V511" s="1119">
        <f t="shared" si="165"/>
        <v>2</v>
      </c>
      <c r="W511" s="1119">
        <f t="shared" si="165"/>
        <v>1</v>
      </c>
      <c r="X511" s="1119">
        <f t="shared" si="165"/>
        <v>0</v>
      </c>
      <c r="Y511" s="1119">
        <f t="shared" si="165"/>
        <v>0</v>
      </c>
      <c r="Z511" s="1119">
        <f t="shared" si="165"/>
        <v>2</v>
      </c>
      <c r="AA511" s="1119">
        <f t="shared" si="165"/>
        <v>0</v>
      </c>
      <c r="AB511" s="1119">
        <f t="shared" si="165"/>
        <v>1</v>
      </c>
      <c r="AC511" s="1119">
        <f t="shared" si="165"/>
        <v>0</v>
      </c>
      <c r="AD511" s="1119">
        <f t="shared" si="165"/>
        <v>1</v>
      </c>
      <c r="AE511" s="1119">
        <f t="shared" si="165"/>
        <v>3</v>
      </c>
      <c r="AF511" s="1119">
        <f t="shared" si="165"/>
        <v>2</v>
      </c>
      <c r="AG511" s="1119">
        <f t="shared" si="165"/>
        <v>4</v>
      </c>
      <c r="AH511" s="1119">
        <f t="shared" si="165"/>
        <v>5</v>
      </c>
      <c r="AI511" s="1119">
        <f t="shared" si="165"/>
        <v>0</v>
      </c>
      <c r="AJ511" s="1119">
        <f t="shared" si="165"/>
        <v>1</v>
      </c>
      <c r="AK511" s="1119">
        <f t="shared" si="165"/>
        <v>1</v>
      </c>
      <c r="AL511" s="1119">
        <f t="shared" si="165"/>
        <v>1</v>
      </c>
      <c r="AM511" s="1051"/>
      <c r="BD511" s="1052"/>
      <c r="BE511" s="1129"/>
      <c r="BF511" s="1129"/>
      <c r="BG511" s="1129"/>
      <c r="BH511" s="1129"/>
      <c r="BI511" s="1129"/>
      <c r="BJ511" s="1129"/>
      <c r="BK511" s="1129"/>
      <c r="BL511" s="1129"/>
    </row>
    <row r="512">
      <c r="A512" s="901"/>
      <c r="B512" s="1365" t="s">
        <v>72</v>
      </c>
      <c r="D512" s="1120">
        <f t="shared" ref="D512:O512" si="166">COUNTIF(D476:D507,"NG")</f>
        <v>7</v>
      </c>
      <c r="E512" s="1121">
        <f t="shared" si="166"/>
        <v>7</v>
      </c>
      <c r="F512" s="1121">
        <f t="shared" si="166"/>
        <v>7</v>
      </c>
      <c r="G512" s="1121">
        <f t="shared" si="166"/>
        <v>0</v>
      </c>
      <c r="H512" s="1121">
        <f t="shared" si="166"/>
        <v>0</v>
      </c>
      <c r="I512" s="1121">
        <f t="shared" si="166"/>
        <v>0</v>
      </c>
      <c r="J512" s="1121">
        <f t="shared" si="166"/>
        <v>0</v>
      </c>
      <c r="K512" s="1121">
        <f t="shared" si="166"/>
        <v>0</v>
      </c>
      <c r="L512" s="1121">
        <f t="shared" si="166"/>
        <v>1</v>
      </c>
      <c r="M512" s="1121">
        <f t="shared" si="166"/>
        <v>1</v>
      </c>
      <c r="N512" s="1121">
        <f t="shared" si="166"/>
        <v>1</v>
      </c>
      <c r="O512" s="1121">
        <f t="shared" si="166"/>
        <v>1</v>
      </c>
      <c r="P512" s="1121"/>
      <c r="Q512" s="1121">
        <f t="shared" ref="Q512:AL512" si="167">COUNTIF(Q476:Q507,"NG")</f>
        <v>1</v>
      </c>
      <c r="R512" s="1121">
        <f t="shared" si="167"/>
        <v>1</v>
      </c>
      <c r="S512" s="1121">
        <f t="shared" si="167"/>
        <v>1</v>
      </c>
      <c r="T512" s="1121">
        <f t="shared" si="167"/>
        <v>1</v>
      </c>
      <c r="U512" s="1121">
        <f t="shared" si="167"/>
        <v>1</v>
      </c>
      <c r="V512" s="1121">
        <f t="shared" si="167"/>
        <v>1</v>
      </c>
      <c r="W512" s="1121">
        <f t="shared" si="167"/>
        <v>2</v>
      </c>
      <c r="X512" s="1121">
        <f t="shared" si="167"/>
        <v>2</v>
      </c>
      <c r="Y512" s="1121">
        <f t="shared" si="167"/>
        <v>2</v>
      </c>
      <c r="Z512" s="1121">
        <f t="shared" si="167"/>
        <v>2</v>
      </c>
      <c r="AA512" s="1121">
        <f t="shared" si="167"/>
        <v>2</v>
      </c>
      <c r="AB512" s="1121">
        <f t="shared" si="167"/>
        <v>2</v>
      </c>
      <c r="AC512" s="1121">
        <f t="shared" si="167"/>
        <v>2</v>
      </c>
      <c r="AD512" s="1121">
        <f t="shared" si="167"/>
        <v>2</v>
      </c>
      <c r="AE512" s="1121">
        <f t="shared" si="167"/>
        <v>2</v>
      </c>
      <c r="AF512" s="1121">
        <f t="shared" si="167"/>
        <v>2</v>
      </c>
      <c r="AG512" s="1121">
        <f t="shared" si="167"/>
        <v>2</v>
      </c>
      <c r="AH512" s="1121">
        <f t="shared" si="167"/>
        <v>2</v>
      </c>
      <c r="AI512" s="1121">
        <f t="shared" si="167"/>
        <v>1</v>
      </c>
      <c r="AJ512" s="1121">
        <f t="shared" si="167"/>
        <v>1</v>
      </c>
      <c r="AK512" s="1121">
        <f t="shared" si="167"/>
        <v>1</v>
      </c>
      <c r="AL512" s="1121">
        <f t="shared" si="167"/>
        <v>1</v>
      </c>
      <c r="AM512" s="1051"/>
      <c r="BD512" s="1052"/>
      <c r="BE512" s="1129"/>
      <c r="BF512" s="1129"/>
      <c r="BG512" s="1129"/>
      <c r="BH512" s="1129"/>
      <c r="BI512" s="1129"/>
      <c r="BJ512" s="1129"/>
      <c r="BK512" s="1129"/>
      <c r="BL512" s="1129"/>
    </row>
    <row r="513">
      <c r="A513" s="901"/>
      <c r="B513" s="1366" t="s">
        <v>73</v>
      </c>
      <c r="D513" s="1122">
        <f t="shared" ref="D513:O513" si="168">SUM(D509:D512)</f>
        <v>25</v>
      </c>
      <c r="E513" s="1123">
        <f t="shared" si="168"/>
        <v>25</v>
      </c>
      <c r="F513" s="1123">
        <f t="shared" si="168"/>
        <v>25</v>
      </c>
      <c r="G513" s="1123">
        <f t="shared" si="168"/>
        <v>25</v>
      </c>
      <c r="H513" s="1123">
        <f t="shared" si="168"/>
        <v>25</v>
      </c>
      <c r="I513" s="1123">
        <f t="shared" si="168"/>
        <v>25</v>
      </c>
      <c r="J513" s="1123">
        <f t="shared" si="168"/>
        <v>25</v>
      </c>
      <c r="K513" s="1123">
        <f t="shared" si="168"/>
        <v>25</v>
      </c>
      <c r="L513" s="1123">
        <f t="shared" si="168"/>
        <v>25</v>
      </c>
      <c r="M513" s="1123">
        <f t="shared" si="168"/>
        <v>25</v>
      </c>
      <c r="N513" s="1123">
        <f t="shared" si="168"/>
        <v>25</v>
      </c>
      <c r="O513" s="1123">
        <f t="shared" si="168"/>
        <v>25</v>
      </c>
      <c r="P513" s="1123"/>
      <c r="Q513" s="1123">
        <f t="shared" ref="Q513:AL513" si="169">SUM(Q509:Q512)</f>
        <v>25</v>
      </c>
      <c r="R513" s="1123">
        <f t="shared" si="169"/>
        <v>25</v>
      </c>
      <c r="S513" s="1123">
        <f t="shared" si="169"/>
        <v>25</v>
      </c>
      <c r="T513" s="1123">
        <f t="shared" si="169"/>
        <v>25</v>
      </c>
      <c r="U513" s="1123">
        <f t="shared" si="169"/>
        <v>25</v>
      </c>
      <c r="V513" s="1123">
        <f t="shared" si="169"/>
        <v>25</v>
      </c>
      <c r="W513" s="1123">
        <f t="shared" si="169"/>
        <v>25</v>
      </c>
      <c r="X513" s="1123">
        <f t="shared" si="169"/>
        <v>25</v>
      </c>
      <c r="Y513" s="1123">
        <f t="shared" si="169"/>
        <v>25</v>
      </c>
      <c r="Z513" s="1123">
        <f t="shared" si="169"/>
        <v>25</v>
      </c>
      <c r="AA513" s="1123">
        <f t="shared" si="169"/>
        <v>25</v>
      </c>
      <c r="AB513" s="1123">
        <f t="shared" si="169"/>
        <v>25</v>
      </c>
      <c r="AC513" s="1123">
        <f t="shared" si="169"/>
        <v>25</v>
      </c>
      <c r="AD513" s="1123">
        <f t="shared" si="169"/>
        <v>25</v>
      </c>
      <c r="AE513" s="1123">
        <f t="shared" si="169"/>
        <v>25</v>
      </c>
      <c r="AF513" s="1123">
        <f t="shared" si="169"/>
        <v>25</v>
      </c>
      <c r="AG513" s="1123">
        <f t="shared" si="169"/>
        <v>25</v>
      </c>
      <c r="AH513" s="1123">
        <f t="shared" si="169"/>
        <v>25</v>
      </c>
      <c r="AI513" s="1123">
        <f t="shared" si="169"/>
        <v>25</v>
      </c>
      <c r="AJ513" s="1123">
        <f t="shared" si="169"/>
        <v>25</v>
      </c>
      <c r="AK513" s="1123">
        <f t="shared" si="169"/>
        <v>25</v>
      </c>
      <c r="AL513" s="1123">
        <f t="shared" si="169"/>
        <v>25</v>
      </c>
      <c r="AM513" s="1051"/>
      <c r="BD513" s="1052"/>
      <c r="BE513" s="1129"/>
      <c r="BF513" s="1129"/>
      <c r="BG513" s="1129"/>
      <c r="BH513" s="1129"/>
      <c r="BI513" s="1129"/>
      <c r="BJ513" s="1129"/>
      <c r="BK513" s="1129"/>
      <c r="BL513" s="1129"/>
    </row>
    <row r="514">
      <c r="A514" s="901"/>
      <c r="B514" s="69" t="s">
        <v>74</v>
      </c>
      <c r="D514" s="1124">
        <f t="shared" ref="D514:O514" si="170">D509+D510+D511</f>
        <v>18</v>
      </c>
      <c r="E514" s="1125">
        <f t="shared" si="170"/>
        <v>18</v>
      </c>
      <c r="F514" s="1125">
        <f t="shared" si="170"/>
        <v>18</v>
      </c>
      <c r="G514" s="1125">
        <f t="shared" si="170"/>
        <v>25</v>
      </c>
      <c r="H514" s="1125">
        <f t="shared" si="170"/>
        <v>25</v>
      </c>
      <c r="I514" s="1125">
        <f t="shared" si="170"/>
        <v>25</v>
      </c>
      <c r="J514" s="1125">
        <f t="shared" si="170"/>
        <v>25</v>
      </c>
      <c r="K514" s="1125">
        <f t="shared" si="170"/>
        <v>25</v>
      </c>
      <c r="L514" s="1125">
        <f t="shared" si="170"/>
        <v>24</v>
      </c>
      <c r="M514" s="1125">
        <f t="shared" si="170"/>
        <v>24</v>
      </c>
      <c r="N514" s="1125">
        <f t="shared" si="170"/>
        <v>24</v>
      </c>
      <c r="O514" s="1125">
        <f t="shared" si="170"/>
        <v>24</v>
      </c>
      <c r="P514" s="1125"/>
      <c r="Q514" s="1125">
        <f t="shared" ref="Q514:AL514" si="171">Q509+Q510+Q511</f>
        <v>24</v>
      </c>
      <c r="R514" s="1125">
        <f t="shared" si="171"/>
        <v>24</v>
      </c>
      <c r="S514" s="1125">
        <f t="shared" si="171"/>
        <v>24</v>
      </c>
      <c r="T514" s="1125">
        <f t="shared" si="171"/>
        <v>24</v>
      </c>
      <c r="U514" s="1125">
        <f t="shared" si="171"/>
        <v>24</v>
      </c>
      <c r="V514" s="1125">
        <f t="shared" si="171"/>
        <v>24</v>
      </c>
      <c r="W514" s="1125">
        <f t="shared" si="171"/>
        <v>23</v>
      </c>
      <c r="X514" s="1125">
        <f t="shared" si="171"/>
        <v>23</v>
      </c>
      <c r="Y514" s="1125">
        <f t="shared" si="171"/>
        <v>23</v>
      </c>
      <c r="Z514" s="1125">
        <f t="shared" si="171"/>
        <v>23</v>
      </c>
      <c r="AA514" s="1125">
        <f t="shared" si="171"/>
        <v>23</v>
      </c>
      <c r="AB514" s="1125">
        <f t="shared" si="171"/>
        <v>23</v>
      </c>
      <c r="AC514" s="1125">
        <f t="shared" si="171"/>
        <v>23</v>
      </c>
      <c r="AD514" s="1125">
        <f t="shared" si="171"/>
        <v>23</v>
      </c>
      <c r="AE514" s="1125">
        <f t="shared" si="171"/>
        <v>23</v>
      </c>
      <c r="AF514" s="1125">
        <f t="shared" si="171"/>
        <v>23</v>
      </c>
      <c r="AG514" s="1125">
        <f t="shared" si="171"/>
        <v>23</v>
      </c>
      <c r="AH514" s="1125">
        <f t="shared" si="171"/>
        <v>23</v>
      </c>
      <c r="AI514" s="1125">
        <f t="shared" si="171"/>
        <v>24</v>
      </c>
      <c r="AJ514" s="1125">
        <f t="shared" si="171"/>
        <v>24</v>
      </c>
      <c r="AK514" s="1125">
        <f t="shared" si="171"/>
        <v>24</v>
      </c>
      <c r="AL514" s="1125">
        <f t="shared" si="171"/>
        <v>24</v>
      </c>
      <c r="AM514" s="1051"/>
      <c r="BD514" s="1052"/>
      <c r="BE514" s="1129"/>
      <c r="BF514" s="1129"/>
      <c r="BG514" s="1129"/>
      <c r="BH514" s="1129"/>
      <c r="BI514" s="1129"/>
      <c r="BJ514" s="1129"/>
      <c r="BK514" s="1129"/>
      <c r="BL514" s="1129"/>
    </row>
    <row r="515">
      <c r="A515" s="901"/>
      <c r="B515" s="1367" t="s">
        <v>75</v>
      </c>
      <c r="D515" s="1126">
        <f t="shared" ref="D515:O515" si="172">IFERROR(D514/D513,"")</f>
        <v>0.72</v>
      </c>
      <c r="E515" s="1127">
        <f t="shared" si="172"/>
        <v>0.72</v>
      </c>
      <c r="F515" s="1127">
        <f t="shared" si="172"/>
        <v>0.72</v>
      </c>
      <c r="G515" s="1127">
        <f t="shared" si="172"/>
        <v>1</v>
      </c>
      <c r="H515" s="1127">
        <f t="shared" si="172"/>
        <v>1</v>
      </c>
      <c r="I515" s="1127">
        <f t="shared" si="172"/>
        <v>1</v>
      </c>
      <c r="J515" s="1127">
        <f t="shared" si="172"/>
        <v>1</v>
      </c>
      <c r="K515" s="1127">
        <f t="shared" si="172"/>
        <v>1</v>
      </c>
      <c r="L515" s="1127">
        <f t="shared" si="172"/>
        <v>0.96</v>
      </c>
      <c r="M515" s="1127">
        <f t="shared" si="172"/>
        <v>0.96</v>
      </c>
      <c r="N515" s="1127">
        <f t="shared" si="172"/>
        <v>0.96</v>
      </c>
      <c r="O515" s="1127">
        <f t="shared" si="172"/>
        <v>0.96</v>
      </c>
      <c r="P515" s="1127"/>
      <c r="Q515" s="1127">
        <f t="shared" ref="Q515:AL515" si="173">IFERROR(Q514/Q513,"")</f>
        <v>0.96</v>
      </c>
      <c r="R515" s="1127">
        <f t="shared" si="173"/>
        <v>0.96</v>
      </c>
      <c r="S515" s="1127">
        <f t="shared" si="173"/>
        <v>0.96</v>
      </c>
      <c r="T515" s="1127">
        <f t="shared" si="173"/>
        <v>0.96</v>
      </c>
      <c r="U515" s="1127">
        <f t="shared" si="173"/>
        <v>0.96</v>
      </c>
      <c r="V515" s="1127">
        <f t="shared" si="173"/>
        <v>0.96</v>
      </c>
      <c r="W515" s="1127">
        <f t="shared" si="173"/>
        <v>0.92</v>
      </c>
      <c r="X515" s="1127">
        <f t="shared" si="173"/>
        <v>0.92</v>
      </c>
      <c r="Y515" s="1127">
        <f t="shared" si="173"/>
        <v>0.92</v>
      </c>
      <c r="Z515" s="1127">
        <f t="shared" si="173"/>
        <v>0.92</v>
      </c>
      <c r="AA515" s="1127">
        <f t="shared" si="173"/>
        <v>0.92</v>
      </c>
      <c r="AB515" s="1127">
        <f t="shared" si="173"/>
        <v>0.92</v>
      </c>
      <c r="AC515" s="1127">
        <f t="shared" si="173"/>
        <v>0.92</v>
      </c>
      <c r="AD515" s="1127">
        <f t="shared" si="173"/>
        <v>0.92</v>
      </c>
      <c r="AE515" s="1127">
        <f t="shared" si="173"/>
        <v>0.92</v>
      </c>
      <c r="AF515" s="1127">
        <f t="shared" si="173"/>
        <v>0.92</v>
      </c>
      <c r="AG515" s="1127">
        <f t="shared" si="173"/>
        <v>0.92</v>
      </c>
      <c r="AH515" s="1127">
        <f t="shared" si="173"/>
        <v>0.92</v>
      </c>
      <c r="AI515" s="1127">
        <f t="shared" si="173"/>
        <v>0.96</v>
      </c>
      <c r="AJ515" s="1127">
        <f t="shared" si="173"/>
        <v>0.96</v>
      </c>
      <c r="AK515" s="1127">
        <f t="shared" si="173"/>
        <v>0.96</v>
      </c>
      <c r="AL515" s="1127">
        <f t="shared" si="173"/>
        <v>0.96</v>
      </c>
      <c r="AM515" s="1051"/>
      <c r="BD515" s="1052"/>
      <c r="BE515" s="1129"/>
      <c r="BF515" s="1129"/>
      <c r="BG515" s="1129"/>
      <c r="BH515" s="1129"/>
      <c r="BI515" s="1129"/>
      <c r="BJ515" s="1129"/>
      <c r="BK515" s="1129"/>
      <c r="BL515" s="1129"/>
    </row>
    <row r="516">
      <c r="A516" s="912"/>
      <c r="D516" s="1368"/>
      <c r="E516" s="914"/>
      <c r="F516" s="914"/>
      <c r="G516" s="914"/>
      <c r="H516" s="914"/>
      <c r="I516" s="914"/>
      <c r="J516" s="914"/>
      <c r="K516" s="914"/>
      <c r="L516" s="915"/>
      <c r="M516" s="1294"/>
      <c r="N516" s="1045"/>
      <c r="O516" s="1045"/>
      <c r="P516" s="1045"/>
      <c r="Q516" s="1045"/>
      <c r="R516" s="1045"/>
      <c r="S516" s="1045"/>
      <c r="T516" s="1045"/>
      <c r="U516" s="1045"/>
      <c r="V516" s="1045"/>
      <c r="W516" s="1045"/>
      <c r="X516" s="1045"/>
      <c r="Y516" s="1045"/>
      <c r="Z516" s="1045"/>
      <c r="AA516" s="1045"/>
      <c r="AB516" s="1045"/>
      <c r="AC516" s="1045"/>
      <c r="AD516" s="1045"/>
      <c r="AE516" s="1045"/>
      <c r="AF516" s="1045"/>
      <c r="AG516" s="1045"/>
      <c r="AH516" s="1045"/>
      <c r="AI516" s="1045"/>
      <c r="AJ516" s="1045"/>
      <c r="AK516" s="1045"/>
      <c r="AL516" s="1046"/>
      <c r="AM516" s="1051"/>
      <c r="BD516" s="1052"/>
      <c r="BE516" s="1129"/>
      <c r="BF516" s="1129"/>
      <c r="BG516" s="1129"/>
      <c r="BH516" s="1129"/>
      <c r="BI516" s="1129"/>
      <c r="BJ516" s="1129"/>
      <c r="BK516" s="1129"/>
      <c r="BL516" s="1129"/>
    </row>
    <row r="517">
      <c r="A517" s="731"/>
      <c r="B517" s="732" t="s">
        <v>1170</v>
      </c>
      <c r="C517" s="732" t="s">
        <v>7</v>
      </c>
      <c r="D517" s="1296"/>
      <c r="E517" s="1197"/>
      <c r="F517" s="1197"/>
      <c r="G517" s="1197"/>
      <c r="H517" s="1197"/>
      <c r="I517" s="1197"/>
      <c r="J517" s="1197"/>
      <c r="K517" s="1197"/>
      <c r="L517" s="1197"/>
      <c r="AL517" s="1052"/>
      <c r="AM517" s="1051"/>
      <c r="BD517" s="1052"/>
      <c r="BE517" s="1129"/>
      <c r="BF517" s="1129"/>
      <c r="BG517" s="1129"/>
      <c r="BH517" s="1129"/>
      <c r="BI517" s="1129"/>
      <c r="BJ517" s="1129"/>
      <c r="BK517" s="1129"/>
      <c r="BL517" s="1129"/>
    </row>
    <row r="518">
      <c r="A518" s="1083" t="s">
        <v>1315</v>
      </c>
      <c r="B518" s="390"/>
      <c r="C518" s="390"/>
      <c r="D518" s="1297" t="s">
        <v>1296</v>
      </c>
      <c r="E518" s="1056"/>
      <c r="F518" s="1056"/>
      <c r="G518" s="1056"/>
      <c r="H518" s="1056"/>
      <c r="I518" s="1056"/>
      <c r="J518" s="1056"/>
      <c r="K518" s="1056"/>
      <c r="L518" s="1058"/>
      <c r="M518" s="1056"/>
      <c r="N518" s="1056"/>
      <c r="O518" s="1056"/>
      <c r="P518" s="1056"/>
      <c r="Q518" s="1056"/>
      <c r="R518" s="1056"/>
      <c r="S518" s="1056"/>
      <c r="T518" s="1056"/>
      <c r="U518" s="1056"/>
      <c r="V518" s="1056"/>
      <c r="W518" s="1056"/>
      <c r="X518" s="1056"/>
      <c r="Y518" s="1056"/>
      <c r="Z518" s="1056"/>
      <c r="AA518" s="1056"/>
      <c r="AB518" s="1056"/>
      <c r="AC518" s="1056"/>
      <c r="AD518" s="1056"/>
      <c r="AE518" s="1056"/>
      <c r="AF518" s="1056"/>
      <c r="AG518" s="1056"/>
      <c r="AH518" s="1056"/>
      <c r="AI518" s="1056"/>
      <c r="AJ518" s="1056"/>
      <c r="AK518" s="1056"/>
      <c r="AL518" s="1058"/>
      <c r="AM518" s="1051"/>
      <c r="BD518" s="1052"/>
      <c r="BE518" s="1129"/>
      <c r="BF518" s="1129"/>
      <c r="BG518" s="1129"/>
      <c r="BH518" s="1129"/>
      <c r="BI518" s="1129"/>
      <c r="BJ518" s="1129"/>
      <c r="BK518" s="1129"/>
      <c r="BL518" s="1129"/>
    </row>
    <row r="519">
      <c r="A519" s="1369"/>
      <c r="D519" s="1180"/>
      <c r="AM519" s="1051"/>
      <c r="BD519" s="1052"/>
      <c r="BE519" s="1129"/>
      <c r="BF519" s="1129"/>
      <c r="BG519" s="1129"/>
      <c r="BH519" s="1129"/>
      <c r="BI519" s="1129"/>
      <c r="BJ519" s="1129"/>
      <c r="BK519" s="1129"/>
      <c r="BL519" s="1129"/>
    </row>
    <row r="520">
      <c r="A520" s="731"/>
      <c r="B520" s="1370" t="s">
        <v>1170</v>
      </c>
      <c r="C520" s="1370" t="s">
        <v>7</v>
      </c>
      <c r="D520" s="1371"/>
      <c r="AB520" s="1298"/>
      <c r="AC520" s="1045"/>
      <c r="AD520" s="1045"/>
      <c r="AE520" s="1045"/>
      <c r="AF520" s="1045"/>
      <c r="AG520" s="1045"/>
      <c r="AH520" s="1045"/>
      <c r="AI520" s="1045"/>
      <c r="AJ520" s="1045"/>
      <c r="AK520" s="1045"/>
      <c r="AL520" s="1046"/>
      <c r="AM520" s="1051"/>
      <c r="BD520" s="1052"/>
      <c r="BE520" s="1129"/>
      <c r="BF520" s="1129"/>
      <c r="BG520" s="1129"/>
      <c r="BH520" s="1129"/>
      <c r="BI520" s="1129"/>
      <c r="BJ520" s="1129"/>
      <c r="BK520" s="1129"/>
      <c r="BL520" s="1129"/>
    </row>
    <row r="521">
      <c r="A521" s="1083" t="s">
        <v>159</v>
      </c>
      <c r="B521" s="390"/>
      <c r="C521" s="390"/>
      <c r="D521" s="1299" t="s">
        <v>160</v>
      </c>
      <c r="E521" s="1300" t="s">
        <v>164</v>
      </c>
      <c r="F521" s="1300" t="s">
        <v>167</v>
      </c>
      <c r="G521" s="1300" t="s">
        <v>614</v>
      </c>
      <c r="H521" s="1300" t="s">
        <v>616</v>
      </c>
      <c r="I521" s="1300" t="s">
        <v>171</v>
      </c>
      <c r="J521" s="1300" t="s">
        <v>618</v>
      </c>
      <c r="K521" s="1300" t="s">
        <v>172</v>
      </c>
      <c r="L521" s="1300" t="s">
        <v>173</v>
      </c>
      <c r="M521" s="1300" t="s">
        <v>175</v>
      </c>
      <c r="N521" s="1300" t="s">
        <v>620</v>
      </c>
      <c r="O521" s="1300" t="s">
        <v>624</v>
      </c>
      <c r="P521" s="1300"/>
      <c r="Q521" s="1300" t="s">
        <v>626</v>
      </c>
      <c r="R521" s="1300" t="s">
        <v>176</v>
      </c>
      <c r="S521" s="1300" t="s">
        <v>178</v>
      </c>
      <c r="T521" s="1300" t="s">
        <v>185</v>
      </c>
      <c r="U521" s="1300" t="s">
        <v>190</v>
      </c>
      <c r="V521" s="1245" t="s">
        <v>192</v>
      </c>
      <c r="W521" s="1245" t="s">
        <v>193</v>
      </c>
      <c r="X521" s="1245" t="s">
        <v>194</v>
      </c>
      <c r="Y521" s="1245" t="s">
        <v>629</v>
      </c>
      <c r="Z521" s="1245" t="s">
        <v>631</v>
      </c>
      <c r="AA521" s="1245" t="s">
        <v>634</v>
      </c>
      <c r="AB521" s="1051"/>
      <c r="AL521" s="1052"/>
      <c r="AM521" s="1051"/>
      <c r="BD521" s="1052"/>
      <c r="BE521" s="1129"/>
      <c r="BF521" s="1129"/>
      <c r="BG521" s="1129"/>
      <c r="BH521" s="1129"/>
      <c r="BI521" s="1129"/>
      <c r="BJ521" s="1129"/>
      <c r="BK521" s="1129"/>
      <c r="BL521" s="1129"/>
    </row>
    <row r="522">
      <c r="A522" s="1247" t="s">
        <v>1205</v>
      </c>
      <c r="B522" s="1372" t="s">
        <v>1308</v>
      </c>
      <c r="C522" s="1372" t="s">
        <v>21</v>
      </c>
      <c r="D522" s="1373" t="s">
        <v>70</v>
      </c>
      <c r="E522" s="1374" t="s">
        <v>69</v>
      </c>
      <c r="F522" s="1374" t="s">
        <v>69</v>
      </c>
      <c r="G522" s="1374" t="s">
        <v>69</v>
      </c>
      <c r="H522" s="1374" t="s">
        <v>69</v>
      </c>
      <c r="I522" s="1374" t="s">
        <v>69</v>
      </c>
      <c r="J522" s="1375" t="s">
        <v>70</v>
      </c>
      <c r="K522" s="1374" t="s">
        <v>69</v>
      </c>
      <c r="L522" s="1375" t="s">
        <v>70</v>
      </c>
      <c r="M522" s="1374" t="s">
        <v>69</v>
      </c>
      <c r="N522" s="1376" t="s">
        <v>69</v>
      </c>
      <c r="O522" s="1374" t="s">
        <v>69</v>
      </c>
      <c r="P522" s="1374"/>
      <c r="Q522" s="1374" t="s">
        <v>69</v>
      </c>
      <c r="R522" s="1374" t="s">
        <v>69</v>
      </c>
      <c r="S522" s="1375" t="s">
        <v>70</v>
      </c>
      <c r="T522" s="1374" t="s">
        <v>69</v>
      </c>
      <c r="U522" s="1377" t="s">
        <v>70</v>
      </c>
      <c r="V522" s="1378" t="s">
        <v>70</v>
      </c>
      <c r="W522" s="1379" t="s">
        <v>99</v>
      </c>
      <c r="X522" s="1378" t="s">
        <v>70</v>
      </c>
      <c r="Y522" s="1380" t="s">
        <v>69</v>
      </c>
      <c r="Z522" s="1380" t="s">
        <v>69</v>
      </c>
      <c r="AA522" s="1381" t="s">
        <v>69</v>
      </c>
      <c r="AB522" s="1051"/>
      <c r="AL522" s="1052"/>
      <c r="AM522" s="1051"/>
      <c r="BD522" s="1052"/>
      <c r="BE522" s="1129"/>
      <c r="BF522" s="1129"/>
      <c r="BG522" s="1129"/>
      <c r="BH522" s="1129"/>
      <c r="BI522" s="1129"/>
      <c r="BJ522" s="1129"/>
      <c r="BK522" s="1129"/>
      <c r="BL522" s="1129"/>
    </row>
    <row r="523">
      <c r="A523" s="901"/>
      <c r="B523" s="1382" t="s">
        <v>1316</v>
      </c>
      <c r="C523" s="1382" t="s">
        <v>21</v>
      </c>
      <c r="D523" s="1373" t="s">
        <v>70</v>
      </c>
      <c r="E523" s="1374" t="s">
        <v>69</v>
      </c>
      <c r="F523" s="1374" t="s">
        <v>69</v>
      </c>
      <c r="G523" s="1374" t="s">
        <v>69</v>
      </c>
      <c r="H523" s="1374" t="s">
        <v>69</v>
      </c>
      <c r="I523" s="1374" t="s">
        <v>69</v>
      </c>
      <c r="J523" s="1375" t="s">
        <v>70</v>
      </c>
      <c r="K523" s="1374" t="s">
        <v>69</v>
      </c>
      <c r="L523" s="1383" t="s">
        <v>99</v>
      </c>
      <c r="M523" s="1384" t="s">
        <v>69</v>
      </c>
      <c r="N523" s="1385" t="s">
        <v>69</v>
      </c>
      <c r="O523" s="1374" t="s">
        <v>69</v>
      </c>
      <c r="P523" s="1374"/>
      <c r="Q523" s="1374" t="s">
        <v>69</v>
      </c>
      <c r="R523" s="1374" t="s">
        <v>69</v>
      </c>
      <c r="S523" s="1375" t="s">
        <v>70</v>
      </c>
      <c r="T523" s="1374" t="s">
        <v>69</v>
      </c>
      <c r="U523" s="1386" t="s">
        <v>69</v>
      </c>
      <c r="V523" s="1378" t="s">
        <v>70</v>
      </c>
      <c r="W523" s="1378" t="s">
        <v>70</v>
      </c>
      <c r="X523" s="1380" t="s">
        <v>69</v>
      </c>
      <c r="Y523" s="1380" t="s">
        <v>69</v>
      </c>
      <c r="Z523" s="1380" t="s">
        <v>69</v>
      </c>
      <c r="AA523" s="1381" t="s">
        <v>69</v>
      </c>
      <c r="AB523" s="1051"/>
      <c r="AL523" s="1052"/>
      <c r="AM523" s="1051"/>
      <c r="BD523" s="1052"/>
      <c r="BE523" s="1129"/>
      <c r="BF523" s="1129"/>
      <c r="BG523" s="1129"/>
      <c r="BH523" s="1129"/>
      <c r="BI523" s="1129"/>
      <c r="BJ523" s="1129"/>
      <c r="BK523" s="1129"/>
      <c r="BL523" s="1129"/>
    </row>
    <row r="524">
      <c r="A524" s="901"/>
      <c r="B524" s="1382" t="s">
        <v>1317</v>
      </c>
      <c r="C524" s="1382" t="s">
        <v>21</v>
      </c>
      <c r="D524" s="1387" t="s">
        <v>70</v>
      </c>
      <c r="E524" s="1388" t="s">
        <v>100</v>
      </c>
      <c r="F524" s="1389" t="s">
        <v>69</v>
      </c>
      <c r="G524" s="1388" t="s">
        <v>100</v>
      </c>
      <c r="H524" s="1389" t="s">
        <v>69</v>
      </c>
      <c r="I524" s="1389" t="s">
        <v>69</v>
      </c>
      <c r="J524" s="1390" t="s">
        <v>70</v>
      </c>
      <c r="K524" s="1389" t="s">
        <v>69</v>
      </c>
      <c r="L524" s="1390" t="s">
        <v>70</v>
      </c>
      <c r="M524" s="1389" t="s">
        <v>69</v>
      </c>
      <c r="N524" s="1376" t="s">
        <v>69</v>
      </c>
      <c r="O524" s="1376" t="s">
        <v>69</v>
      </c>
      <c r="P524" s="1376"/>
      <c r="Q524" s="1376" t="s">
        <v>69</v>
      </c>
      <c r="R524" s="1376" t="s">
        <v>69</v>
      </c>
      <c r="S524" s="1375" t="s">
        <v>70</v>
      </c>
      <c r="T524" s="1374" t="s">
        <v>69</v>
      </c>
      <c r="U524" s="1386" t="s">
        <v>69</v>
      </c>
      <c r="V524" s="1378" t="s">
        <v>70</v>
      </c>
      <c r="W524" s="1380" t="s">
        <v>69</v>
      </c>
      <c r="X524" s="1378" t="s">
        <v>70</v>
      </c>
      <c r="Y524" s="1380" t="s">
        <v>69</v>
      </c>
      <c r="Z524" s="1380" t="s">
        <v>69</v>
      </c>
      <c r="AA524" s="1381" t="s">
        <v>69</v>
      </c>
      <c r="AB524" s="1051"/>
      <c r="AL524" s="1052"/>
      <c r="AM524" s="1051"/>
      <c r="BD524" s="1052"/>
      <c r="BE524" s="1129"/>
      <c r="BF524" s="1129"/>
      <c r="BG524" s="1129"/>
      <c r="BH524" s="1129"/>
      <c r="BI524" s="1129"/>
      <c r="BJ524" s="1129"/>
      <c r="BK524" s="1129"/>
      <c r="BL524" s="1129"/>
    </row>
    <row r="525">
      <c r="A525" s="901"/>
      <c r="B525" s="1382" t="s">
        <v>1318</v>
      </c>
      <c r="C525" s="1382" t="s">
        <v>21</v>
      </c>
      <c r="D525" s="1391" t="s">
        <v>1283</v>
      </c>
      <c r="E525" s="914"/>
      <c r="F525" s="914"/>
      <c r="G525" s="914"/>
      <c r="H525" s="914"/>
      <c r="I525" s="914"/>
      <c r="J525" s="914"/>
      <c r="K525" s="914"/>
      <c r="L525" s="914"/>
      <c r="M525" s="915"/>
      <c r="N525" s="1388" t="s">
        <v>100</v>
      </c>
      <c r="O525" s="1388" t="s">
        <v>100</v>
      </c>
      <c r="P525" s="1392"/>
      <c r="Q525" s="1393" t="s">
        <v>100</v>
      </c>
      <c r="R525" s="1385" t="s">
        <v>69</v>
      </c>
      <c r="S525" s="1375" t="s">
        <v>70</v>
      </c>
      <c r="T525" s="1374" t="s">
        <v>69</v>
      </c>
      <c r="U525" s="1386" t="s">
        <v>69</v>
      </c>
      <c r="V525" s="1380" t="s">
        <v>69</v>
      </c>
      <c r="W525" s="1380" t="s">
        <v>69</v>
      </c>
      <c r="X525" s="1379" t="s">
        <v>99</v>
      </c>
      <c r="Y525" s="1380" t="s">
        <v>69</v>
      </c>
      <c r="Z525" s="1380" t="s">
        <v>69</v>
      </c>
      <c r="AA525" s="1381" t="s">
        <v>69</v>
      </c>
      <c r="AB525" s="1051"/>
      <c r="AL525" s="1052"/>
      <c r="AM525" s="1051"/>
      <c r="BD525" s="1052"/>
      <c r="BE525" s="1129"/>
      <c r="BF525" s="1129"/>
      <c r="BG525" s="1129"/>
      <c r="BH525" s="1129"/>
      <c r="BI525" s="1129"/>
      <c r="BJ525" s="1129"/>
      <c r="BK525" s="1129"/>
      <c r="BL525" s="1129"/>
    </row>
    <row r="526">
      <c r="A526" s="901"/>
      <c r="B526" s="1382" t="s">
        <v>1239</v>
      </c>
      <c r="C526" s="1382" t="s">
        <v>21</v>
      </c>
      <c r="D526" s="1391" t="s">
        <v>1283</v>
      </c>
      <c r="E526" s="914"/>
      <c r="F526" s="914"/>
      <c r="G526" s="914"/>
      <c r="H526" s="914"/>
      <c r="I526" s="914"/>
      <c r="J526" s="914"/>
      <c r="K526" s="914"/>
      <c r="L526" s="914"/>
      <c r="M526" s="914"/>
      <c r="N526" s="914"/>
      <c r="O526" s="914"/>
      <c r="P526" s="914"/>
      <c r="Q526" s="915"/>
      <c r="R526" s="1385" t="s">
        <v>69</v>
      </c>
      <c r="S526" s="1375" t="s">
        <v>70</v>
      </c>
      <c r="T526" s="1374" t="s">
        <v>69</v>
      </c>
      <c r="U526" s="1386" t="s">
        <v>69</v>
      </c>
      <c r="V526" s="1380" t="s">
        <v>69</v>
      </c>
      <c r="W526" s="1380" t="s">
        <v>69</v>
      </c>
      <c r="X526" s="1379" t="s">
        <v>99</v>
      </c>
      <c r="Y526" s="1380" t="s">
        <v>69</v>
      </c>
      <c r="Z526" s="1380" t="s">
        <v>69</v>
      </c>
      <c r="AA526" s="1381" t="s">
        <v>69</v>
      </c>
      <c r="AB526" s="1051"/>
      <c r="AL526" s="1052"/>
      <c r="AM526" s="1051"/>
      <c r="BD526" s="1052"/>
      <c r="BE526" s="1129"/>
      <c r="BF526" s="1129"/>
      <c r="BG526" s="1129"/>
      <c r="BH526" s="1129"/>
      <c r="BI526" s="1129"/>
      <c r="BJ526" s="1129"/>
      <c r="BK526" s="1129"/>
      <c r="BL526" s="1129"/>
    </row>
    <row r="527">
      <c r="A527" s="901"/>
      <c r="B527" s="1382" t="s">
        <v>1319</v>
      </c>
      <c r="C527" s="1382" t="s">
        <v>21</v>
      </c>
      <c r="D527" s="1391" t="s">
        <v>1283</v>
      </c>
      <c r="E527" s="914"/>
      <c r="F527" s="914"/>
      <c r="G527" s="914"/>
      <c r="H527" s="914"/>
      <c r="I527" s="914"/>
      <c r="J527" s="914"/>
      <c r="K527" s="914"/>
      <c r="L527" s="914"/>
      <c r="M527" s="914"/>
      <c r="N527" s="914"/>
      <c r="O527" s="914"/>
      <c r="P527" s="914"/>
      <c r="Q527" s="915"/>
      <c r="R527" s="1393" t="s">
        <v>100</v>
      </c>
      <c r="S527" s="1388" t="s">
        <v>100</v>
      </c>
      <c r="T527" s="1390" t="s">
        <v>70</v>
      </c>
      <c r="U527" s="1394" t="s">
        <v>69</v>
      </c>
      <c r="V527" s="1395" t="s">
        <v>70</v>
      </c>
      <c r="W527" s="1396" t="s">
        <v>99</v>
      </c>
      <c r="X527" s="1394" t="s">
        <v>69</v>
      </c>
      <c r="Y527" s="1394" t="s">
        <v>69</v>
      </c>
      <c r="Z527" s="1394" t="s">
        <v>69</v>
      </c>
      <c r="AA527" s="1397" t="s">
        <v>69</v>
      </c>
      <c r="AB527" s="1051"/>
      <c r="AL527" s="1052"/>
      <c r="AM527" s="1051"/>
      <c r="BD527" s="1052"/>
      <c r="BE527" s="1129"/>
      <c r="BF527" s="1129"/>
      <c r="BG527" s="1129"/>
      <c r="BH527" s="1129"/>
      <c r="BI527" s="1129"/>
      <c r="BJ527" s="1129"/>
      <c r="BK527" s="1129"/>
      <c r="BL527" s="1129"/>
    </row>
    <row r="528">
      <c r="A528" s="901"/>
      <c r="B528" s="1398" t="s">
        <v>1309</v>
      </c>
      <c r="C528" s="1398" t="s">
        <v>21</v>
      </c>
      <c r="D528" s="1399" t="s">
        <v>70</v>
      </c>
      <c r="E528" s="1376" t="s">
        <v>69</v>
      </c>
      <c r="F528" s="1376" t="s">
        <v>69</v>
      </c>
      <c r="G528" s="1400" t="s">
        <v>100</v>
      </c>
      <c r="H528" s="1376" t="s">
        <v>69</v>
      </c>
      <c r="I528" s="1376" t="s">
        <v>69</v>
      </c>
      <c r="J528" s="1401" t="s">
        <v>70</v>
      </c>
      <c r="K528" s="1376" t="s">
        <v>69</v>
      </c>
      <c r="L528" s="1401" t="s">
        <v>70</v>
      </c>
      <c r="M528" s="1402" t="s">
        <v>69</v>
      </c>
      <c r="N528" s="1403"/>
      <c r="O528" s="914"/>
      <c r="P528" s="914"/>
      <c r="Q528" s="915"/>
      <c r="R528" s="1404"/>
      <c r="S528" s="1045"/>
      <c r="T528" s="1045"/>
      <c r="U528" s="1045"/>
      <c r="V528" s="1045"/>
      <c r="W528" s="1045"/>
      <c r="X528" s="1045"/>
      <c r="Y528" s="1045"/>
      <c r="Z528" s="1045"/>
      <c r="AA528" s="1046"/>
      <c r="AB528" s="1051"/>
      <c r="AL528" s="1052"/>
      <c r="AM528" s="1051"/>
      <c r="BD528" s="1052"/>
      <c r="BE528" s="1129"/>
      <c r="BF528" s="1129"/>
      <c r="BG528" s="1129"/>
      <c r="BH528" s="1129"/>
      <c r="BI528" s="1129"/>
      <c r="BJ528" s="1129"/>
      <c r="BK528" s="1129"/>
      <c r="BL528" s="1129"/>
    </row>
    <row r="529">
      <c r="A529" s="901"/>
      <c r="B529" s="1398" t="s">
        <v>1320</v>
      </c>
      <c r="C529" s="1398" t="s">
        <v>21</v>
      </c>
      <c r="D529" s="1373" t="s">
        <v>70</v>
      </c>
      <c r="E529" s="1374" t="s">
        <v>69</v>
      </c>
      <c r="F529" s="1374" t="s">
        <v>69</v>
      </c>
      <c r="G529" s="1405" t="s">
        <v>100</v>
      </c>
      <c r="H529" s="1374" t="s">
        <v>69</v>
      </c>
      <c r="I529" s="1374" t="s">
        <v>69</v>
      </c>
      <c r="J529" s="1405" t="s">
        <v>100</v>
      </c>
      <c r="K529" s="1405" t="s">
        <v>100</v>
      </c>
      <c r="L529" s="1405" t="s">
        <v>100</v>
      </c>
      <c r="M529" s="1405" t="s">
        <v>100</v>
      </c>
      <c r="N529" s="1374" t="s">
        <v>69</v>
      </c>
      <c r="O529" s="1374" t="s">
        <v>69</v>
      </c>
      <c r="P529" s="1406"/>
      <c r="Q529" s="1406" t="s">
        <v>69</v>
      </c>
      <c r="R529" s="1051"/>
      <c r="AA529" s="1052"/>
      <c r="AB529" s="1051"/>
      <c r="AL529" s="1052"/>
      <c r="AM529" s="1051"/>
      <c r="BD529" s="1052"/>
      <c r="BE529" s="1129"/>
      <c r="BF529" s="1129"/>
      <c r="BG529" s="1129"/>
      <c r="BH529" s="1129"/>
      <c r="BI529" s="1129"/>
      <c r="BJ529" s="1129"/>
      <c r="BK529" s="1129"/>
      <c r="BL529" s="1129"/>
    </row>
    <row r="530">
      <c r="A530" s="901"/>
      <c r="B530" s="1398" t="s">
        <v>1311</v>
      </c>
      <c r="C530" s="1398" t="s">
        <v>21</v>
      </c>
      <c r="D530" s="1373" t="s">
        <v>70</v>
      </c>
      <c r="E530" s="1405" t="s">
        <v>100</v>
      </c>
      <c r="F530" s="1374" t="s">
        <v>69</v>
      </c>
      <c r="G530" s="1405" t="s">
        <v>100</v>
      </c>
      <c r="H530" s="1374" t="s">
        <v>69</v>
      </c>
      <c r="I530" s="1374" t="s">
        <v>69</v>
      </c>
      <c r="J530" s="1375" t="s">
        <v>70</v>
      </c>
      <c r="K530" s="1374" t="s">
        <v>69</v>
      </c>
      <c r="L530" s="1374" t="s">
        <v>69</v>
      </c>
      <c r="M530" s="1374" t="s">
        <v>69</v>
      </c>
      <c r="N530" s="1374" t="s">
        <v>69</v>
      </c>
      <c r="O530" s="1374" t="s">
        <v>69</v>
      </c>
      <c r="P530" s="1406"/>
      <c r="Q530" s="1406" t="s">
        <v>69</v>
      </c>
      <c r="R530" s="1057"/>
      <c r="S530" s="1056"/>
      <c r="T530" s="1056"/>
      <c r="U530" s="1056"/>
      <c r="V530" s="1056"/>
      <c r="W530" s="1056"/>
      <c r="X530" s="1056"/>
      <c r="Y530" s="1056"/>
      <c r="Z530" s="1056"/>
      <c r="AA530" s="1058"/>
      <c r="AB530" s="1051"/>
      <c r="AL530" s="1052"/>
      <c r="AM530" s="1051"/>
      <c r="BD530" s="1052"/>
      <c r="BE530" s="1129"/>
      <c r="BF530" s="1129"/>
      <c r="BG530" s="1129"/>
      <c r="BH530" s="1129"/>
      <c r="BI530" s="1129"/>
      <c r="BJ530" s="1129"/>
      <c r="BK530" s="1129"/>
      <c r="BL530" s="1129"/>
    </row>
    <row r="531">
      <c r="A531" s="901"/>
      <c r="B531" s="1407" t="s">
        <v>1289</v>
      </c>
      <c r="C531" s="1407" t="s">
        <v>200</v>
      </c>
      <c r="D531" s="1373" t="s">
        <v>70</v>
      </c>
      <c r="E531" s="1374" t="s">
        <v>69</v>
      </c>
      <c r="F531" s="1374" t="s">
        <v>69</v>
      </c>
      <c r="G531" s="1374" t="s">
        <v>69</v>
      </c>
      <c r="H531" s="1374" t="s">
        <v>69</v>
      </c>
      <c r="I531" s="1374" t="s">
        <v>69</v>
      </c>
      <c r="J531" s="1375" t="s">
        <v>70</v>
      </c>
      <c r="K531" s="1374" t="s">
        <v>69</v>
      </c>
      <c r="L531" s="1375" t="s">
        <v>70</v>
      </c>
      <c r="M531" s="1374" t="s">
        <v>69</v>
      </c>
      <c r="N531" s="1374" t="s">
        <v>69</v>
      </c>
      <c r="O531" s="1374" t="s">
        <v>69</v>
      </c>
      <c r="P531" s="1374"/>
      <c r="Q531" s="1374" t="s">
        <v>69</v>
      </c>
      <c r="R531" s="1374" t="s">
        <v>69</v>
      </c>
      <c r="S531" s="1383" t="s">
        <v>99</v>
      </c>
      <c r="T531" s="1383" t="s">
        <v>99</v>
      </c>
      <c r="U531" s="1386" t="s">
        <v>69</v>
      </c>
      <c r="V531" s="1378" t="s">
        <v>70</v>
      </c>
      <c r="W531" s="1380" t="s">
        <v>69</v>
      </c>
      <c r="X531" s="1379" t="s">
        <v>99</v>
      </c>
      <c r="Y531" s="1380" t="s">
        <v>69</v>
      </c>
      <c r="Z531" s="1380" t="s">
        <v>69</v>
      </c>
      <c r="AA531" s="1381" t="s">
        <v>69</v>
      </c>
      <c r="AB531" s="1051"/>
      <c r="AL531" s="1052"/>
      <c r="AM531" s="1051"/>
      <c r="BD531" s="1052"/>
      <c r="BE531" s="1129"/>
      <c r="BF531" s="1129"/>
      <c r="BG531" s="1129"/>
      <c r="BH531" s="1129"/>
      <c r="BI531" s="1129"/>
      <c r="BJ531" s="1129"/>
      <c r="BK531" s="1129"/>
      <c r="BL531" s="1129"/>
    </row>
    <row r="532">
      <c r="A532" s="901"/>
      <c r="B532" s="1408" t="s">
        <v>1301</v>
      </c>
      <c r="C532" s="1408" t="s">
        <v>200</v>
      </c>
      <c r="D532" s="1409" t="s">
        <v>1283</v>
      </c>
      <c r="E532" s="1197"/>
      <c r="F532" s="1197"/>
      <c r="G532" s="1197"/>
      <c r="H532" s="1197"/>
      <c r="I532" s="1197"/>
      <c r="J532" s="1197"/>
      <c r="K532" s="1197"/>
      <c r="L532" s="1197"/>
      <c r="M532" s="1198"/>
      <c r="N532" s="1374" t="s">
        <v>69</v>
      </c>
      <c r="O532" s="1374" t="s">
        <v>69</v>
      </c>
      <c r="P532" s="1374"/>
      <c r="Q532" s="1374" t="s">
        <v>69</v>
      </c>
      <c r="R532" s="1374" t="s">
        <v>69</v>
      </c>
      <c r="S532" s="1375" t="s">
        <v>70</v>
      </c>
      <c r="T532" s="1374" t="s">
        <v>69</v>
      </c>
      <c r="U532" s="1386" t="s">
        <v>69</v>
      </c>
      <c r="V532" s="1378" t="s">
        <v>70</v>
      </c>
      <c r="W532" s="1380" t="s">
        <v>69</v>
      </c>
      <c r="X532" s="1380" t="s">
        <v>69</v>
      </c>
      <c r="Y532" s="1380" t="s">
        <v>69</v>
      </c>
      <c r="Z532" s="1380" t="s">
        <v>69</v>
      </c>
      <c r="AA532" s="1381" t="s">
        <v>69</v>
      </c>
      <c r="AB532" s="1051"/>
      <c r="AL532" s="1052"/>
      <c r="AM532" s="1051"/>
      <c r="BD532" s="1052"/>
      <c r="BE532" s="1129"/>
      <c r="BF532" s="1129"/>
      <c r="BG532" s="1129"/>
      <c r="BH532" s="1129"/>
      <c r="BI532" s="1129"/>
      <c r="BJ532" s="1129"/>
      <c r="BK532" s="1129"/>
      <c r="BL532" s="1129"/>
    </row>
    <row r="533">
      <c r="A533" s="901"/>
      <c r="B533" s="1408" t="s">
        <v>1321</v>
      </c>
      <c r="C533" s="1408" t="s">
        <v>200</v>
      </c>
      <c r="D533" s="1373" t="s">
        <v>70</v>
      </c>
      <c r="E533" s="1405" t="s">
        <v>100</v>
      </c>
      <c r="F533" s="1405" t="s">
        <v>100</v>
      </c>
      <c r="G533" s="1405" t="s">
        <v>100</v>
      </c>
      <c r="H533" s="1374" t="s">
        <v>69</v>
      </c>
      <c r="I533" s="1374" t="s">
        <v>69</v>
      </c>
      <c r="J533" s="1375" t="s">
        <v>70</v>
      </c>
      <c r="K533" s="1374" t="s">
        <v>69</v>
      </c>
      <c r="L533" s="1375" t="s">
        <v>70</v>
      </c>
      <c r="M533" s="1375" t="s">
        <v>70</v>
      </c>
      <c r="N533" s="1405" t="s">
        <v>100</v>
      </c>
      <c r="O533" s="1405" t="s">
        <v>100</v>
      </c>
      <c r="P533" s="1405"/>
      <c r="Q533" s="1405" t="s">
        <v>100</v>
      </c>
      <c r="R533" s="1374" t="s">
        <v>69</v>
      </c>
      <c r="S533" s="1383" t="s">
        <v>99</v>
      </c>
      <c r="T533" s="1383" t="s">
        <v>99</v>
      </c>
      <c r="U533" s="1386" t="s">
        <v>69</v>
      </c>
      <c r="V533" s="1378" t="s">
        <v>70</v>
      </c>
      <c r="W533" s="1380" t="s">
        <v>69</v>
      </c>
      <c r="X533" s="1378" t="s">
        <v>70</v>
      </c>
      <c r="Y533" s="1380" t="s">
        <v>69</v>
      </c>
      <c r="Z533" s="1378" t="s">
        <v>70</v>
      </c>
      <c r="AA533" s="1381" t="s">
        <v>69</v>
      </c>
      <c r="AB533" s="1051"/>
      <c r="AL533" s="1052"/>
      <c r="AM533" s="1051"/>
      <c r="BD533" s="1052"/>
      <c r="BE533" s="1129"/>
      <c r="BF533" s="1129"/>
      <c r="BG533" s="1129"/>
      <c r="BH533" s="1129"/>
      <c r="BI533" s="1129"/>
      <c r="BJ533" s="1129"/>
      <c r="BK533" s="1129"/>
      <c r="BL533" s="1129"/>
    </row>
    <row r="534">
      <c r="A534" s="901"/>
      <c r="B534" s="1408" t="s">
        <v>1322</v>
      </c>
      <c r="C534" s="1408" t="s">
        <v>200</v>
      </c>
      <c r="D534" s="1373" t="s">
        <v>70</v>
      </c>
      <c r="E534" s="1374" t="s">
        <v>69</v>
      </c>
      <c r="F534" s="1374" t="s">
        <v>69</v>
      </c>
      <c r="G534" s="1374" t="s">
        <v>69</v>
      </c>
      <c r="H534" s="1374" t="s">
        <v>69</v>
      </c>
      <c r="I534" s="1374" t="s">
        <v>69</v>
      </c>
      <c r="J534" s="1405" t="s">
        <v>100</v>
      </c>
      <c r="K534" s="1405" t="s">
        <v>100</v>
      </c>
      <c r="L534" s="1405" t="s">
        <v>100</v>
      </c>
      <c r="M534" s="1405" t="s">
        <v>100</v>
      </c>
      <c r="N534" s="1388" t="s">
        <v>100</v>
      </c>
      <c r="O534" s="1388" t="s">
        <v>100</v>
      </c>
      <c r="P534" s="1388"/>
      <c r="Q534" s="1388" t="s">
        <v>100</v>
      </c>
      <c r="R534" s="1389" t="s">
        <v>69</v>
      </c>
      <c r="S534" s="1410" t="s">
        <v>99</v>
      </c>
      <c r="T534" s="1411" t="s">
        <v>100</v>
      </c>
      <c r="U534" s="1412" t="s">
        <v>100</v>
      </c>
      <c r="V534" s="1412" t="s">
        <v>100</v>
      </c>
      <c r="W534" s="1412" t="s">
        <v>100</v>
      </c>
      <c r="X534" s="1412" t="s">
        <v>100</v>
      </c>
      <c r="Y534" s="1412" t="s">
        <v>100</v>
      </c>
      <c r="Z534" s="1412" t="s">
        <v>100</v>
      </c>
      <c r="AA534" s="1413" t="s">
        <v>100</v>
      </c>
      <c r="AB534" s="1051"/>
      <c r="AL534" s="1052"/>
      <c r="AM534" s="1051"/>
      <c r="BD534" s="1052"/>
      <c r="BE534" s="1129"/>
      <c r="BF534" s="1129"/>
      <c r="BG534" s="1129"/>
      <c r="BH534" s="1129"/>
      <c r="BI534" s="1129"/>
      <c r="BJ534" s="1129"/>
      <c r="BK534" s="1129"/>
      <c r="BL534" s="1129"/>
    </row>
    <row r="535">
      <c r="A535" s="901"/>
      <c r="B535" s="1414" t="s">
        <v>1323</v>
      </c>
      <c r="C535" s="1414" t="s">
        <v>200</v>
      </c>
      <c r="D535" s="1373" t="s">
        <v>70</v>
      </c>
      <c r="E535" s="1374" t="s">
        <v>69</v>
      </c>
      <c r="F535" s="1374" t="s">
        <v>69</v>
      </c>
      <c r="G535" s="1405" t="s">
        <v>100</v>
      </c>
      <c r="H535" s="1374" t="s">
        <v>69</v>
      </c>
      <c r="I535" s="1374" t="s">
        <v>69</v>
      </c>
      <c r="J535" s="1405" t="s">
        <v>100</v>
      </c>
      <c r="K535" s="1405" t="s">
        <v>100</v>
      </c>
      <c r="L535" s="1405" t="s">
        <v>100</v>
      </c>
      <c r="M535" s="1415" t="s">
        <v>100</v>
      </c>
      <c r="N535" s="1403"/>
      <c r="O535" s="914"/>
      <c r="P535" s="914"/>
      <c r="Q535" s="914"/>
      <c r="R535" s="914"/>
      <c r="S535" s="914"/>
      <c r="T535" s="914"/>
      <c r="U535" s="914"/>
      <c r="V535" s="914"/>
      <c r="W535" s="914"/>
      <c r="X535" s="914"/>
      <c r="Y535" s="914"/>
      <c r="Z535" s="914"/>
      <c r="AA535" s="915"/>
      <c r="AB535" s="1051"/>
      <c r="AL535" s="1052"/>
      <c r="AM535" s="1051"/>
      <c r="BD535" s="1052"/>
      <c r="BE535" s="1129"/>
      <c r="BF535" s="1129"/>
      <c r="BG535" s="1129"/>
      <c r="BH535" s="1129"/>
      <c r="BI535" s="1129"/>
      <c r="BJ535" s="1129"/>
      <c r="BK535" s="1129"/>
      <c r="BL535" s="1129"/>
    </row>
    <row r="536">
      <c r="A536" s="901"/>
      <c r="B536" s="1416" t="s">
        <v>1261</v>
      </c>
      <c r="C536" s="1416" t="s">
        <v>168</v>
      </c>
      <c r="D536" s="1373" t="s">
        <v>70</v>
      </c>
      <c r="E536" s="1374" t="s">
        <v>69</v>
      </c>
      <c r="F536" s="1374" t="s">
        <v>69</v>
      </c>
      <c r="G536" s="1374" t="s">
        <v>69</v>
      </c>
      <c r="H536" s="1374" t="s">
        <v>69</v>
      </c>
      <c r="I536" s="1374" t="s">
        <v>69</v>
      </c>
      <c r="J536" s="1375" t="s">
        <v>70</v>
      </c>
      <c r="K536" s="1374" t="s">
        <v>69</v>
      </c>
      <c r="L536" s="1375" t="s">
        <v>70</v>
      </c>
      <c r="M536" s="1375" t="s">
        <v>70</v>
      </c>
      <c r="N536" s="1374" t="s">
        <v>69</v>
      </c>
      <c r="O536" s="1374" t="s">
        <v>69</v>
      </c>
      <c r="P536" s="1374"/>
      <c r="Q536" s="1374" t="s">
        <v>69</v>
      </c>
      <c r="R536" s="1374" t="s">
        <v>69</v>
      </c>
      <c r="S536" s="1375" t="s">
        <v>70</v>
      </c>
      <c r="T536" s="1374" t="s">
        <v>69</v>
      </c>
      <c r="U536" s="1377" t="s">
        <v>70</v>
      </c>
      <c r="V536" s="1378" t="s">
        <v>70</v>
      </c>
      <c r="W536" s="1380" t="s">
        <v>69</v>
      </c>
      <c r="X536" s="1378" t="s">
        <v>70</v>
      </c>
      <c r="Y536" s="1380" t="s">
        <v>69</v>
      </c>
      <c r="Z536" s="1380" t="s">
        <v>69</v>
      </c>
      <c r="AA536" s="1381" t="s">
        <v>69</v>
      </c>
      <c r="AB536" s="1051"/>
      <c r="AL536" s="1052"/>
      <c r="AM536" s="1051"/>
      <c r="BD536" s="1052"/>
      <c r="BE536" s="1129"/>
      <c r="BF536" s="1129"/>
      <c r="BG536" s="1129"/>
      <c r="BH536" s="1129"/>
      <c r="BI536" s="1129"/>
      <c r="BJ536" s="1129"/>
      <c r="BK536" s="1129"/>
      <c r="BL536" s="1129"/>
    </row>
    <row r="537">
      <c r="A537" s="901"/>
      <c r="B537" s="1417" t="s">
        <v>1324</v>
      </c>
      <c r="C537" s="1417" t="s">
        <v>168</v>
      </c>
      <c r="D537" s="1387" t="s">
        <v>70</v>
      </c>
      <c r="E537" s="1389" t="s">
        <v>69</v>
      </c>
      <c r="F537" s="1389" t="s">
        <v>69</v>
      </c>
      <c r="G537" s="1389" t="s">
        <v>69</v>
      </c>
      <c r="H537" s="1389" t="s">
        <v>69</v>
      </c>
      <c r="I537" s="1389" t="s">
        <v>69</v>
      </c>
      <c r="J537" s="1390" t="s">
        <v>70</v>
      </c>
      <c r="K537" s="1389" t="s">
        <v>69</v>
      </c>
      <c r="L537" s="1390" t="s">
        <v>70</v>
      </c>
      <c r="M537" s="1390" t="s">
        <v>70</v>
      </c>
      <c r="N537" s="1389" t="s">
        <v>69</v>
      </c>
      <c r="O537" s="1389" t="s">
        <v>69</v>
      </c>
      <c r="P537" s="1389"/>
      <c r="Q537" s="1389" t="s">
        <v>69</v>
      </c>
      <c r="R537" s="1389" t="s">
        <v>69</v>
      </c>
      <c r="S537" s="1390" t="s">
        <v>70</v>
      </c>
      <c r="T537" s="1374" t="s">
        <v>69</v>
      </c>
      <c r="U537" s="1386" t="s">
        <v>69</v>
      </c>
      <c r="V537" s="1378" t="s">
        <v>70</v>
      </c>
      <c r="W537" s="1380" t="s">
        <v>69</v>
      </c>
      <c r="X537" s="1378" t="s">
        <v>70</v>
      </c>
      <c r="Y537" s="1380" t="s">
        <v>69</v>
      </c>
      <c r="Z537" s="1380" t="s">
        <v>69</v>
      </c>
      <c r="AA537" s="1381" t="s">
        <v>69</v>
      </c>
      <c r="AB537" s="1051"/>
      <c r="AL537" s="1052"/>
      <c r="AM537" s="1051"/>
      <c r="BD537" s="1052"/>
      <c r="BE537" s="1129"/>
      <c r="BF537" s="1129"/>
      <c r="BG537" s="1129"/>
      <c r="BH537" s="1129"/>
      <c r="BI537" s="1129"/>
      <c r="BJ537" s="1129"/>
      <c r="BK537" s="1129"/>
      <c r="BL537" s="1129"/>
    </row>
    <row r="538">
      <c r="A538" s="901"/>
      <c r="B538" s="1417" t="s">
        <v>1325</v>
      </c>
      <c r="C538" s="1417" t="s">
        <v>168</v>
      </c>
      <c r="D538" s="1391" t="s">
        <v>1283</v>
      </c>
      <c r="E538" s="914"/>
      <c r="F538" s="914"/>
      <c r="G538" s="914"/>
      <c r="H538" s="914"/>
      <c r="I538" s="914"/>
      <c r="J538" s="914"/>
      <c r="K538" s="914"/>
      <c r="L538" s="914"/>
      <c r="M538" s="914"/>
      <c r="N538" s="914"/>
      <c r="O538" s="914"/>
      <c r="P538" s="914"/>
      <c r="Q538" s="914"/>
      <c r="R538" s="914"/>
      <c r="S538" s="915"/>
      <c r="T538" s="1389" t="s">
        <v>69</v>
      </c>
      <c r="U538" s="1395" t="s">
        <v>70</v>
      </c>
      <c r="V538" s="1395" t="s">
        <v>70</v>
      </c>
      <c r="W538" s="1394" t="s">
        <v>69</v>
      </c>
      <c r="X538" s="1395" t="s">
        <v>70</v>
      </c>
      <c r="Y538" s="1394" t="s">
        <v>69</v>
      </c>
      <c r="Z538" s="1394" t="s">
        <v>69</v>
      </c>
      <c r="AA538" s="1397" t="s">
        <v>69</v>
      </c>
      <c r="AB538" s="1051"/>
      <c r="AL538" s="1052"/>
      <c r="AM538" s="1051"/>
      <c r="BD538" s="1052"/>
      <c r="BE538" s="1129"/>
      <c r="BF538" s="1129"/>
      <c r="BG538" s="1129"/>
      <c r="BH538" s="1129"/>
      <c r="BI538" s="1129"/>
      <c r="BJ538" s="1129"/>
      <c r="BK538" s="1129"/>
      <c r="BL538" s="1129"/>
    </row>
    <row r="539">
      <c r="A539" s="1013"/>
      <c r="B539" s="1418" t="s">
        <v>1326</v>
      </c>
      <c r="C539" s="1418" t="s">
        <v>168</v>
      </c>
      <c r="D539" s="1373" t="s">
        <v>70</v>
      </c>
      <c r="E539" s="1374" t="s">
        <v>69</v>
      </c>
      <c r="F539" s="1374" t="s">
        <v>69</v>
      </c>
      <c r="G539" s="1405" t="s">
        <v>100</v>
      </c>
      <c r="H539" s="1405" t="s">
        <v>100</v>
      </c>
      <c r="I539" s="1374" t="s">
        <v>69</v>
      </c>
      <c r="J539" s="1375" t="s">
        <v>70</v>
      </c>
      <c r="K539" s="1374" t="s">
        <v>69</v>
      </c>
      <c r="L539" s="1375" t="s">
        <v>70</v>
      </c>
      <c r="M539" s="1375" t="s">
        <v>70</v>
      </c>
      <c r="N539" s="1374" t="s">
        <v>69</v>
      </c>
      <c r="O539" s="1374" t="s">
        <v>69</v>
      </c>
      <c r="P539" s="1374"/>
      <c r="Q539" s="1374" t="s">
        <v>69</v>
      </c>
      <c r="R539" s="1374" t="s">
        <v>69</v>
      </c>
      <c r="S539" s="1419" t="s">
        <v>99</v>
      </c>
      <c r="T539" s="1403"/>
      <c r="U539" s="914"/>
      <c r="V539" s="914"/>
      <c r="W539" s="914"/>
      <c r="X539" s="914"/>
      <c r="Y539" s="914"/>
      <c r="Z539" s="914"/>
      <c r="AA539" s="915"/>
      <c r="AB539" s="1051"/>
      <c r="AL539" s="1052"/>
      <c r="AM539" s="1051"/>
      <c r="BD539" s="1052"/>
      <c r="BE539" s="1129"/>
      <c r="BF539" s="1129"/>
      <c r="BG539" s="1129"/>
      <c r="BH539" s="1129"/>
      <c r="BI539" s="1129"/>
      <c r="BJ539" s="1129"/>
      <c r="BK539" s="1129"/>
      <c r="BL539" s="1129"/>
    </row>
    <row r="540">
      <c r="A540" s="1247" t="s">
        <v>1210</v>
      </c>
      <c r="B540" s="1420" t="s">
        <v>1327</v>
      </c>
      <c r="C540" s="1421" t="s">
        <v>12</v>
      </c>
      <c r="D540" s="1373" t="s">
        <v>70</v>
      </c>
      <c r="E540" s="1374" t="s">
        <v>69</v>
      </c>
      <c r="F540" s="1374" t="s">
        <v>69</v>
      </c>
      <c r="G540" s="1374" t="s">
        <v>69</v>
      </c>
      <c r="H540" s="1405" t="s">
        <v>100</v>
      </c>
      <c r="I540" s="1375" t="s">
        <v>70</v>
      </c>
      <c r="J540" s="1374" t="s">
        <v>69</v>
      </c>
      <c r="K540" s="1375" t="s">
        <v>70</v>
      </c>
      <c r="L540" s="1374" t="s">
        <v>69</v>
      </c>
      <c r="M540" s="1374" t="s">
        <v>69</v>
      </c>
      <c r="N540" s="1375" t="s">
        <v>70</v>
      </c>
      <c r="O540" s="1374" t="s">
        <v>69</v>
      </c>
      <c r="P540" s="1374"/>
      <c r="Q540" s="1374" t="s">
        <v>69</v>
      </c>
      <c r="R540" s="1405" t="s">
        <v>100</v>
      </c>
      <c r="S540" s="1405" t="s">
        <v>100</v>
      </c>
      <c r="T540" s="1375" t="s">
        <v>70</v>
      </c>
      <c r="U540" s="1386" t="s">
        <v>69</v>
      </c>
      <c r="V540" s="1380" t="s">
        <v>69</v>
      </c>
      <c r="W540" s="1378" t="s">
        <v>70</v>
      </c>
      <c r="X540" s="1380" t="s">
        <v>69</v>
      </c>
      <c r="Y540" s="1378" t="s">
        <v>70</v>
      </c>
      <c r="Z540" s="1378" t="s">
        <v>70</v>
      </c>
      <c r="AA540" s="1422" t="s">
        <v>70</v>
      </c>
      <c r="AB540" s="1051"/>
      <c r="AL540" s="1052"/>
      <c r="AM540" s="1051"/>
      <c r="BD540" s="1052"/>
      <c r="BE540" s="1129"/>
      <c r="BF540" s="1129"/>
      <c r="BG540" s="1129"/>
      <c r="BH540" s="1129"/>
      <c r="BI540" s="1129"/>
      <c r="BJ540" s="1129"/>
      <c r="BK540" s="1129"/>
      <c r="BL540" s="1129"/>
    </row>
    <row r="541">
      <c r="A541" s="901"/>
      <c r="B541" s="1423" t="s">
        <v>37</v>
      </c>
      <c r="C541" s="1424" t="s">
        <v>12</v>
      </c>
      <c r="D541" s="1373" t="s">
        <v>70</v>
      </c>
      <c r="E541" s="1405" t="s">
        <v>100</v>
      </c>
      <c r="F541" s="1374" t="s">
        <v>69</v>
      </c>
      <c r="G541" s="1374" t="s">
        <v>69</v>
      </c>
      <c r="H541" s="1405" t="s">
        <v>100</v>
      </c>
      <c r="I541" s="1405" t="s">
        <v>100</v>
      </c>
      <c r="J541" s="1374" t="s">
        <v>69</v>
      </c>
      <c r="K541" s="1375" t="s">
        <v>70</v>
      </c>
      <c r="L541" s="1374" t="s">
        <v>69</v>
      </c>
      <c r="M541" s="1374" t="s">
        <v>69</v>
      </c>
      <c r="N541" s="1375" t="s">
        <v>70</v>
      </c>
      <c r="O541" s="1374" t="s">
        <v>69</v>
      </c>
      <c r="P541" s="1374"/>
      <c r="Q541" s="1374" t="s">
        <v>69</v>
      </c>
      <c r="R541" s="1375" t="s">
        <v>70</v>
      </c>
      <c r="S541" s="1375" t="s">
        <v>70</v>
      </c>
      <c r="T541" s="1375" t="s">
        <v>70</v>
      </c>
      <c r="U541" s="1386" t="s">
        <v>69</v>
      </c>
      <c r="V541" s="1380" t="s">
        <v>69</v>
      </c>
      <c r="W541" s="1378" t="s">
        <v>70</v>
      </c>
      <c r="X541" s="1380" t="s">
        <v>69</v>
      </c>
      <c r="Y541" s="1378" t="s">
        <v>70</v>
      </c>
      <c r="Z541" s="1378" t="s">
        <v>70</v>
      </c>
      <c r="AA541" s="1422" t="s">
        <v>70</v>
      </c>
      <c r="AB541" s="1051"/>
      <c r="AL541" s="1052"/>
      <c r="AM541" s="1051"/>
      <c r="BD541" s="1052"/>
      <c r="BE541" s="1129"/>
      <c r="BF541" s="1129"/>
      <c r="BG541" s="1129"/>
      <c r="BH541" s="1129"/>
      <c r="BI541" s="1129"/>
      <c r="BJ541" s="1129"/>
      <c r="BK541" s="1129"/>
      <c r="BL541" s="1129"/>
    </row>
    <row r="542">
      <c r="A542" s="901"/>
      <c r="B542" s="1423" t="s">
        <v>39</v>
      </c>
      <c r="C542" s="1424" t="s">
        <v>12</v>
      </c>
      <c r="D542" s="1373" t="s">
        <v>70</v>
      </c>
      <c r="E542" s="1374" t="s">
        <v>69</v>
      </c>
      <c r="F542" s="1374" t="s">
        <v>69</v>
      </c>
      <c r="G542" s="1374" t="s">
        <v>69</v>
      </c>
      <c r="H542" s="1405" t="s">
        <v>100</v>
      </c>
      <c r="I542" s="1375" t="s">
        <v>70</v>
      </c>
      <c r="J542" s="1374" t="s">
        <v>69</v>
      </c>
      <c r="K542" s="1375" t="s">
        <v>70</v>
      </c>
      <c r="L542" s="1374" t="s">
        <v>69</v>
      </c>
      <c r="M542" s="1374" t="s">
        <v>69</v>
      </c>
      <c r="N542" s="1405" t="s">
        <v>100</v>
      </c>
      <c r="O542" s="1405" t="s">
        <v>100</v>
      </c>
      <c r="P542" s="1405"/>
      <c r="Q542" s="1405" t="s">
        <v>100</v>
      </c>
      <c r="R542" s="1375" t="s">
        <v>70</v>
      </c>
      <c r="S542" s="1375" t="s">
        <v>70</v>
      </c>
      <c r="T542" s="1383" t="s">
        <v>99</v>
      </c>
      <c r="U542" s="1386" t="s">
        <v>69</v>
      </c>
      <c r="V542" s="1380" t="s">
        <v>69</v>
      </c>
      <c r="W542" s="1378" t="s">
        <v>70</v>
      </c>
      <c r="X542" s="1380" t="s">
        <v>69</v>
      </c>
      <c r="Y542" s="1378" t="s">
        <v>70</v>
      </c>
      <c r="Z542" s="1378" t="s">
        <v>70</v>
      </c>
      <c r="AA542" s="1422" t="s">
        <v>70</v>
      </c>
      <c r="AB542" s="1051"/>
      <c r="AL542" s="1052"/>
      <c r="AM542" s="1051"/>
      <c r="BD542" s="1052"/>
      <c r="BE542" s="1129"/>
      <c r="BF542" s="1129"/>
      <c r="BG542" s="1129"/>
      <c r="BH542" s="1129"/>
      <c r="BI542" s="1129"/>
      <c r="BJ542" s="1129"/>
      <c r="BK542" s="1129"/>
      <c r="BL542" s="1129"/>
    </row>
    <row r="543">
      <c r="A543" s="901"/>
      <c r="B543" s="1423" t="s">
        <v>1328</v>
      </c>
      <c r="C543" s="1424" t="s">
        <v>12</v>
      </c>
      <c r="D543" s="1373" t="s">
        <v>70</v>
      </c>
      <c r="E543" s="1374" t="s">
        <v>69</v>
      </c>
      <c r="F543" s="1374" t="s">
        <v>69</v>
      </c>
      <c r="G543" s="1374" t="s">
        <v>69</v>
      </c>
      <c r="H543" s="1405" t="s">
        <v>100</v>
      </c>
      <c r="I543" s="1375" t="s">
        <v>70</v>
      </c>
      <c r="J543" s="1374" t="s">
        <v>69</v>
      </c>
      <c r="K543" s="1375" t="s">
        <v>70</v>
      </c>
      <c r="L543" s="1374" t="s">
        <v>69</v>
      </c>
      <c r="M543" s="1374" t="s">
        <v>69</v>
      </c>
      <c r="N543" s="1374" t="s">
        <v>69</v>
      </c>
      <c r="O543" s="1374" t="s">
        <v>69</v>
      </c>
      <c r="P543" s="1374"/>
      <c r="Q543" s="1374" t="s">
        <v>69</v>
      </c>
      <c r="R543" s="1375" t="s">
        <v>70</v>
      </c>
      <c r="S543" s="1375" t="s">
        <v>70</v>
      </c>
      <c r="T543" s="1375" t="s">
        <v>70</v>
      </c>
      <c r="U543" s="1386" t="s">
        <v>69</v>
      </c>
      <c r="V543" s="1380" t="s">
        <v>69</v>
      </c>
      <c r="W543" s="1378" t="s">
        <v>70</v>
      </c>
      <c r="X543" s="1380" t="s">
        <v>69</v>
      </c>
      <c r="Y543" s="1378" t="s">
        <v>70</v>
      </c>
      <c r="Z543" s="1378" t="s">
        <v>70</v>
      </c>
      <c r="AA543" s="1422" t="s">
        <v>70</v>
      </c>
      <c r="AB543" s="1051"/>
      <c r="AL543" s="1052"/>
      <c r="AM543" s="1051"/>
      <c r="BD543" s="1052"/>
      <c r="BE543" s="1129"/>
      <c r="BF543" s="1129"/>
      <c r="BG543" s="1129"/>
      <c r="BH543" s="1129"/>
      <c r="BI543" s="1129"/>
      <c r="BJ543" s="1129"/>
      <c r="BK543" s="1129"/>
      <c r="BL543" s="1129"/>
    </row>
    <row r="544">
      <c r="A544" s="901"/>
      <c r="B544" s="1425" t="s">
        <v>1218</v>
      </c>
      <c r="C544" s="1425" t="s">
        <v>177</v>
      </c>
      <c r="D544" s="1373" t="s">
        <v>70</v>
      </c>
      <c r="E544" s="1374" t="s">
        <v>69</v>
      </c>
      <c r="F544" s="1374" t="s">
        <v>69</v>
      </c>
      <c r="G544" s="1374" t="s">
        <v>69</v>
      </c>
      <c r="H544" s="1405" t="s">
        <v>100</v>
      </c>
      <c r="I544" s="1405" t="s">
        <v>100</v>
      </c>
      <c r="J544" s="1375" t="s">
        <v>70</v>
      </c>
      <c r="K544" s="1374" t="s">
        <v>69</v>
      </c>
      <c r="L544" s="1375" t="s">
        <v>70</v>
      </c>
      <c r="M544" s="1374" t="s">
        <v>69</v>
      </c>
      <c r="N544" s="1374" t="s">
        <v>69</v>
      </c>
      <c r="O544" s="1374" t="s">
        <v>69</v>
      </c>
      <c r="P544" s="1374"/>
      <c r="Q544" s="1374" t="s">
        <v>69</v>
      </c>
      <c r="R544" s="1374" t="s">
        <v>69</v>
      </c>
      <c r="S544" s="1374" t="s">
        <v>69</v>
      </c>
      <c r="T544" s="1383" t="s">
        <v>99</v>
      </c>
      <c r="U544" s="1386" t="s">
        <v>69</v>
      </c>
      <c r="V544" s="1378" t="s">
        <v>70</v>
      </c>
      <c r="W544" s="1380" t="s">
        <v>69</v>
      </c>
      <c r="X544" s="1378" t="s">
        <v>70</v>
      </c>
      <c r="Y544" s="1380" t="s">
        <v>69</v>
      </c>
      <c r="Z544" s="1380" t="s">
        <v>69</v>
      </c>
      <c r="AA544" s="1381" t="s">
        <v>69</v>
      </c>
      <c r="AB544" s="1051"/>
      <c r="AL544" s="1052"/>
      <c r="AM544" s="1051"/>
      <c r="BD544" s="1052"/>
      <c r="BE544" s="1129"/>
      <c r="BF544" s="1129"/>
      <c r="BG544" s="1129"/>
      <c r="BH544" s="1129"/>
      <c r="BI544" s="1129"/>
      <c r="BJ544" s="1129"/>
      <c r="BK544" s="1129"/>
      <c r="BL544" s="1129"/>
    </row>
    <row r="545">
      <c r="A545" s="901"/>
      <c r="B545" s="1426" t="s">
        <v>1329</v>
      </c>
      <c r="C545" s="1426" t="s">
        <v>177</v>
      </c>
      <c r="D545" s="1373" t="s">
        <v>70</v>
      </c>
      <c r="E545" s="1405" t="s">
        <v>100</v>
      </c>
      <c r="F545" s="1405" t="s">
        <v>100</v>
      </c>
      <c r="G545" s="1374" t="s">
        <v>69</v>
      </c>
      <c r="H545" s="1374" t="s">
        <v>69</v>
      </c>
      <c r="I545" s="1405" t="s">
        <v>100</v>
      </c>
      <c r="J545" s="1375" t="s">
        <v>70</v>
      </c>
      <c r="K545" s="1374" t="s">
        <v>69</v>
      </c>
      <c r="L545" s="1375" t="s">
        <v>70</v>
      </c>
      <c r="M545" s="1374" t="s">
        <v>69</v>
      </c>
      <c r="N545" s="1405" t="s">
        <v>100</v>
      </c>
      <c r="O545" s="1405" t="s">
        <v>100</v>
      </c>
      <c r="P545" s="1405"/>
      <c r="Q545" s="1405" t="s">
        <v>100</v>
      </c>
      <c r="R545" s="1374" t="s">
        <v>69</v>
      </c>
      <c r="S545" s="1383" t="s">
        <v>99</v>
      </c>
      <c r="T545" s="1374" t="s">
        <v>69</v>
      </c>
      <c r="U545" s="1427" t="s">
        <v>99</v>
      </c>
      <c r="V545" s="1380" t="s">
        <v>69</v>
      </c>
      <c r="W545" s="1380" t="s">
        <v>69</v>
      </c>
      <c r="X545" s="1380" t="s">
        <v>69</v>
      </c>
      <c r="Y545" s="1380" t="s">
        <v>69</v>
      </c>
      <c r="Z545" s="1380" t="s">
        <v>69</v>
      </c>
      <c r="AA545" s="1381" t="s">
        <v>69</v>
      </c>
      <c r="AB545" s="1051"/>
      <c r="AL545" s="1052"/>
      <c r="AM545" s="1051"/>
      <c r="BD545" s="1052"/>
      <c r="BE545" s="1129"/>
      <c r="BF545" s="1129"/>
      <c r="BG545" s="1129"/>
      <c r="BH545" s="1129"/>
      <c r="BI545" s="1129"/>
      <c r="BJ545" s="1129"/>
      <c r="BK545" s="1129"/>
      <c r="BL545" s="1129"/>
    </row>
    <row r="546">
      <c r="A546" s="901"/>
      <c r="B546" s="1428" t="s">
        <v>1330</v>
      </c>
      <c r="C546" s="1428" t="s">
        <v>177</v>
      </c>
      <c r="D546" s="1429" t="s">
        <v>100</v>
      </c>
      <c r="E546" s="1405" t="s">
        <v>100</v>
      </c>
      <c r="F546" s="1405" t="s">
        <v>100</v>
      </c>
      <c r="G546" s="1374" t="s">
        <v>69</v>
      </c>
      <c r="H546" s="1374" t="s">
        <v>69</v>
      </c>
      <c r="I546" s="1405" t="s">
        <v>100</v>
      </c>
      <c r="J546" s="1375" t="s">
        <v>70</v>
      </c>
      <c r="K546" s="1374" t="s">
        <v>69</v>
      </c>
      <c r="L546" s="1375" t="s">
        <v>70</v>
      </c>
      <c r="M546" s="1374" t="s">
        <v>69</v>
      </c>
      <c r="N546" s="1374" t="s">
        <v>69</v>
      </c>
      <c r="O546" s="1374" t="s">
        <v>69</v>
      </c>
      <c r="P546" s="1374"/>
      <c r="Q546" s="1374" t="s">
        <v>69</v>
      </c>
      <c r="R546" s="1374" t="s">
        <v>69</v>
      </c>
      <c r="S546" s="1383" t="s">
        <v>99</v>
      </c>
      <c r="T546" s="1405" t="s">
        <v>100</v>
      </c>
      <c r="U546" s="1405" t="s">
        <v>100</v>
      </c>
      <c r="V546" s="1430" t="s">
        <v>100</v>
      </c>
      <c r="W546" s="1430" t="s">
        <v>100</v>
      </c>
      <c r="X546" s="1430" t="s">
        <v>100</v>
      </c>
      <c r="Y546" s="1430" t="s">
        <v>100</v>
      </c>
      <c r="Z546" s="1430" t="s">
        <v>100</v>
      </c>
      <c r="AA546" s="1431" t="s">
        <v>100</v>
      </c>
      <c r="AB546" s="1051"/>
      <c r="AL546" s="1052"/>
      <c r="AM546" s="1051"/>
      <c r="BD546" s="1052"/>
      <c r="BE546" s="1129"/>
      <c r="BF546" s="1129"/>
      <c r="BG546" s="1129"/>
      <c r="BH546" s="1129"/>
      <c r="BI546" s="1129"/>
      <c r="BJ546" s="1129"/>
      <c r="BK546" s="1129"/>
      <c r="BL546" s="1129"/>
    </row>
    <row r="547">
      <c r="A547" s="901"/>
      <c r="B547" s="1432" t="s">
        <v>1331</v>
      </c>
      <c r="C547" s="1432" t="s">
        <v>942</v>
      </c>
      <c r="D547" s="1387" t="s">
        <v>70</v>
      </c>
      <c r="E547" s="1389" t="s">
        <v>69</v>
      </c>
      <c r="F547" s="1389" t="s">
        <v>69</v>
      </c>
      <c r="G547" s="1388" t="s">
        <v>100</v>
      </c>
      <c r="H547" s="1389" t="s">
        <v>69</v>
      </c>
      <c r="I547" s="1390" t="s">
        <v>70</v>
      </c>
      <c r="J547" s="1390" t="s">
        <v>70</v>
      </c>
      <c r="K547" s="1389" t="s">
        <v>69</v>
      </c>
      <c r="L547" s="1389" t="s">
        <v>69</v>
      </c>
      <c r="M547" s="1389" t="s">
        <v>69</v>
      </c>
      <c r="N547" s="1389" t="s">
        <v>69</v>
      </c>
      <c r="O547" s="1389" t="s">
        <v>69</v>
      </c>
      <c r="P547" s="1389"/>
      <c r="Q547" s="1389" t="s">
        <v>69</v>
      </c>
      <c r="R547" s="1405" t="s">
        <v>100</v>
      </c>
      <c r="S547" s="1405" t="s">
        <v>100</v>
      </c>
      <c r="T547" s="1374" t="s">
        <v>69</v>
      </c>
      <c r="U547" s="1427" t="s">
        <v>99</v>
      </c>
      <c r="V547" s="1379" t="s">
        <v>99</v>
      </c>
      <c r="W547" s="1380" t="s">
        <v>69</v>
      </c>
      <c r="X547" s="1380" t="s">
        <v>69</v>
      </c>
      <c r="Y547" s="1378" t="s">
        <v>70</v>
      </c>
      <c r="Z547" s="1380" t="s">
        <v>69</v>
      </c>
      <c r="AA547" s="1381" t="s">
        <v>69</v>
      </c>
      <c r="AB547" s="1051"/>
      <c r="AL547" s="1052"/>
      <c r="AM547" s="1051"/>
      <c r="BD547" s="1052"/>
      <c r="BE547" s="1129"/>
      <c r="BF547" s="1129"/>
      <c r="BG547" s="1129"/>
      <c r="BH547" s="1129"/>
      <c r="BI547" s="1129"/>
      <c r="BJ547" s="1129"/>
      <c r="BK547" s="1129"/>
      <c r="BL547" s="1129"/>
    </row>
    <row r="548">
      <c r="A548" s="901"/>
      <c r="B548" s="1433" t="s">
        <v>132</v>
      </c>
      <c r="C548" s="1433" t="s">
        <v>942</v>
      </c>
      <c r="D548" s="1391" t="s">
        <v>1283</v>
      </c>
      <c r="E548" s="914"/>
      <c r="F548" s="914"/>
      <c r="G548" s="914"/>
      <c r="H548" s="914"/>
      <c r="I548" s="914"/>
      <c r="J548" s="914"/>
      <c r="K548" s="914"/>
      <c r="L548" s="914"/>
      <c r="M548" s="914"/>
      <c r="N548" s="914"/>
      <c r="O548" s="914"/>
      <c r="P548" s="914"/>
      <c r="Q548" s="915"/>
      <c r="R548" s="1374" t="s">
        <v>69</v>
      </c>
      <c r="S548" s="1383" t="s">
        <v>99</v>
      </c>
      <c r="T548" s="1374" t="s">
        <v>69</v>
      </c>
      <c r="U548" s="1386" t="s">
        <v>69</v>
      </c>
      <c r="V548" s="1378" t="s">
        <v>70</v>
      </c>
      <c r="W548" s="1380" t="s">
        <v>69</v>
      </c>
      <c r="X548" s="1378" t="s">
        <v>70</v>
      </c>
      <c r="Y548" s="1380" t="s">
        <v>69</v>
      </c>
      <c r="Z548" s="1380" t="s">
        <v>69</v>
      </c>
      <c r="AA548" s="1381" t="s">
        <v>69</v>
      </c>
      <c r="AB548" s="1051"/>
      <c r="AL548" s="1052"/>
      <c r="AM548" s="1051"/>
      <c r="BD548" s="1052"/>
      <c r="BE548" s="1129"/>
      <c r="BF548" s="1129"/>
      <c r="BG548" s="1129"/>
      <c r="BH548" s="1129"/>
      <c r="BI548" s="1129"/>
      <c r="BJ548" s="1129"/>
      <c r="BK548" s="1129"/>
      <c r="BL548" s="1129"/>
    </row>
    <row r="549">
      <c r="A549" s="901"/>
      <c r="B549" s="1434" t="s">
        <v>1251</v>
      </c>
      <c r="C549" s="1434" t="s">
        <v>187</v>
      </c>
      <c r="D549" s="1373" t="s">
        <v>70</v>
      </c>
      <c r="E549" s="1374" t="s">
        <v>69</v>
      </c>
      <c r="F549" s="1374" t="s">
        <v>69</v>
      </c>
      <c r="G549" s="1405" t="s">
        <v>100</v>
      </c>
      <c r="H549" s="1375" t="s">
        <v>70</v>
      </c>
      <c r="I549" s="1375" t="s">
        <v>70</v>
      </c>
      <c r="J549" s="1375" t="s">
        <v>70</v>
      </c>
      <c r="K549" s="1375" t="s">
        <v>70</v>
      </c>
      <c r="L549" s="1374" t="s">
        <v>69</v>
      </c>
      <c r="M549" s="1375" t="s">
        <v>70</v>
      </c>
      <c r="N549" s="1405" t="s">
        <v>100</v>
      </c>
      <c r="O549" s="1405" t="s">
        <v>100</v>
      </c>
      <c r="P549" s="1405"/>
      <c r="Q549" s="1405" t="s">
        <v>100</v>
      </c>
      <c r="R549" s="1388" t="s">
        <v>100</v>
      </c>
      <c r="S549" s="1388" t="s">
        <v>100</v>
      </c>
      <c r="T549" s="1389" t="s">
        <v>69</v>
      </c>
      <c r="U549" s="1394" t="s">
        <v>69</v>
      </c>
      <c r="V549" s="1394" t="s">
        <v>69</v>
      </c>
      <c r="W549" s="1396" t="s">
        <v>99</v>
      </c>
      <c r="X549" s="1394" t="s">
        <v>69</v>
      </c>
      <c r="Y549" s="1395" t="s">
        <v>70</v>
      </c>
      <c r="Z549" s="1394" t="s">
        <v>69</v>
      </c>
      <c r="AA549" s="1435" t="s">
        <v>70</v>
      </c>
      <c r="AB549" s="1051"/>
      <c r="AL549" s="1052"/>
      <c r="AM549" s="1051"/>
      <c r="BD549" s="1052"/>
      <c r="BE549" s="1129"/>
      <c r="BF549" s="1129"/>
      <c r="BG549" s="1129"/>
      <c r="BH549" s="1129"/>
      <c r="BI549" s="1129"/>
      <c r="BJ549" s="1129"/>
      <c r="BK549" s="1129"/>
      <c r="BL549" s="1129"/>
    </row>
    <row r="550">
      <c r="A550" s="901"/>
      <c r="B550" s="1436" t="s">
        <v>1332</v>
      </c>
      <c r="C550" s="1437" t="s">
        <v>1269</v>
      </c>
      <c r="D550" s="1373" t="s">
        <v>70</v>
      </c>
      <c r="E550" s="1374" t="s">
        <v>69</v>
      </c>
      <c r="F550" s="1374" t="s">
        <v>69</v>
      </c>
      <c r="G550" s="1405" t="s">
        <v>100</v>
      </c>
      <c r="H550" s="1405" t="s">
        <v>100</v>
      </c>
      <c r="I550" s="1405" t="s">
        <v>100</v>
      </c>
      <c r="J550" s="1405" t="s">
        <v>100</v>
      </c>
      <c r="K550" s="1405" t="s">
        <v>100</v>
      </c>
      <c r="L550" s="1405" t="s">
        <v>100</v>
      </c>
      <c r="M550" s="1405" t="s">
        <v>100</v>
      </c>
      <c r="N550" s="1405" t="s">
        <v>100</v>
      </c>
      <c r="O550" s="1405" t="s">
        <v>100</v>
      </c>
      <c r="P550" s="1415"/>
      <c r="Q550" s="1415" t="s">
        <v>100</v>
      </c>
      <c r="R550" s="1403"/>
      <c r="S550" s="914"/>
      <c r="T550" s="914"/>
      <c r="U550" s="914"/>
      <c r="V550" s="914"/>
      <c r="W550" s="914"/>
      <c r="X550" s="914"/>
      <c r="Y550" s="914"/>
      <c r="Z550" s="914"/>
      <c r="AA550" s="915"/>
      <c r="AB550" s="1051"/>
      <c r="AL550" s="1052"/>
      <c r="AM550" s="1051"/>
      <c r="BD550" s="1052"/>
      <c r="BE550" s="1129"/>
      <c r="BF550" s="1129"/>
      <c r="BG550" s="1129"/>
      <c r="BH550" s="1129"/>
      <c r="BI550" s="1129"/>
      <c r="BJ550" s="1129"/>
      <c r="BK550" s="1129"/>
      <c r="BL550" s="1129"/>
    </row>
    <row r="551">
      <c r="A551" s="901"/>
      <c r="B551" s="1438" t="s">
        <v>1202</v>
      </c>
      <c r="C551" s="1438" t="s">
        <v>174</v>
      </c>
      <c r="D551" s="1373" t="s">
        <v>70</v>
      </c>
      <c r="E551" s="1374" t="s">
        <v>69</v>
      </c>
      <c r="F551" s="1374" t="s">
        <v>69</v>
      </c>
      <c r="G551" s="1374" t="s">
        <v>69</v>
      </c>
      <c r="H551" s="1375" t="s">
        <v>70</v>
      </c>
      <c r="I551" s="1375" t="s">
        <v>70</v>
      </c>
      <c r="J551" s="1374" t="s">
        <v>69</v>
      </c>
      <c r="K551" s="1375" t="s">
        <v>70</v>
      </c>
      <c r="L551" s="1374" t="s">
        <v>69</v>
      </c>
      <c r="M551" s="1374" t="s">
        <v>69</v>
      </c>
      <c r="N551" s="1375" t="s">
        <v>70</v>
      </c>
      <c r="O551" s="1374" t="s">
        <v>69</v>
      </c>
      <c r="P551" s="1374"/>
      <c r="Q551" s="1374" t="s">
        <v>69</v>
      </c>
      <c r="R551" s="1374" t="s">
        <v>69</v>
      </c>
      <c r="S551" s="1375" t="s">
        <v>70</v>
      </c>
      <c r="T551" s="1374" t="s">
        <v>69</v>
      </c>
      <c r="U551" s="1386" t="s">
        <v>69</v>
      </c>
      <c r="V551" s="1380" t="s">
        <v>69</v>
      </c>
      <c r="W551" s="1380" t="s">
        <v>69</v>
      </c>
      <c r="X551" s="1380" t="s">
        <v>69</v>
      </c>
      <c r="Y551" s="1378" t="s">
        <v>70</v>
      </c>
      <c r="Z551" s="1378" t="s">
        <v>70</v>
      </c>
      <c r="AA551" s="1381" t="s">
        <v>69</v>
      </c>
      <c r="AB551" s="1051"/>
      <c r="AL551" s="1052"/>
      <c r="AM551" s="1051"/>
      <c r="BD551" s="1052"/>
      <c r="BE551" s="1129"/>
      <c r="BF551" s="1129"/>
      <c r="BG551" s="1129"/>
      <c r="BH551" s="1129"/>
      <c r="BI551" s="1129"/>
      <c r="BJ551" s="1129"/>
      <c r="BK551" s="1129"/>
      <c r="BL551" s="1129"/>
    </row>
    <row r="552">
      <c r="A552" s="1013"/>
      <c r="B552" s="1439" t="s">
        <v>1212</v>
      </c>
      <c r="C552" s="1439" t="s">
        <v>161</v>
      </c>
      <c r="D552" s="1440" t="s">
        <v>69</v>
      </c>
      <c r="E552" s="1374" t="s">
        <v>69</v>
      </c>
      <c r="F552" s="1374" t="s">
        <v>69</v>
      </c>
      <c r="G552" s="1374" t="s">
        <v>69</v>
      </c>
      <c r="H552" s="1374" t="s">
        <v>69</v>
      </c>
      <c r="I552" s="1375" t="s">
        <v>70</v>
      </c>
      <c r="J552" s="1375" t="s">
        <v>70</v>
      </c>
      <c r="K552" s="1374" t="s">
        <v>69</v>
      </c>
      <c r="L552" s="1375" t="s">
        <v>70</v>
      </c>
      <c r="M552" s="1375" t="s">
        <v>70</v>
      </c>
      <c r="N552" s="1374" t="s">
        <v>69</v>
      </c>
      <c r="O552" s="1374" t="s">
        <v>69</v>
      </c>
      <c r="P552" s="1374"/>
      <c r="Q552" s="1374" t="s">
        <v>69</v>
      </c>
      <c r="R552" s="1374" t="s">
        <v>69</v>
      </c>
      <c r="S552" s="1374" t="s">
        <v>69</v>
      </c>
      <c r="T552" s="1383" t="s">
        <v>99</v>
      </c>
      <c r="U552" s="1386" t="s">
        <v>69</v>
      </c>
      <c r="V552" s="1378" t="s">
        <v>70</v>
      </c>
      <c r="W552" s="1380" t="s">
        <v>69</v>
      </c>
      <c r="X552" s="1380" t="s">
        <v>69</v>
      </c>
      <c r="Y552" s="1380" t="s">
        <v>69</v>
      </c>
      <c r="Z552" s="1380" t="s">
        <v>69</v>
      </c>
      <c r="AA552" s="1422" t="s">
        <v>70</v>
      </c>
      <c r="AB552" s="1051"/>
      <c r="AL552" s="1052"/>
      <c r="AM552" s="1051"/>
      <c r="BD552" s="1052"/>
      <c r="BE552" s="1129"/>
      <c r="BF552" s="1129"/>
      <c r="BG552" s="1129"/>
      <c r="BH552" s="1129"/>
      <c r="BI552" s="1129"/>
      <c r="BJ552" s="1129"/>
      <c r="BK552" s="1129"/>
      <c r="BL552" s="1129"/>
    </row>
    <row r="553">
      <c r="A553" s="1247" t="s">
        <v>68</v>
      </c>
      <c r="B553" s="1441"/>
      <c r="D553" s="1371"/>
      <c r="AB553" s="1051"/>
      <c r="AL553" s="1052"/>
      <c r="AM553" s="1051"/>
      <c r="BD553" s="1052"/>
      <c r="BE553" s="1129"/>
      <c r="BF553" s="1129"/>
      <c r="BG553" s="1129"/>
      <c r="BH553" s="1129"/>
      <c r="BI553" s="1129"/>
      <c r="BJ553" s="1129"/>
      <c r="BK553" s="1129"/>
      <c r="BL553" s="1129"/>
    </row>
    <row r="554">
      <c r="A554" s="901"/>
      <c r="B554" s="1442" t="s">
        <v>69</v>
      </c>
      <c r="D554" s="1113">
        <f t="shared" ref="D554:O554" si="174">COUNTIF(D522:D552,"Voor")</f>
        <v>1</v>
      </c>
      <c r="E554" s="1114">
        <f t="shared" si="174"/>
        <v>19</v>
      </c>
      <c r="F554" s="1114">
        <f t="shared" si="174"/>
        <v>22</v>
      </c>
      <c r="G554" s="1114">
        <f t="shared" si="174"/>
        <v>15</v>
      </c>
      <c r="H554" s="1114">
        <f t="shared" si="174"/>
        <v>16</v>
      </c>
      <c r="I554" s="1114">
        <f t="shared" si="174"/>
        <v>13</v>
      </c>
      <c r="J554" s="1114">
        <f t="shared" si="174"/>
        <v>5</v>
      </c>
      <c r="K554" s="1114">
        <f t="shared" si="174"/>
        <v>15</v>
      </c>
      <c r="L554" s="1114">
        <f t="shared" si="174"/>
        <v>8</v>
      </c>
      <c r="M554" s="1114">
        <f t="shared" si="174"/>
        <v>15</v>
      </c>
      <c r="N554" s="1114">
        <f t="shared" si="174"/>
        <v>15</v>
      </c>
      <c r="O554" s="1114">
        <f t="shared" si="174"/>
        <v>18</v>
      </c>
      <c r="P554" s="1114"/>
      <c r="Q554" s="1114">
        <f t="shared" ref="Q554:AA554" si="175">COUNTIF(Q522:Q552,"Voor")</f>
        <v>18</v>
      </c>
      <c r="R554" s="1114">
        <f t="shared" si="175"/>
        <v>18</v>
      </c>
      <c r="S554" s="1114">
        <f t="shared" si="175"/>
        <v>2</v>
      </c>
      <c r="T554" s="1114">
        <f t="shared" si="175"/>
        <v>14</v>
      </c>
      <c r="U554" s="1114">
        <f t="shared" si="175"/>
        <v>18</v>
      </c>
      <c r="V554" s="1114">
        <f t="shared" si="175"/>
        <v>9</v>
      </c>
      <c r="W554" s="1114">
        <f t="shared" si="175"/>
        <v>15</v>
      </c>
      <c r="X554" s="1114">
        <f t="shared" si="175"/>
        <v>12</v>
      </c>
      <c r="Y554" s="1114">
        <f t="shared" si="175"/>
        <v>16</v>
      </c>
      <c r="Z554" s="1114">
        <f t="shared" si="175"/>
        <v>17</v>
      </c>
      <c r="AA554" s="1114">
        <f t="shared" si="175"/>
        <v>17</v>
      </c>
      <c r="AB554" s="1051"/>
      <c r="AL554" s="1052"/>
      <c r="AM554" s="1051"/>
      <c r="BD554" s="1052"/>
      <c r="BE554" s="1129"/>
      <c r="BF554" s="1129"/>
      <c r="BG554" s="1129"/>
      <c r="BH554" s="1129"/>
      <c r="BI554" s="1129"/>
      <c r="BJ554" s="1129"/>
      <c r="BK554" s="1129"/>
      <c r="BL554" s="1129"/>
    </row>
    <row r="555">
      <c r="A555" s="901"/>
      <c r="B555" s="1443" t="s">
        <v>70</v>
      </c>
      <c r="D555" s="1116">
        <f t="shared" ref="D555:O555" si="176">COUNTIF(D522:D552,"Tegen")</f>
        <v>23</v>
      </c>
      <c r="E555" s="1117">
        <f t="shared" si="176"/>
        <v>0</v>
      </c>
      <c r="F555" s="1117">
        <f t="shared" si="176"/>
        <v>0</v>
      </c>
      <c r="G555" s="1117">
        <f t="shared" si="176"/>
        <v>0</v>
      </c>
      <c r="H555" s="1117">
        <f t="shared" si="176"/>
        <v>2</v>
      </c>
      <c r="I555" s="1117">
        <f t="shared" si="176"/>
        <v>7</v>
      </c>
      <c r="J555" s="1117">
        <f t="shared" si="176"/>
        <v>16</v>
      </c>
      <c r="K555" s="1117">
        <f t="shared" si="176"/>
        <v>6</v>
      </c>
      <c r="L555" s="1117">
        <f t="shared" si="176"/>
        <v>12</v>
      </c>
      <c r="M555" s="1117">
        <f t="shared" si="176"/>
        <v>6</v>
      </c>
      <c r="N555" s="1117">
        <f t="shared" si="176"/>
        <v>3</v>
      </c>
      <c r="O555" s="1117">
        <f t="shared" si="176"/>
        <v>0</v>
      </c>
      <c r="P555" s="1117"/>
      <c r="Q555" s="1117">
        <f t="shared" ref="Q555:AA555" si="177">COUNTIF(Q522:Q552,"Tegen")</f>
        <v>0</v>
      </c>
      <c r="R555" s="1117">
        <f t="shared" si="177"/>
        <v>3</v>
      </c>
      <c r="S555" s="1117">
        <f t="shared" si="177"/>
        <v>12</v>
      </c>
      <c r="T555" s="1117">
        <f t="shared" si="177"/>
        <v>4</v>
      </c>
      <c r="U555" s="1117">
        <f t="shared" si="177"/>
        <v>3</v>
      </c>
      <c r="V555" s="1117">
        <f t="shared" si="177"/>
        <v>13</v>
      </c>
      <c r="W555" s="1117">
        <f t="shared" si="177"/>
        <v>5</v>
      </c>
      <c r="X555" s="1117">
        <f t="shared" si="177"/>
        <v>8</v>
      </c>
      <c r="Y555" s="1117">
        <f t="shared" si="177"/>
        <v>7</v>
      </c>
      <c r="Z555" s="1117">
        <f t="shared" si="177"/>
        <v>6</v>
      </c>
      <c r="AA555" s="1117">
        <f t="shared" si="177"/>
        <v>6</v>
      </c>
      <c r="AB555" s="1051"/>
      <c r="AL555" s="1052"/>
      <c r="AM555" s="1051"/>
      <c r="BD555" s="1052"/>
      <c r="BE555" s="1129"/>
      <c r="BF555" s="1129"/>
      <c r="BG555" s="1129"/>
      <c r="BH555" s="1129"/>
      <c r="BI555" s="1129"/>
      <c r="BJ555" s="1129"/>
      <c r="BK555" s="1129"/>
      <c r="BL555" s="1129"/>
    </row>
    <row r="556">
      <c r="A556" s="901"/>
      <c r="B556" s="1444" t="s">
        <v>71</v>
      </c>
      <c r="D556" s="1118">
        <f t="shared" ref="D556:O556" si="178">COUNTIF(D522:D552,"SO")</f>
        <v>0</v>
      </c>
      <c r="E556" s="1119">
        <f t="shared" si="178"/>
        <v>0</v>
      </c>
      <c r="F556" s="1119">
        <f t="shared" si="178"/>
        <v>0</v>
      </c>
      <c r="G556" s="1119">
        <f t="shared" si="178"/>
        <v>0</v>
      </c>
      <c r="H556" s="1119">
        <f t="shared" si="178"/>
        <v>0</v>
      </c>
      <c r="I556" s="1119">
        <f t="shared" si="178"/>
        <v>0</v>
      </c>
      <c r="J556" s="1119">
        <f t="shared" si="178"/>
        <v>0</v>
      </c>
      <c r="K556" s="1119">
        <f t="shared" si="178"/>
        <v>0</v>
      </c>
      <c r="L556" s="1119">
        <f t="shared" si="178"/>
        <v>1</v>
      </c>
      <c r="M556" s="1119">
        <f t="shared" si="178"/>
        <v>0</v>
      </c>
      <c r="N556" s="1119">
        <f t="shared" si="178"/>
        <v>0</v>
      </c>
      <c r="O556" s="1119">
        <f t="shared" si="178"/>
        <v>0</v>
      </c>
      <c r="P556" s="1119"/>
      <c r="Q556" s="1119">
        <f t="shared" ref="Q556:AA556" si="179">COUNTIF(Q522:Q552,"SO")</f>
        <v>0</v>
      </c>
      <c r="R556" s="1119">
        <f t="shared" si="179"/>
        <v>0</v>
      </c>
      <c r="S556" s="1119">
        <f t="shared" si="179"/>
        <v>7</v>
      </c>
      <c r="T556" s="1119">
        <f t="shared" si="179"/>
        <v>5</v>
      </c>
      <c r="U556" s="1119">
        <f t="shared" si="179"/>
        <v>2</v>
      </c>
      <c r="V556" s="1119">
        <f t="shared" si="179"/>
        <v>1</v>
      </c>
      <c r="W556" s="1119">
        <f t="shared" si="179"/>
        <v>3</v>
      </c>
      <c r="X556" s="1119">
        <f t="shared" si="179"/>
        <v>3</v>
      </c>
      <c r="Y556" s="1119">
        <f t="shared" si="179"/>
        <v>0</v>
      </c>
      <c r="Z556" s="1119">
        <f t="shared" si="179"/>
        <v>0</v>
      </c>
      <c r="AA556" s="1119">
        <f t="shared" si="179"/>
        <v>0</v>
      </c>
      <c r="AB556" s="1051"/>
      <c r="AL556" s="1052"/>
      <c r="AM556" s="1051"/>
      <c r="BD556" s="1052"/>
      <c r="BE556" s="1129"/>
      <c r="BF556" s="1129"/>
      <c r="BG556" s="1129"/>
      <c r="BH556" s="1129"/>
      <c r="BI556" s="1129"/>
      <c r="BJ556" s="1129"/>
      <c r="BK556" s="1129"/>
      <c r="BL556" s="1129"/>
    </row>
    <row r="557">
      <c r="A557" s="901"/>
      <c r="B557" s="1445" t="s">
        <v>72</v>
      </c>
      <c r="D557" s="1120">
        <f t="shared" ref="D557:O557" si="180">COUNTIF(D522:D552,"NG")</f>
        <v>1</v>
      </c>
      <c r="E557" s="1121">
        <f t="shared" si="180"/>
        <v>6</v>
      </c>
      <c r="F557" s="1121">
        <f t="shared" si="180"/>
        <v>3</v>
      </c>
      <c r="G557" s="1121">
        <f t="shared" si="180"/>
        <v>10</v>
      </c>
      <c r="H557" s="1121">
        <f t="shared" si="180"/>
        <v>7</v>
      </c>
      <c r="I557" s="1121">
        <f t="shared" si="180"/>
        <v>5</v>
      </c>
      <c r="J557" s="1121">
        <f t="shared" si="180"/>
        <v>4</v>
      </c>
      <c r="K557" s="1121">
        <f t="shared" si="180"/>
        <v>4</v>
      </c>
      <c r="L557" s="1121">
        <f t="shared" si="180"/>
        <v>4</v>
      </c>
      <c r="M557" s="1121">
        <f t="shared" si="180"/>
        <v>4</v>
      </c>
      <c r="N557" s="1121">
        <f t="shared" si="180"/>
        <v>7</v>
      </c>
      <c r="O557" s="1121">
        <f t="shared" si="180"/>
        <v>7</v>
      </c>
      <c r="P557" s="1121"/>
      <c r="Q557" s="1121">
        <f t="shared" ref="Q557:AA557" si="181">COUNTIF(Q522:Q552,"NG")</f>
        <v>7</v>
      </c>
      <c r="R557" s="1121">
        <f t="shared" si="181"/>
        <v>4</v>
      </c>
      <c r="S557" s="1121">
        <f t="shared" si="181"/>
        <v>4</v>
      </c>
      <c r="T557" s="1121">
        <f t="shared" si="181"/>
        <v>2</v>
      </c>
      <c r="U557" s="1121">
        <f t="shared" si="181"/>
        <v>2</v>
      </c>
      <c r="V557" s="1121">
        <f t="shared" si="181"/>
        <v>2</v>
      </c>
      <c r="W557" s="1121">
        <f t="shared" si="181"/>
        <v>2</v>
      </c>
      <c r="X557" s="1121">
        <f t="shared" si="181"/>
        <v>2</v>
      </c>
      <c r="Y557" s="1121">
        <f t="shared" si="181"/>
        <v>2</v>
      </c>
      <c r="Z557" s="1121">
        <f t="shared" si="181"/>
        <v>2</v>
      </c>
      <c r="AA557" s="1121">
        <f t="shared" si="181"/>
        <v>2</v>
      </c>
      <c r="AB557" s="1051"/>
      <c r="AL557" s="1052"/>
      <c r="AM557" s="1051"/>
      <c r="BD557" s="1052"/>
      <c r="BE557" s="1129"/>
      <c r="BF557" s="1129"/>
      <c r="BG557" s="1129"/>
      <c r="BH557" s="1129"/>
      <c r="BI557" s="1129"/>
      <c r="BJ557" s="1129"/>
      <c r="BK557" s="1129"/>
      <c r="BL557" s="1129"/>
    </row>
    <row r="558">
      <c r="A558" s="901"/>
      <c r="B558" s="1446" t="s">
        <v>73</v>
      </c>
      <c r="D558" s="1122">
        <f t="shared" ref="D558:O558" si="182">SUM(D554:D557)</f>
        <v>25</v>
      </c>
      <c r="E558" s="1123">
        <f t="shared" si="182"/>
        <v>25</v>
      </c>
      <c r="F558" s="1123">
        <f t="shared" si="182"/>
        <v>25</v>
      </c>
      <c r="G558" s="1123">
        <f t="shared" si="182"/>
        <v>25</v>
      </c>
      <c r="H558" s="1123">
        <f t="shared" si="182"/>
        <v>25</v>
      </c>
      <c r="I558" s="1123">
        <f t="shared" si="182"/>
        <v>25</v>
      </c>
      <c r="J558" s="1123">
        <f t="shared" si="182"/>
        <v>25</v>
      </c>
      <c r="K558" s="1123">
        <f t="shared" si="182"/>
        <v>25</v>
      </c>
      <c r="L558" s="1123">
        <f t="shared" si="182"/>
        <v>25</v>
      </c>
      <c r="M558" s="1123">
        <f t="shared" si="182"/>
        <v>25</v>
      </c>
      <c r="N558" s="1123">
        <f t="shared" si="182"/>
        <v>25</v>
      </c>
      <c r="O558" s="1123">
        <f t="shared" si="182"/>
        <v>25</v>
      </c>
      <c r="P558" s="1123"/>
      <c r="Q558" s="1123">
        <f t="shared" ref="Q558:AA558" si="183">SUM(Q554:Q557)</f>
        <v>25</v>
      </c>
      <c r="R558" s="1123">
        <f t="shared" si="183"/>
        <v>25</v>
      </c>
      <c r="S558" s="1123">
        <f t="shared" si="183"/>
        <v>25</v>
      </c>
      <c r="T558" s="1123">
        <f t="shared" si="183"/>
        <v>25</v>
      </c>
      <c r="U558" s="1123">
        <f t="shared" si="183"/>
        <v>25</v>
      </c>
      <c r="V558" s="1123">
        <f t="shared" si="183"/>
        <v>25</v>
      </c>
      <c r="W558" s="1123">
        <f t="shared" si="183"/>
        <v>25</v>
      </c>
      <c r="X558" s="1123">
        <f t="shared" si="183"/>
        <v>25</v>
      </c>
      <c r="Y558" s="1123">
        <f t="shared" si="183"/>
        <v>25</v>
      </c>
      <c r="Z558" s="1123">
        <f t="shared" si="183"/>
        <v>25</v>
      </c>
      <c r="AA558" s="1123">
        <f t="shared" si="183"/>
        <v>25</v>
      </c>
      <c r="AB558" s="1051"/>
      <c r="AL558" s="1052"/>
      <c r="AM558" s="1051"/>
      <c r="BD558" s="1052"/>
      <c r="BE558" s="1129"/>
      <c r="BF558" s="1129"/>
      <c r="BG558" s="1129"/>
      <c r="BH558" s="1129"/>
      <c r="BI558" s="1129"/>
      <c r="BJ558" s="1129"/>
      <c r="BK558" s="1129"/>
      <c r="BL558" s="1129"/>
    </row>
    <row r="559">
      <c r="A559" s="901"/>
      <c r="B559" s="1367" t="s">
        <v>74</v>
      </c>
      <c r="D559" s="1124">
        <f t="shared" ref="D559:O559" si="184">D554+D555+D556</f>
        <v>24</v>
      </c>
      <c r="E559" s="1125">
        <f t="shared" si="184"/>
        <v>19</v>
      </c>
      <c r="F559" s="1125">
        <f t="shared" si="184"/>
        <v>22</v>
      </c>
      <c r="G559" s="1125">
        <f t="shared" si="184"/>
        <v>15</v>
      </c>
      <c r="H559" s="1125">
        <f t="shared" si="184"/>
        <v>18</v>
      </c>
      <c r="I559" s="1125">
        <f t="shared" si="184"/>
        <v>20</v>
      </c>
      <c r="J559" s="1125">
        <f t="shared" si="184"/>
        <v>21</v>
      </c>
      <c r="K559" s="1125">
        <f t="shared" si="184"/>
        <v>21</v>
      </c>
      <c r="L559" s="1125">
        <f t="shared" si="184"/>
        <v>21</v>
      </c>
      <c r="M559" s="1125">
        <f t="shared" si="184"/>
        <v>21</v>
      </c>
      <c r="N559" s="1125">
        <f t="shared" si="184"/>
        <v>18</v>
      </c>
      <c r="O559" s="1125">
        <f t="shared" si="184"/>
        <v>18</v>
      </c>
      <c r="P559" s="1125"/>
      <c r="Q559" s="1125">
        <f t="shared" ref="Q559:AA559" si="185">Q554+Q555+Q556</f>
        <v>18</v>
      </c>
      <c r="R559" s="1125">
        <f t="shared" si="185"/>
        <v>21</v>
      </c>
      <c r="S559" s="1125">
        <f t="shared" si="185"/>
        <v>21</v>
      </c>
      <c r="T559" s="1125">
        <f t="shared" si="185"/>
        <v>23</v>
      </c>
      <c r="U559" s="1125">
        <f t="shared" si="185"/>
        <v>23</v>
      </c>
      <c r="V559" s="1125">
        <f t="shared" si="185"/>
        <v>23</v>
      </c>
      <c r="W559" s="1125">
        <f t="shared" si="185"/>
        <v>23</v>
      </c>
      <c r="X559" s="1125">
        <f t="shared" si="185"/>
        <v>23</v>
      </c>
      <c r="Y559" s="1125">
        <f t="shared" si="185"/>
        <v>23</v>
      </c>
      <c r="Z559" s="1125">
        <f t="shared" si="185"/>
        <v>23</v>
      </c>
      <c r="AA559" s="1125">
        <f t="shared" si="185"/>
        <v>23</v>
      </c>
      <c r="AB559" s="1051"/>
      <c r="AL559" s="1052"/>
      <c r="AM559" s="1051"/>
      <c r="BD559" s="1052"/>
      <c r="BE559" s="1129"/>
      <c r="BF559" s="1129"/>
      <c r="BG559" s="1129"/>
      <c r="BH559" s="1129"/>
      <c r="BI559" s="1129"/>
      <c r="BJ559" s="1129"/>
      <c r="BK559" s="1129"/>
      <c r="BL559" s="1129"/>
    </row>
    <row r="560">
      <c r="A560" s="901"/>
      <c r="B560" s="1367" t="s">
        <v>75</v>
      </c>
      <c r="D560" s="1126">
        <f t="shared" ref="D560:O560" si="186">IFERROR(D559/D558,"")</f>
        <v>0.96</v>
      </c>
      <c r="E560" s="1127">
        <f t="shared" si="186"/>
        <v>0.76</v>
      </c>
      <c r="F560" s="1127">
        <f t="shared" si="186"/>
        <v>0.88</v>
      </c>
      <c r="G560" s="1127">
        <f t="shared" si="186"/>
        <v>0.6</v>
      </c>
      <c r="H560" s="1127">
        <f t="shared" si="186"/>
        <v>0.72</v>
      </c>
      <c r="I560" s="1127">
        <f t="shared" si="186"/>
        <v>0.8</v>
      </c>
      <c r="J560" s="1127">
        <f t="shared" si="186"/>
        <v>0.84</v>
      </c>
      <c r="K560" s="1127">
        <f t="shared" si="186"/>
        <v>0.84</v>
      </c>
      <c r="L560" s="1127">
        <f t="shared" si="186"/>
        <v>0.84</v>
      </c>
      <c r="M560" s="1127">
        <f t="shared" si="186"/>
        <v>0.84</v>
      </c>
      <c r="N560" s="1127">
        <f t="shared" si="186"/>
        <v>0.72</v>
      </c>
      <c r="O560" s="1127">
        <f t="shared" si="186"/>
        <v>0.72</v>
      </c>
      <c r="P560" s="1127"/>
      <c r="Q560" s="1127">
        <f t="shared" ref="Q560:AA560" si="187">IFERROR(Q559/Q558,"")</f>
        <v>0.72</v>
      </c>
      <c r="R560" s="1127">
        <f t="shared" si="187"/>
        <v>0.84</v>
      </c>
      <c r="S560" s="1127">
        <f t="shared" si="187"/>
        <v>0.84</v>
      </c>
      <c r="T560" s="1127">
        <f t="shared" si="187"/>
        <v>0.92</v>
      </c>
      <c r="U560" s="1127">
        <f t="shared" si="187"/>
        <v>0.92</v>
      </c>
      <c r="V560" s="1127">
        <f t="shared" si="187"/>
        <v>0.92</v>
      </c>
      <c r="W560" s="1127">
        <f t="shared" si="187"/>
        <v>0.92</v>
      </c>
      <c r="X560" s="1127">
        <f t="shared" si="187"/>
        <v>0.92</v>
      </c>
      <c r="Y560" s="1127">
        <f t="shared" si="187"/>
        <v>0.92</v>
      </c>
      <c r="Z560" s="1127">
        <f t="shared" si="187"/>
        <v>0.92</v>
      </c>
      <c r="AA560" s="1127">
        <f t="shared" si="187"/>
        <v>0.92</v>
      </c>
      <c r="AB560" s="1057"/>
      <c r="AC560" s="1056"/>
      <c r="AD560" s="1056"/>
      <c r="AE560" s="1056"/>
      <c r="AF560" s="1056"/>
      <c r="AG560" s="1056"/>
      <c r="AH560" s="1056"/>
      <c r="AI560" s="1056"/>
      <c r="AJ560" s="1056"/>
      <c r="AK560" s="1056"/>
      <c r="AL560" s="1058"/>
      <c r="AM560" s="1057"/>
      <c r="AN560" s="1056"/>
      <c r="AO560" s="1056"/>
      <c r="AP560" s="1056"/>
      <c r="AQ560" s="1056"/>
      <c r="AR560" s="1056"/>
      <c r="AS560" s="1056"/>
      <c r="AT560" s="1056"/>
      <c r="AU560" s="1056"/>
      <c r="AV560" s="1056"/>
      <c r="AW560" s="1056"/>
      <c r="AX560" s="1056"/>
      <c r="AY560" s="1056"/>
      <c r="AZ560" s="1056"/>
      <c r="BA560" s="1056"/>
      <c r="BB560" s="1056"/>
      <c r="BC560" s="1056"/>
      <c r="BD560" s="1058"/>
      <c r="BE560" s="1129"/>
      <c r="BF560" s="1129"/>
      <c r="BG560" s="1129"/>
      <c r="BH560" s="1129"/>
      <c r="BI560" s="1129"/>
      <c r="BJ560" s="1129"/>
      <c r="BK560" s="1129"/>
      <c r="BL560" s="1129"/>
    </row>
    <row r="561">
      <c r="A561" s="1447"/>
      <c r="B561" s="1367"/>
      <c r="C561" s="1367"/>
      <c r="D561" s="1126"/>
      <c r="E561" s="1127"/>
      <c r="F561" s="1127"/>
      <c r="G561" s="1127"/>
      <c r="H561" s="1127"/>
      <c r="I561" s="1127"/>
      <c r="J561" s="1127"/>
      <c r="K561" s="1127"/>
      <c r="L561" s="1127"/>
      <c r="M561" s="1127"/>
      <c r="N561" s="1127"/>
      <c r="O561" s="1127"/>
      <c r="P561" s="1127"/>
      <c r="Q561" s="1127"/>
      <c r="R561" s="1127"/>
      <c r="S561" s="1127"/>
      <c r="T561" s="1127"/>
      <c r="U561" s="1127"/>
      <c r="V561" s="1127"/>
      <c r="W561" s="1127"/>
      <c r="X561" s="1127"/>
      <c r="Y561" s="1127"/>
      <c r="Z561" s="1127"/>
      <c r="AA561" s="1127"/>
      <c r="AB561" s="1129"/>
      <c r="AC561" s="1129"/>
      <c r="AD561" s="1129"/>
      <c r="AE561" s="1129"/>
      <c r="AF561" s="1129"/>
      <c r="AG561" s="1129"/>
      <c r="AH561" s="1129"/>
      <c r="AI561" s="1129"/>
      <c r="AJ561" s="1129"/>
      <c r="AK561" s="1129"/>
      <c r="AL561" s="1129"/>
      <c r="AM561" s="1129"/>
      <c r="AN561" s="1129"/>
      <c r="AO561" s="1129"/>
      <c r="AP561" s="1129"/>
      <c r="AQ561" s="1129"/>
      <c r="AR561" s="1129"/>
      <c r="AS561" s="1129"/>
      <c r="AT561" s="1129"/>
      <c r="AU561" s="1129"/>
      <c r="AV561" s="1129"/>
      <c r="AW561" s="1129"/>
      <c r="AX561" s="1129"/>
      <c r="AY561" s="1129"/>
      <c r="AZ561" s="1129"/>
      <c r="BA561" s="1129"/>
      <c r="BB561" s="1129"/>
      <c r="BC561" s="1129"/>
      <c r="BD561" s="1129"/>
      <c r="BE561" s="1129"/>
      <c r="BF561" s="1129"/>
      <c r="BG561" s="1129"/>
      <c r="BH561" s="1129"/>
      <c r="BI561" s="1129"/>
      <c r="BJ561" s="1129"/>
      <c r="BK561" s="1129"/>
      <c r="BL561" s="1129"/>
    </row>
    <row r="562">
      <c r="A562" s="1447"/>
      <c r="B562" s="1367"/>
      <c r="C562" s="1367"/>
      <c r="D562" s="1126"/>
      <c r="E562" s="1127"/>
      <c r="F562" s="1127"/>
      <c r="G562" s="1127"/>
      <c r="H562" s="1127"/>
      <c r="I562" s="1127"/>
      <c r="J562" s="1127"/>
      <c r="K562" s="1127"/>
      <c r="L562" s="1127"/>
      <c r="M562" s="1127"/>
      <c r="N562" s="1127"/>
      <c r="O562" s="1127"/>
      <c r="P562" s="1127"/>
      <c r="Q562" s="1127"/>
      <c r="R562" s="1127"/>
      <c r="S562" s="1127"/>
      <c r="T562" s="1127"/>
      <c r="U562" s="1127"/>
      <c r="V562" s="1127"/>
      <c r="W562" s="1127"/>
      <c r="X562" s="1127"/>
      <c r="Y562" s="1127"/>
      <c r="Z562" s="1127"/>
      <c r="AA562" s="1127"/>
      <c r="AB562" s="1129"/>
      <c r="AC562" s="1129"/>
      <c r="AD562" s="1129"/>
      <c r="AE562" s="1129"/>
      <c r="AF562" s="1129"/>
      <c r="AG562" s="1129"/>
      <c r="AH562" s="1129"/>
      <c r="AI562" s="1129"/>
      <c r="AJ562" s="1129"/>
      <c r="AK562" s="1129"/>
      <c r="AL562" s="1129"/>
      <c r="AM562" s="1129"/>
      <c r="AN562" s="1129"/>
      <c r="AO562" s="1129"/>
      <c r="AP562" s="1129"/>
      <c r="AQ562" s="1129"/>
      <c r="AR562" s="1129"/>
      <c r="AS562" s="1129"/>
      <c r="AT562" s="1129"/>
      <c r="AU562" s="1129"/>
      <c r="AV562" s="1129"/>
      <c r="AW562" s="1129"/>
      <c r="AX562" s="1129"/>
      <c r="AY562" s="1129"/>
      <c r="AZ562" s="1129"/>
      <c r="BA562" s="1129"/>
      <c r="BB562" s="1129"/>
      <c r="BC562" s="1129"/>
      <c r="BD562" s="1129"/>
      <c r="BE562" s="1129"/>
      <c r="BF562" s="1129"/>
      <c r="BG562" s="1129"/>
      <c r="BH562" s="1129"/>
      <c r="BI562" s="1129"/>
      <c r="BJ562" s="1129"/>
      <c r="BK562" s="1129"/>
      <c r="BL562" s="1129"/>
    </row>
    <row r="563">
      <c r="A563" s="1447"/>
      <c r="B563" s="1367"/>
      <c r="C563" s="1367"/>
      <c r="D563" s="1126"/>
      <c r="E563" s="1127"/>
      <c r="F563" s="1127"/>
      <c r="G563" s="1127"/>
      <c r="H563" s="1127"/>
      <c r="I563" s="1127"/>
      <c r="J563" s="1127"/>
      <c r="K563" s="1127"/>
      <c r="L563" s="1127"/>
      <c r="M563" s="1127"/>
      <c r="N563" s="1127"/>
      <c r="O563" s="1127"/>
      <c r="P563" s="1127"/>
      <c r="Q563" s="1127"/>
      <c r="R563" s="1127"/>
      <c r="S563" s="1127"/>
      <c r="T563" s="1127"/>
      <c r="U563" s="1127"/>
      <c r="V563" s="1127"/>
      <c r="W563" s="1127"/>
      <c r="X563" s="1127"/>
      <c r="Y563" s="1127"/>
      <c r="Z563" s="1127"/>
      <c r="AA563" s="1127"/>
      <c r="AB563" s="1129"/>
      <c r="AC563" s="1129"/>
      <c r="AD563" s="1129"/>
      <c r="AE563" s="1129"/>
      <c r="AF563" s="1129"/>
      <c r="AG563" s="1129"/>
      <c r="AH563" s="1129"/>
      <c r="AI563" s="1129"/>
      <c r="AJ563" s="1129"/>
      <c r="AK563" s="1129"/>
      <c r="AL563" s="1129"/>
      <c r="AM563" s="1129"/>
      <c r="AN563" s="1129"/>
      <c r="AO563" s="1129"/>
      <c r="AP563" s="1129"/>
      <c r="AQ563" s="1129"/>
      <c r="AR563" s="1129"/>
      <c r="AS563" s="1129"/>
      <c r="AT563" s="1129"/>
      <c r="AU563" s="1129"/>
      <c r="AV563" s="1129"/>
      <c r="AW563" s="1129"/>
      <c r="AX563" s="1129"/>
      <c r="AY563" s="1129"/>
      <c r="AZ563" s="1129"/>
      <c r="BA563" s="1129"/>
      <c r="BB563" s="1129"/>
      <c r="BC563" s="1129"/>
      <c r="BD563" s="1129"/>
      <c r="BE563" s="1129"/>
      <c r="BF563" s="1129"/>
      <c r="BG563" s="1129"/>
      <c r="BH563" s="1129"/>
      <c r="BI563" s="1129"/>
      <c r="BJ563" s="1129"/>
      <c r="BK563" s="1129"/>
      <c r="BL563" s="1129"/>
    </row>
    <row r="564">
      <c r="A564" s="1447"/>
      <c r="B564" s="1367"/>
      <c r="C564" s="1367"/>
      <c r="D564" s="1126"/>
      <c r="E564" s="1127"/>
      <c r="F564" s="1127"/>
      <c r="G564" s="1127"/>
      <c r="H564" s="1127"/>
      <c r="I564" s="1127"/>
      <c r="J564" s="1127"/>
      <c r="K564" s="1127"/>
      <c r="L564" s="1127"/>
      <c r="M564" s="1127"/>
      <c r="N564" s="1127"/>
      <c r="O564" s="1127"/>
      <c r="P564" s="1127"/>
      <c r="Q564" s="1127"/>
      <c r="R564" s="1127"/>
      <c r="S564" s="1127"/>
      <c r="T564" s="1127"/>
      <c r="U564" s="1127"/>
      <c r="V564" s="1127"/>
      <c r="W564" s="1127"/>
      <c r="X564" s="1127"/>
      <c r="Y564" s="1127"/>
      <c r="Z564" s="1127"/>
      <c r="AA564" s="1127"/>
      <c r="AB564" s="1129"/>
      <c r="AC564" s="1129"/>
      <c r="AD564" s="1129"/>
      <c r="AE564" s="1129"/>
      <c r="AF564" s="1129"/>
      <c r="AG564" s="1129"/>
      <c r="AH564" s="1129"/>
      <c r="AI564" s="1129"/>
      <c r="AJ564" s="1129"/>
      <c r="AK564" s="1129"/>
      <c r="AL564" s="1129"/>
      <c r="AM564" s="1129"/>
      <c r="AN564" s="1129"/>
      <c r="AO564" s="1129"/>
      <c r="AP564" s="1129"/>
      <c r="AQ564" s="1129"/>
      <c r="AR564" s="1129"/>
      <c r="AS564" s="1129"/>
      <c r="AT564" s="1129"/>
      <c r="AU564" s="1129"/>
      <c r="AV564" s="1129"/>
      <c r="AW564" s="1129"/>
      <c r="AX564" s="1129"/>
      <c r="AY564" s="1129"/>
      <c r="AZ564" s="1129"/>
      <c r="BA564" s="1129"/>
      <c r="BB564" s="1129"/>
      <c r="BC564" s="1129"/>
      <c r="BD564" s="1129"/>
      <c r="BE564" s="1129"/>
      <c r="BF564" s="1129"/>
      <c r="BG564" s="1129"/>
      <c r="BH564" s="1129"/>
      <c r="BI564" s="1129"/>
      <c r="BJ564" s="1129"/>
      <c r="BK564" s="1129"/>
      <c r="BL564" s="1129"/>
    </row>
    <row r="565">
      <c r="A565" s="1447"/>
      <c r="B565" s="1367"/>
      <c r="C565" s="1367"/>
      <c r="D565" s="1126"/>
      <c r="E565" s="1127"/>
      <c r="F565" s="1127"/>
      <c r="G565" s="1127"/>
      <c r="H565" s="1127"/>
      <c r="I565" s="1127"/>
      <c r="J565" s="1127"/>
      <c r="K565" s="1127"/>
      <c r="L565" s="1127"/>
      <c r="M565" s="1127"/>
      <c r="N565" s="1127"/>
      <c r="O565" s="1127"/>
      <c r="P565" s="1127"/>
      <c r="Q565" s="1127"/>
      <c r="R565" s="1127"/>
      <c r="S565" s="1127"/>
      <c r="T565" s="1127"/>
      <c r="U565" s="1127"/>
      <c r="V565" s="1127"/>
      <c r="W565" s="1127"/>
      <c r="X565" s="1127"/>
      <c r="Y565" s="1127"/>
      <c r="Z565" s="1127"/>
      <c r="AA565" s="1127"/>
      <c r="AB565" s="1129"/>
      <c r="AC565" s="1129"/>
      <c r="AD565" s="1129"/>
      <c r="AE565" s="1129"/>
      <c r="AF565" s="1129"/>
      <c r="AG565" s="1129"/>
      <c r="AH565" s="1129"/>
      <c r="AI565" s="1129"/>
      <c r="AJ565" s="1129"/>
      <c r="AK565" s="1129"/>
      <c r="AL565" s="1129"/>
      <c r="AM565" s="1129"/>
      <c r="AN565" s="1129"/>
      <c r="AO565" s="1129"/>
      <c r="AP565" s="1129"/>
      <c r="AQ565" s="1129"/>
      <c r="AR565" s="1129"/>
      <c r="AS565" s="1129"/>
      <c r="AT565" s="1129"/>
      <c r="AU565" s="1129"/>
      <c r="AV565" s="1129"/>
      <c r="AW565" s="1129"/>
      <c r="AX565" s="1129"/>
      <c r="AY565" s="1129"/>
      <c r="AZ565" s="1129"/>
      <c r="BA565" s="1129"/>
      <c r="BB565" s="1129"/>
      <c r="BC565" s="1129"/>
      <c r="BD565" s="1129"/>
      <c r="BE565" s="1129"/>
      <c r="BF565" s="1129"/>
      <c r="BG565" s="1129"/>
      <c r="BH565" s="1129"/>
      <c r="BI565" s="1129"/>
      <c r="BJ565" s="1129"/>
      <c r="BK565" s="1129"/>
      <c r="BL565" s="1129"/>
    </row>
    <row r="566">
      <c r="A566" s="1447"/>
      <c r="B566" s="1367"/>
      <c r="C566" s="1367"/>
      <c r="D566" s="1126"/>
      <c r="E566" s="1127"/>
      <c r="F566" s="1127"/>
      <c r="G566" s="1127"/>
      <c r="H566" s="1127"/>
      <c r="I566" s="1127"/>
      <c r="J566" s="1127"/>
      <c r="K566" s="1127"/>
      <c r="L566" s="1127"/>
      <c r="M566" s="1127"/>
      <c r="N566" s="1127"/>
      <c r="O566" s="1127"/>
      <c r="P566" s="1127"/>
      <c r="Q566" s="1127"/>
      <c r="R566" s="1127"/>
      <c r="S566" s="1127"/>
      <c r="T566" s="1127"/>
      <c r="U566" s="1127"/>
      <c r="V566" s="1127"/>
      <c r="W566" s="1127"/>
      <c r="X566" s="1127"/>
      <c r="Y566" s="1127"/>
      <c r="Z566" s="1127"/>
      <c r="AA566" s="1127"/>
      <c r="AB566" s="1129"/>
      <c r="AC566" s="1129"/>
      <c r="AD566" s="1129"/>
      <c r="AE566" s="1129"/>
      <c r="AF566" s="1129"/>
      <c r="AG566" s="1129"/>
      <c r="AH566" s="1129"/>
      <c r="AI566" s="1129"/>
      <c r="AJ566" s="1129"/>
      <c r="AK566" s="1129"/>
      <c r="AL566" s="1129"/>
      <c r="AM566" s="1129"/>
      <c r="AN566" s="1129"/>
      <c r="AO566" s="1129"/>
      <c r="AP566" s="1129"/>
      <c r="AQ566" s="1129"/>
      <c r="AR566" s="1129"/>
      <c r="AS566" s="1129"/>
      <c r="AT566" s="1129"/>
      <c r="AU566" s="1129"/>
      <c r="AV566" s="1129"/>
      <c r="AW566" s="1129"/>
      <c r="AX566" s="1129"/>
      <c r="AY566" s="1129"/>
      <c r="AZ566" s="1129"/>
      <c r="BA566" s="1129"/>
      <c r="BB566" s="1129"/>
      <c r="BC566" s="1129"/>
      <c r="BD566" s="1129"/>
      <c r="BE566" s="1129"/>
      <c r="BF566" s="1129"/>
      <c r="BG566" s="1129"/>
      <c r="BH566" s="1129"/>
      <c r="BI566" s="1129"/>
      <c r="BJ566" s="1129"/>
      <c r="BK566" s="1129"/>
      <c r="BL566" s="1129"/>
    </row>
    <row r="567">
      <c r="A567" s="1447"/>
      <c r="B567" s="1367"/>
      <c r="C567" s="1367"/>
      <c r="D567" s="1126"/>
      <c r="E567" s="1127"/>
      <c r="F567" s="1127"/>
      <c r="G567" s="1127"/>
      <c r="H567" s="1127"/>
      <c r="I567" s="1127"/>
      <c r="J567" s="1127"/>
      <c r="K567" s="1127"/>
      <c r="L567" s="1127"/>
      <c r="M567" s="1127"/>
      <c r="N567" s="1127"/>
      <c r="O567" s="1127"/>
      <c r="P567" s="1127"/>
      <c r="Q567" s="1127"/>
      <c r="R567" s="1127"/>
      <c r="S567" s="1127"/>
      <c r="T567" s="1127"/>
      <c r="U567" s="1127"/>
      <c r="V567" s="1127"/>
      <c r="W567" s="1127"/>
      <c r="X567" s="1127"/>
      <c r="Y567" s="1127"/>
      <c r="Z567" s="1127"/>
      <c r="AA567" s="1127"/>
      <c r="AB567" s="1129"/>
      <c r="AC567" s="1129"/>
      <c r="AD567" s="1129"/>
      <c r="AE567" s="1129"/>
      <c r="AF567" s="1129"/>
      <c r="AG567" s="1129"/>
      <c r="AH567" s="1129"/>
      <c r="AI567" s="1129"/>
      <c r="AJ567" s="1129"/>
      <c r="AK567" s="1129"/>
      <c r="AL567" s="1129"/>
      <c r="AM567" s="1129"/>
      <c r="AN567" s="1129"/>
      <c r="AO567" s="1129"/>
      <c r="AP567" s="1129"/>
      <c r="AQ567" s="1129"/>
      <c r="AR567" s="1129"/>
      <c r="AS567" s="1129"/>
      <c r="AT567" s="1129"/>
      <c r="AU567" s="1129"/>
      <c r="AV567" s="1129"/>
      <c r="AW567" s="1129"/>
      <c r="AX567" s="1129"/>
      <c r="AY567" s="1129"/>
      <c r="AZ567" s="1129"/>
      <c r="BA567" s="1129"/>
      <c r="BB567" s="1129"/>
      <c r="BC567" s="1129"/>
      <c r="BD567" s="1129"/>
      <c r="BE567" s="1129"/>
      <c r="BF567" s="1129"/>
      <c r="BG567" s="1129"/>
      <c r="BH567" s="1129"/>
      <c r="BI567" s="1129"/>
      <c r="BJ567" s="1129"/>
      <c r="BK567" s="1129"/>
      <c r="BL567" s="1129"/>
    </row>
    <row r="568">
      <c r="A568" s="1447"/>
      <c r="B568" s="1367"/>
      <c r="C568" s="1367"/>
      <c r="D568" s="1126"/>
      <c r="E568" s="1127"/>
      <c r="F568" s="1127"/>
      <c r="G568" s="1127"/>
      <c r="H568" s="1127"/>
      <c r="I568" s="1127"/>
      <c r="J568" s="1127"/>
      <c r="K568" s="1127"/>
      <c r="L568" s="1127"/>
      <c r="M568" s="1127"/>
      <c r="N568" s="1127"/>
      <c r="O568" s="1127"/>
      <c r="P568" s="1127"/>
      <c r="Q568" s="1127"/>
      <c r="R568" s="1127"/>
      <c r="S568" s="1127"/>
      <c r="T568" s="1127"/>
      <c r="U568" s="1127"/>
      <c r="V568" s="1127"/>
      <c r="W568" s="1127"/>
      <c r="X568" s="1127"/>
      <c r="Y568" s="1127"/>
      <c r="Z568" s="1127"/>
      <c r="AA568" s="1127"/>
      <c r="AB568" s="1129"/>
      <c r="AC568" s="1129"/>
      <c r="AD568" s="1129"/>
      <c r="AE568" s="1129"/>
      <c r="AF568" s="1129"/>
      <c r="AG568" s="1129"/>
      <c r="AH568" s="1129"/>
      <c r="AI568" s="1129"/>
      <c r="AJ568" s="1129"/>
      <c r="AK568" s="1129"/>
      <c r="AL568" s="1129"/>
      <c r="AM568" s="1129"/>
      <c r="AN568" s="1129"/>
      <c r="AO568" s="1129"/>
      <c r="AP568" s="1129"/>
      <c r="AQ568" s="1129"/>
      <c r="AR568" s="1129"/>
      <c r="AS568" s="1129"/>
      <c r="AT568" s="1129"/>
      <c r="AU568" s="1129"/>
      <c r="AV568" s="1129"/>
      <c r="AW568" s="1129"/>
      <c r="AX568" s="1129"/>
      <c r="AY568" s="1129"/>
      <c r="AZ568" s="1129"/>
      <c r="BA568" s="1129"/>
      <c r="BB568" s="1129"/>
      <c r="BC568" s="1129"/>
      <c r="BD568" s="1129"/>
      <c r="BE568" s="1129"/>
      <c r="BF568" s="1129"/>
      <c r="BG568" s="1129"/>
      <c r="BH568" s="1129"/>
      <c r="BI568" s="1129"/>
      <c r="BJ568" s="1129"/>
      <c r="BK568" s="1129"/>
      <c r="BL568" s="1129"/>
    </row>
    <row r="569">
      <c r="A569" s="1447"/>
      <c r="B569" s="1367"/>
      <c r="C569" s="1367"/>
      <c r="D569" s="1126"/>
      <c r="E569" s="1127"/>
      <c r="F569" s="1127"/>
      <c r="G569" s="1127"/>
      <c r="H569" s="1127"/>
      <c r="I569" s="1127"/>
      <c r="J569" s="1127"/>
      <c r="K569" s="1127"/>
      <c r="L569" s="1127"/>
      <c r="M569" s="1127"/>
      <c r="N569" s="1127"/>
      <c r="O569" s="1127"/>
      <c r="P569" s="1127"/>
      <c r="Q569" s="1127"/>
      <c r="R569" s="1127"/>
      <c r="S569" s="1127"/>
      <c r="T569" s="1127"/>
      <c r="U569" s="1127"/>
      <c r="V569" s="1127"/>
      <c r="W569" s="1127"/>
      <c r="X569" s="1127"/>
      <c r="Y569" s="1127"/>
      <c r="Z569" s="1127"/>
      <c r="AA569" s="1127"/>
      <c r="AB569" s="1129"/>
      <c r="AC569" s="1129"/>
      <c r="AD569" s="1129"/>
      <c r="AE569" s="1129"/>
      <c r="AF569" s="1129"/>
      <c r="AG569" s="1129"/>
      <c r="AH569" s="1129"/>
      <c r="AI569" s="1129"/>
      <c r="AJ569" s="1129"/>
      <c r="AK569" s="1129"/>
      <c r="AL569" s="1129"/>
      <c r="AM569" s="1129"/>
      <c r="AN569" s="1129"/>
      <c r="AO569" s="1129"/>
      <c r="AP569" s="1129"/>
      <c r="AQ569" s="1129"/>
      <c r="AR569" s="1129"/>
      <c r="AS569" s="1129"/>
      <c r="AT569" s="1129"/>
      <c r="AU569" s="1129"/>
      <c r="AV569" s="1129"/>
      <c r="AW569" s="1129"/>
      <c r="AX569" s="1129"/>
      <c r="AY569" s="1129"/>
      <c r="AZ569" s="1129"/>
      <c r="BA569" s="1129"/>
      <c r="BB569" s="1129"/>
      <c r="BC569" s="1129"/>
      <c r="BD569" s="1129"/>
      <c r="BE569" s="1129"/>
      <c r="BF569" s="1129"/>
      <c r="BG569" s="1129"/>
      <c r="BH569" s="1129"/>
      <c r="BI569" s="1129"/>
      <c r="BJ569" s="1129"/>
      <c r="BK569" s="1129"/>
      <c r="BL569" s="1129"/>
    </row>
    <row r="570">
      <c r="A570" s="1447"/>
      <c r="B570" s="1367"/>
      <c r="C570" s="1367"/>
      <c r="D570" s="1126"/>
      <c r="E570" s="1127"/>
      <c r="F570" s="1127"/>
      <c r="G570" s="1127"/>
      <c r="H570" s="1127"/>
      <c r="I570" s="1127"/>
      <c r="J570" s="1127"/>
      <c r="K570" s="1127"/>
      <c r="L570" s="1127"/>
      <c r="M570" s="1127"/>
      <c r="N570" s="1127"/>
      <c r="O570" s="1127"/>
      <c r="P570" s="1127"/>
      <c r="Q570" s="1127"/>
      <c r="R570" s="1127"/>
      <c r="S570" s="1127"/>
      <c r="T570" s="1127"/>
      <c r="U570" s="1127"/>
      <c r="V570" s="1127"/>
      <c r="W570" s="1127"/>
      <c r="X570" s="1127"/>
      <c r="Y570" s="1127"/>
      <c r="Z570" s="1127"/>
      <c r="AA570" s="1127"/>
      <c r="AB570" s="1129"/>
      <c r="AC570" s="1129"/>
      <c r="AD570" s="1129"/>
      <c r="AE570" s="1129"/>
      <c r="AF570" s="1129"/>
      <c r="AG570" s="1129"/>
      <c r="AH570" s="1129"/>
      <c r="AI570" s="1129"/>
      <c r="AJ570" s="1129"/>
      <c r="AK570" s="1129"/>
      <c r="AL570" s="1129"/>
      <c r="AM570" s="1129"/>
      <c r="AN570" s="1129"/>
      <c r="AO570" s="1129"/>
      <c r="AP570" s="1129"/>
      <c r="AQ570" s="1129"/>
      <c r="AR570" s="1129"/>
      <c r="AS570" s="1129"/>
      <c r="AT570" s="1129"/>
      <c r="AU570" s="1129"/>
      <c r="AV570" s="1129"/>
      <c r="AW570" s="1129"/>
      <c r="AX570" s="1129"/>
      <c r="AY570" s="1129"/>
      <c r="AZ570" s="1129"/>
      <c r="BA570" s="1129"/>
      <c r="BB570" s="1129"/>
      <c r="BC570" s="1129"/>
      <c r="BD570" s="1129"/>
      <c r="BE570" s="1129"/>
      <c r="BF570" s="1129"/>
      <c r="BG570" s="1129"/>
      <c r="BH570" s="1129"/>
      <c r="BI570" s="1129"/>
      <c r="BJ570" s="1129"/>
      <c r="BK570" s="1129"/>
      <c r="BL570" s="1129"/>
    </row>
    <row r="571">
      <c r="A571" s="1447"/>
      <c r="B571" s="1367"/>
      <c r="C571" s="1367"/>
      <c r="D571" s="1126"/>
      <c r="E571" s="1127"/>
      <c r="F571" s="1127"/>
      <c r="G571" s="1127"/>
      <c r="H571" s="1127"/>
      <c r="I571" s="1127"/>
      <c r="J571" s="1127"/>
      <c r="K571" s="1127"/>
      <c r="L571" s="1127"/>
      <c r="M571" s="1127"/>
      <c r="N571" s="1127"/>
      <c r="O571" s="1127"/>
      <c r="P571" s="1127"/>
      <c r="Q571" s="1127"/>
      <c r="R571" s="1127"/>
      <c r="S571" s="1127"/>
      <c r="T571" s="1127"/>
      <c r="U571" s="1127"/>
      <c r="V571" s="1127"/>
      <c r="W571" s="1127"/>
      <c r="X571" s="1127"/>
      <c r="Y571" s="1127"/>
      <c r="Z571" s="1127"/>
      <c r="AA571" s="1127"/>
      <c r="AB571" s="1129"/>
      <c r="AC571" s="1129"/>
      <c r="AD571" s="1129"/>
      <c r="AE571" s="1129"/>
      <c r="AF571" s="1129"/>
      <c r="AG571" s="1129"/>
      <c r="AH571" s="1129"/>
      <c r="AI571" s="1129"/>
      <c r="AJ571" s="1129"/>
      <c r="AK571" s="1129"/>
      <c r="AL571" s="1129"/>
      <c r="AM571" s="1129"/>
      <c r="AN571" s="1129"/>
      <c r="AO571" s="1129"/>
      <c r="AP571" s="1129"/>
      <c r="AQ571" s="1129"/>
      <c r="AR571" s="1129"/>
      <c r="AS571" s="1129"/>
      <c r="AT571" s="1129"/>
      <c r="AU571" s="1129"/>
      <c r="AV571" s="1129"/>
      <c r="AW571" s="1129"/>
      <c r="AX571" s="1129"/>
      <c r="AY571" s="1129"/>
      <c r="AZ571" s="1129"/>
      <c r="BA571" s="1129"/>
      <c r="BB571" s="1129"/>
      <c r="BC571" s="1129"/>
      <c r="BD571" s="1129"/>
      <c r="BE571" s="1129"/>
      <c r="BF571" s="1129"/>
      <c r="BG571" s="1129"/>
      <c r="BH571" s="1129"/>
      <c r="BI571" s="1129"/>
      <c r="BJ571" s="1129"/>
      <c r="BK571" s="1129"/>
      <c r="BL571" s="1129"/>
    </row>
    <row r="572">
      <c r="A572" s="1447"/>
      <c r="B572" s="1367"/>
      <c r="C572" s="1367"/>
      <c r="D572" s="1126"/>
      <c r="E572" s="1127"/>
      <c r="F572" s="1127"/>
      <c r="G572" s="1127"/>
      <c r="H572" s="1127"/>
      <c r="I572" s="1127"/>
      <c r="J572" s="1127"/>
      <c r="K572" s="1127"/>
      <c r="L572" s="1127"/>
      <c r="M572" s="1127"/>
      <c r="N572" s="1127"/>
      <c r="O572" s="1127"/>
      <c r="P572" s="1127"/>
      <c r="Q572" s="1127"/>
      <c r="R572" s="1127"/>
      <c r="S572" s="1127"/>
      <c r="T572" s="1127"/>
      <c r="U572" s="1127"/>
      <c r="V572" s="1127"/>
      <c r="W572" s="1127"/>
      <c r="X572" s="1127"/>
      <c r="Y572" s="1127"/>
      <c r="Z572" s="1127"/>
      <c r="AA572" s="1127"/>
      <c r="AB572" s="1129"/>
      <c r="AC572" s="1129"/>
      <c r="AD572" s="1129"/>
      <c r="AE572" s="1129"/>
      <c r="AF572" s="1129"/>
      <c r="AG572" s="1129"/>
      <c r="AH572" s="1129"/>
      <c r="AI572" s="1129"/>
      <c r="AJ572" s="1129"/>
      <c r="AK572" s="1129"/>
      <c r="AL572" s="1129"/>
      <c r="AM572" s="1129"/>
      <c r="AN572" s="1129"/>
      <c r="AO572" s="1129"/>
      <c r="AP572" s="1129"/>
      <c r="AQ572" s="1129"/>
      <c r="AR572" s="1129"/>
      <c r="AS572" s="1129"/>
      <c r="AT572" s="1129"/>
      <c r="AU572" s="1129"/>
      <c r="AV572" s="1129"/>
      <c r="AW572" s="1129"/>
      <c r="AX572" s="1129"/>
      <c r="AY572" s="1129"/>
      <c r="AZ572" s="1129"/>
      <c r="BA572" s="1129"/>
      <c r="BB572" s="1129"/>
      <c r="BC572" s="1129"/>
      <c r="BD572" s="1129"/>
      <c r="BE572" s="1129"/>
      <c r="BF572" s="1129"/>
      <c r="BG572" s="1129"/>
      <c r="BH572" s="1129"/>
      <c r="BI572" s="1129"/>
      <c r="BJ572" s="1129"/>
      <c r="BK572" s="1129"/>
      <c r="BL572" s="1129"/>
    </row>
    <row r="573">
      <c r="A573" s="1447"/>
      <c r="B573" s="1367"/>
      <c r="C573" s="1367"/>
      <c r="D573" s="1126"/>
      <c r="E573" s="1127"/>
      <c r="F573" s="1127"/>
      <c r="G573" s="1127"/>
      <c r="H573" s="1127"/>
      <c r="I573" s="1127"/>
      <c r="J573" s="1127"/>
      <c r="K573" s="1127"/>
      <c r="L573" s="1127"/>
      <c r="M573" s="1127"/>
      <c r="N573" s="1127"/>
      <c r="O573" s="1127"/>
      <c r="P573" s="1127"/>
      <c r="Q573" s="1127"/>
      <c r="R573" s="1127"/>
      <c r="S573" s="1127"/>
      <c r="T573" s="1127"/>
      <c r="U573" s="1127"/>
      <c r="V573" s="1127"/>
      <c r="W573" s="1127"/>
      <c r="X573" s="1127"/>
      <c r="Y573" s="1127"/>
      <c r="Z573" s="1127"/>
      <c r="AA573" s="1127"/>
      <c r="AB573" s="1129"/>
      <c r="AC573" s="1129"/>
      <c r="AD573" s="1129"/>
      <c r="AE573" s="1129"/>
      <c r="AF573" s="1129"/>
      <c r="AG573" s="1129"/>
      <c r="AH573" s="1129"/>
      <c r="AI573" s="1129"/>
      <c r="AJ573" s="1129"/>
      <c r="AK573" s="1129"/>
      <c r="AL573" s="1129"/>
      <c r="AM573" s="1129"/>
      <c r="AN573" s="1129"/>
      <c r="AO573" s="1129"/>
      <c r="AP573" s="1129"/>
      <c r="AQ573" s="1129"/>
      <c r="AR573" s="1129"/>
      <c r="AS573" s="1129"/>
      <c r="AT573" s="1129"/>
      <c r="AU573" s="1129"/>
      <c r="AV573" s="1129"/>
      <c r="AW573" s="1129"/>
      <c r="AX573" s="1129"/>
      <c r="AY573" s="1129"/>
      <c r="AZ573" s="1129"/>
      <c r="BA573" s="1129"/>
      <c r="BB573" s="1129"/>
      <c r="BC573" s="1129"/>
      <c r="BD573" s="1129"/>
      <c r="BE573" s="1129"/>
      <c r="BF573" s="1129"/>
      <c r="BG573" s="1129"/>
      <c r="BH573" s="1129"/>
      <c r="BI573" s="1129"/>
      <c r="BJ573" s="1129"/>
      <c r="BK573" s="1129"/>
      <c r="BL573" s="1129"/>
    </row>
    <row r="574">
      <c r="A574" s="1447"/>
      <c r="B574" s="1367"/>
      <c r="C574" s="1367"/>
      <c r="D574" s="1126"/>
      <c r="E574" s="1127"/>
      <c r="F574" s="1127"/>
      <c r="G574" s="1127"/>
      <c r="H574" s="1127"/>
      <c r="I574" s="1127"/>
      <c r="J574" s="1127"/>
      <c r="K574" s="1127"/>
      <c r="L574" s="1127"/>
      <c r="M574" s="1127"/>
      <c r="N574" s="1127"/>
      <c r="O574" s="1127"/>
      <c r="P574" s="1127"/>
      <c r="Q574" s="1127"/>
      <c r="R574" s="1127"/>
      <c r="S574" s="1127"/>
      <c r="T574" s="1127"/>
      <c r="U574" s="1127"/>
      <c r="V574" s="1127"/>
      <c r="W574" s="1127"/>
      <c r="X574" s="1127"/>
      <c r="Y574" s="1127"/>
      <c r="Z574" s="1127"/>
      <c r="AA574" s="1127"/>
      <c r="AB574" s="1129"/>
      <c r="AC574" s="1129"/>
      <c r="AD574" s="1129"/>
      <c r="AE574" s="1129"/>
      <c r="AF574" s="1129"/>
      <c r="AG574" s="1129"/>
      <c r="AH574" s="1129"/>
      <c r="AI574" s="1129"/>
      <c r="AJ574" s="1129"/>
      <c r="AK574" s="1129"/>
      <c r="AL574" s="1129"/>
      <c r="AM574" s="1129"/>
      <c r="AN574" s="1129"/>
      <c r="AO574" s="1129"/>
      <c r="AP574" s="1129"/>
      <c r="AQ574" s="1129"/>
      <c r="AR574" s="1129"/>
      <c r="AS574" s="1129"/>
      <c r="AT574" s="1129"/>
      <c r="AU574" s="1129"/>
      <c r="AV574" s="1129"/>
      <c r="AW574" s="1129"/>
      <c r="AX574" s="1129"/>
      <c r="AY574" s="1129"/>
      <c r="AZ574" s="1129"/>
      <c r="BA574" s="1129"/>
      <c r="BB574" s="1129"/>
      <c r="BC574" s="1129"/>
      <c r="BD574" s="1129"/>
      <c r="BE574" s="1129"/>
      <c r="BF574" s="1129"/>
      <c r="BG574" s="1129"/>
      <c r="BH574" s="1129"/>
      <c r="BI574" s="1129"/>
      <c r="BJ574" s="1129"/>
      <c r="BK574" s="1129"/>
      <c r="BL574" s="1129"/>
    </row>
    <row r="575">
      <c r="A575" s="1447"/>
      <c r="B575" s="1367"/>
      <c r="C575" s="1367"/>
      <c r="D575" s="1126"/>
      <c r="E575" s="1127"/>
      <c r="F575" s="1127"/>
      <c r="G575" s="1127"/>
      <c r="H575" s="1127"/>
      <c r="I575" s="1127"/>
      <c r="J575" s="1127"/>
      <c r="K575" s="1127"/>
      <c r="L575" s="1127"/>
      <c r="M575" s="1127"/>
      <c r="N575" s="1127"/>
      <c r="O575" s="1127"/>
      <c r="P575" s="1127"/>
      <c r="Q575" s="1127"/>
      <c r="R575" s="1127"/>
      <c r="S575" s="1127"/>
      <c r="T575" s="1127"/>
      <c r="U575" s="1127"/>
      <c r="V575" s="1127"/>
      <c r="W575" s="1127"/>
      <c r="X575" s="1127"/>
      <c r="Y575" s="1127"/>
      <c r="Z575" s="1127"/>
      <c r="AA575" s="1127"/>
      <c r="AB575" s="1129"/>
      <c r="AC575" s="1129"/>
      <c r="AD575" s="1129"/>
      <c r="AE575" s="1129"/>
      <c r="AF575" s="1129"/>
      <c r="AG575" s="1129"/>
      <c r="AH575" s="1129"/>
      <c r="AI575" s="1129"/>
      <c r="AJ575" s="1129"/>
      <c r="AK575" s="1129"/>
      <c r="AL575" s="1129"/>
      <c r="AM575" s="1129"/>
      <c r="AN575" s="1129"/>
      <c r="AO575" s="1129"/>
      <c r="AP575" s="1129"/>
      <c r="AQ575" s="1129"/>
      <c r="AR575" s="1129"/>
      <c r="AS575" s="1129"/>
      <c r="AT575" s="1129"/>
      <c r="AU575" s="1129"/>
      <c r="AV575" s="1129"/>
      <c r="AW575" s="1129"/>
      <c r="AX575" s="1129"/>
      <c r="AY575" s="1129"/>
      <c r="AZ575" s="1129"/>
      <c r="BA575" s="1129"/>
      <c r="BB575" s="1129"/>
      <c r="BC575" s="1129"/>
      <c r="BD575" s="1129"/>
      <c r="BE575" s="1129"/>
      <c r="BF575" s="1129"/>
      <c r="BG575" s="1129"/>
      <c r="BH575" s="1129"/>
      <c r="BI575" s="1129"/>
      <c r="BJ575" s="1129"/>
      <c r="BK575" s="1129"/>
      <c r="BL575" s="1129"/>
    </row>
  </sheetData>
  <mergeCells count="309">
    <mergeCell ref="B429:C429"/>
    <mergeCell ref="B428:C428"/>
    <mergeCell ref="B426:C426"/>
    <mergeCell ref="B427:C427"/>
    <mergeCell ref="A476:A487"/>
    <mergeCell ref="A462:A469"/>
    <mergeCell ref="A473:C473"/>
    <mergeCell ref="A475:C475"/>
    <mergeCell ref="B465:C465"/>
    <mergeCell ref="B466:C466"/>
    <mergeCell ref="B467:C467"/>
    <mergeCell ref="B469:C469"/>
    <mergeCell ref="B468:C468"/>
    <mergeCell ref="A470:C470"/>
    <mergeCell ref="A472:C472"/>
    <mergeCell ref="A430:C430"/>
    <mergeCell ref="A432:C432"/>
    <mergeCell ref="B463:C463"/>
    <mergeCell ref="B462:C462"/>
    <mergeCell ref="A540:A552"/>
    <mergeCell ref="A522:A539"/>
    <mergeCell ref="B511:C511"/>
    <mergeCell ref="B512:C512"/>
    <mergeCell ref="B554:C554"/>
    <mergeCell ref="B555:C555"/>
    <mergeCell ref="B514:C514"/>
    <mergeCell ref="A508:A515"/>
    <mergeCell ref="B513:C513"/>
    <mergeCell ref="A519:C519"/>
    <mergeCell ref="A521:C521"/>
    <mergeCell ref="B510:C510"/>
    <mergeCell ref="B508:C508"/>
    <mergeCell ref="B509:C509"/>
    <mergeCell ref="B556:C556"/>
    <mergeCell ref="B553:C553"/>
    <mergeCell ref="B515:C515"/>
    <mergeCell ref="A516:C516"/>
    <mergeCell ref="A518:C518"/>
    <mergeCell ref="A205:A216"/>
    <mergeCell ref="A190:A204"/>
    <mergeCell ref="A328:A340"/>
    <mergeCell ref="A314:A327"/>
    <mergeCell ref="A292:A302"/>
    <mergeCell ref="A303:A310"/>
    <mergeCell ref="A269:A291"/>
    <mergeCell ref="A352:A367"/>
    <mergeCell ref="A341:A348"/>
    <mergeCell ref="A115:A131"/>
    <mergeCell ref="A179:A186"/>
    <mergeCell ref="A488:A507"/>
    <mergeCell ref="A219:A226"/>
    <mergeCell ref="A20:A29"/>
    <mergeCell ref="A30:A37"/>
    <mergeCell ref="A103:A110"/>
    <mergeCell ref="A93:A102"/>
    <mergeCell ref="A56:A65"/>
    <mergeCell ref="A41:A55"/>
    <mergeCell ref="A77:A92"/>
    <mergeCell ref="A66:A73"/>
    <mergeCell ref="A5:A19"/>
    <mergeCell ref="B31:C31"/>
    <mergeCell ref="B32:C32"/>
    <mergeCell ref="B30:C30"/>
    <mergeCell ref="B36:C36"/>
    <mergeCell ref="A40:C40"/>
    <mergeCell ref="A38:C38"/>
    <mergeCell ref="B37:C37"/>
    <mergeCell ref="B34:C34"/>
    <mergeCell ref="B35:C35"/>
    <mergeCell ref="B33:C33"/>
    <mergeCell ref="B68:C68"/>
    <mergeCell ref="B67:C67"/>
    <mergeCell ref="B66:C66"/>
    <mergeCell ref="B72:C72"/>
    <mergeCell ref="B71:C71"/>
    <mergeCell ref="A111:C111"/>
    <mergeCell ref="A112:C112"/>
    <mergeCell ref="B73:C73"/>
    <mergeCell ref="B69:C69"/>
    <mergeCell ref="A76:C76"/>
    <mergeCell ref="B70:C70"/>
    <mergeCell ref="A74:C74"/>
    <mergeCell ref="A149:C149"/>
    <mergeCell ref="A151:C151"/>
    <mergeCell ref="B185:C185"/>
    <mergeCell ref="B186:C186"/>
    <mergeCell ref="A189:C189"/>
    <mergeCell ref="A187:C187"/>
    <mergeCell ref="B422:C422"/>
    <mergeCell ref="B423:C423"/>
    <mergeCell ref="B557:C557"/>
    <mergeCell ref="B560:C560"/>
    <mergeCell ref="B559:C559"/>
    <mergeCell ref="A553:A560"/>
    <mergeCell ref="B558:C558"/>
    <mergeCell ref="B226:C226"/>
    <mergeCell ref="A229:C229"/>
    <mergeCell ref="A227:C227"/>
    <mergeCell ref="B258:C258"/>
    <mergeCell ref="B223:C223"/>
    <mergeCell ref="A268:C268"/>
    <mergeCell ref="A230:A245"/>
    <mergeCell ref="A246:A257"/>
    <mergeCell ref="A258:A265"/>
    <mergeCell ref="B219:C219"/>
    <mergeCell ref="A266:C266"/>
    <mergeCell ref="B308:C308"/>
    <mergeCell ref="B307:C307"/>
    <mergeCell ref="B304:C304"/>
    <mergeCell ref="B305:C305"/>
    <mergeCell ref="B303:C303"/>
    <mergeCell ref="B306:C306"/>
    <mergeCell ref="B345:C345"/>
    <mergeCell ref="A351:C351"/>
    <mergeCell ref="A349:C349"/>
    <mergeCell ref="B348:C348"/>
    <mergeCell ref="A311:C311"/>
    <mergeCell ref="B310:C310"/>
    <mergeCell ref="B309:C309"/>
    <mergeCell ref="A313:C313"/>
    <mergeCell ref="A141:A148"/>
    <mergeCell ref="D174:V174"/>
    <mergeCell ref="D149:T149"/>
    <mergeCell ref="A132:A140"/>
    <mergeCell ref="S248:AE248"/>
    <mergeCell ref="L245:AE245"/>
    <mergeCell ref="S242:AE242"/>
    <mergeCell ref="D247:R247"/>
    <mergeCell ref="D244:R244"/>
    <mergeCell ref="D242:K242"/>
    <mergeCell ref="B179:C179"/>
    <mergeCell ref="B182:C182"/>
    <mergeCell ref="A114:C114"/>
    <mergeCell ref="B147:C147"/>
    <mergeCell ref="B144:C144"/>
    <mergeCell ref="A152:A165"/>
    <mergeCell ref="A166:A178"/>
    <mergeCell ref="D219:T219"/>
    <mergeCell ref="D228:AE228"/>
    <mergeCell ref="D266:BD266"/>
    <mergeCell ref="D267:AN267"/>
    <mergeCell ref="D273:AA273"/>
    <mergeCell ref="D275:U275"/>
    <mergeCell ref="AC275:AN278"/>
    <mergeCell ref="AB276:AB278"/>
    <mergeCell ref="V278:AA278"/>
    <mergeCell ref="U179:AH179"/>
    <mergeCell ref="D179:T179"/>
    <mergeCell ref="D187:BD187"/>
    <mergeCell ref="D227:BD227"/>
    <mergeCell ref="D188:T188"/>
    <mergeCell ref="D258:T258"/>
    <mergeCell ref="D274:AB274"/>
    <mergeCell ref="L130:S130"/>
    <mergeCell ref="T129:AB129"/>
    <mergeCell ref="X149:AK149"/>
    <mergeCell ref="D111:BL111"/>
    <mergeCell ref="D103:BL103"/>
    <mergeCell ref="D112:BD112"/>
    <mergeCell ref="G487:AL487"/>
    <mergeCell ref="D462:AK462"/>
    <mergeCell ref="D472:L472"/>
    <mergeCell ref="D474:AL474"/>
    <mergeCell ref="D471:L471"/>
    <mergeCell ref="D470:L470"/>
    <mergeCell ref="D485:AB485"/>
    <mergeCell ref="D439:AA439"/>
    <mergeCell ref="Z441:AK443"/>
    <mergeCell ref="D527:Q527"/>
    <mergeCell ref="D525:M525"/>
    <mergeCell ref="D526:Q526"/>
    <mergeCell ref="D405:U405"/>
    <mergeCell ref="D412:Y412"/>
    <mergeCell ref="R550:AA550"/>
    <mergeCell ref="D548:Q548"/>
    <mergeCell ref="N528:Q528"/>
    <mergeCell ref="D553:AA553"/>
    <mergeCell ref="T539:AA539"/>
    <mergeCell ref="D538:S538"/>
    <mergeCell ref="N535:AA535"/>
    <mergeCell ref="AB520:AL560"/>
    <mergeCell ref="D532:M532"/>
    <mergeCell ref="D490:V490"/>
    <mergeCell ref="D496:AB496"/>
    <mergeCell ref="D391:AL391"/>
    <mergeCell ref="W491:AL491"/>
    <mergeCell ref="D397:AH397"/>
    <mergeCell ref="D382:AK382"/>
    <mergeCell ref="D380:T380"/>
    <mergeCell ref="D451:Y453"/>
    <mergeCell ref="D520:AA520"/>
    <mergeCell ref="D518:L518"/>
    <mergeCell ref="B341:C341"/>
    <mergeCell ref="B262:C262"/>
    <mergeCell ref="B263:C263"/>
    <mergeCell ref="B265:C265"/>
    <mergeCell ref="B264:C264"/>
    <mergeCell ref="B259:C259"/>
    <mergeCell ref="B220:C220"/>
    <mergeCell ref="B347:C347"/>
    <mergeCell ref="B346:C346"/>
    <mergeCell ref="B344:C344"/>
    <mergeCell ref="B343:C343"/>
    <mergeCell ref="B342:C342"/>
    <mergeCell ref="B386:C386"/>
    <mergeCell ref="B385:C385"/>
    <mergeCell ref="B384:C384"/>
    <mergeCell ref="B383:C383"/>
    <mergeCell ref="B382:C382"/>
    <mergeCell ref="B387:C387"/>
    <mergeCell ref="U365:AY367"/>
    <mergeCell ref="G364:AY364"/>
    <mergeCell ref="N365:T366"/>
    <mergeCell ref="D341:AL341"/>
    <mergeCell ref="D350:AK350"/>
    <mergeCell ref="D367:M367"/>
    <mergeCell ref="D360:M360"/>
    <mergeCell ref="D362:F362"/>
    <mergeCell ref="D349:BD349"/>
    <mergeCell ref="AC499:AL499"/>
    <mergeCell ref="D500:V502"/>
    <mergeCell ref="M516:AL518"/>
    <mergeCell ref="D516:L516"/>
    <mergeCell ref="D517:L517"/>
    <mergeCell ref="R528:AA530"/>
    <mergeCell ref="D519:AL519"/>
    <mergeCell ref="W505:AL507"/>
    <mergeCell ref="D508:AL508"/>
    <mergeCell ref="AM474:BD560"/>
    <mergeCell ref="AC486:AL486"/>
    <mergeCell ref="D484:F484"/>
    <mergeCell ref="M470:BD472"/>
    <mergeCell ref="D473:BD473"/>
    <mergeCell ref="D376:AA376"/>
    <mergeCell ref="AB377:AK377"/>
    <mergeCell ref="AL377:AX377"/>
    <mergeCell ref="D415:AD415"/>
    <mergeCell ref="D422:AL422"/>
    <mergeCell ref="AE414:AY414"/>
    <mergeCell ref="AH400:AY400"/>
    <mergeCell ref="AI398:AY398"/>
    <mergeCell ref="D390:BD390"/>
    <mergeCell ref="Z411:AY411"/>
    <mergeCell ref="V406:AY406"/>
    <mergeCell ref="AB440:AK440"/>
    <mergeCell ref="D431:AK431"/>
    <mergeCell ref="D430:BD430"/>
    <mergeCell ref="U340:BD340"/>
    <mergeCell ref="AA339:BD339"/>
    <mergeCell ref="D336:Z336"/>
    <mergeCell ref="A368:A381"/>
    <mergeCell ref="A448:A461"/>
    <mergeCell ref="A433:A447"/>
    <mergeCell ref="A408:A421"/>
    <mergeCell ref="A393:A407"/>
    <mergeCell ref="A382:A389"/>
    <mergeCell ref="A422:A429"/>
    <mergeCell ref="B389:C389"/>
    <mergeCell ref="A392:C392"/>
    <mergeCell ref="B388:C388"/>
    <mergeCell ref="A390:C390"/>
    <mergeCell ref="B425:C425"/>
    <mergeCell ref="B464:C464"/>
    <mergeCell ref="B424:C424"/>
    <mergeCell ref="D293:U293"/>
    <mergeCell ref="D298:M298"/>
    <mergeCell ref="N301:AB301"/>
    <mergeCell ref="D299:AB299"/>
    <mergeCell ref="D285:AH285"/>
    <mergeCell ref="D284:AB284"/>
    <mergeCell ref="AC287:BD287"/>
    <mergeCell ref="V294:AN294"/>
    <mergeCell ref="D290:U290"/>
    <mergeCell ref="D311:BD311"/>
    <mergeCell ref="D303:AN303"/>
    <mergeCell ref="D312:AL312"/>
    <mergeCell ref="D321:Z321"/>
    <mergeCell ref="D38:BL38"/>
    <mergeCell ref="D39:BL39"/>
    <mergeCell ref="L30:T30"/>
    <mergeCell ref="L66:T66"/>
    <mergeCell ref="D74:BL74"/>
    <mergeCell ref="D75:BL75"/>
    <mergeCell ref="B107:C107"/>
    <mergeCell ref="B105:C105"/>
    <mergeCell ref="B104:C104"/>
    <mergeCell ref="B103:C103"/>
    <mergeCell ref="B106:C106"/>
    <mergeCell ref="D3:BL3"/>
    <mergeCell ref="A4:C4"/>
    <mergeCell ref="B181:C181"/>
    <mergeCell ref="B180:C180"/>
    <mergeCell ref="B146:C146"/>
    <mergeCell ref="B148:C148"/>
    <mergeCell ref="B221:C221"/>
    <mergeCell ref="B222:C222"/>
    <mergeCell ref="B225:C225"/>
    <mergeCell ref="B224:C224"/>
    <mergeCell ref="B261:C261"/>
    <mergeCell ref="B260:C260"/>
    <mergeCell ref="B184:C184"/>
    <mergeCell ref="B183:C183"/>
    <mergeCell ref="B145:C145"/>
    <mergeCell ref="B108:C108"/>
    <mergeCell ref="B109:C109"/>
    <mergeCell ref="B110:C110"/>
    <mergeCell ref="B143:C143"/>
    <mergeCell ref="B141:C141"/>
    <mergeCell ref="B142:C142"/>
  </mergeCells>
  <conditionalFormatting sqref="D479 E479:I479 K479:X479 J479">
    <cfRule type="containsText" dxfId="4" priority="1" operator="containsText" text="N.v.t.">
      <formula>NOT(ISERROR(SEARCH(("N.v.t."),(D479))))</formula>
    </cfRule>
  </conditionalFormatting>
  <conditionalFormatting sqref="D479:I479 K479:X479 J479">
    <cfRule type="cellIs" dxfId="0" priority="2" operator="equal">
      <formula>"SO"</formula>
    </cfRule>
  </conditionalFormatting>
  <conditionalFormatting sqref="D1:F374 G1:K149 L1:L82 M1:W149 X1:X148 Y1:AK149 AL1:AM575 AN1:AN356 AO1:BL575 B82:C92 L84:L149 B98:C102 B120:C124 B126:C127 B129:B140 C131 C134:C140 G151:M374 N151:N267 O151:AB374 AC151:AC267 AD151:AD374 AE151:AF267 AG151:AK575 B159 B164:C165 B168:C168 B177:C178 N269:N374 AC269:AC374 AE269:AE374 AF269:AF575 AN358:AN575 D376:L475 M376:Q575 R376:R434 S376:V575 W376:Y434 Z376:AE575 R436:R575 W436:Y575 D477:L575">
    <cfRule type="containsText" dxfId="3" priority="3" operator="containsText" text="Tegen">
      <formula>NOT(ISERROR(SEARCH(("Tegen"),(D1))))</formula>
    </cfRule>
  </conditionalFormatting>
  <conditionalFormatting sqref="D1:F374 G1:K149 L1:L82 M1:W149 X1:X148 Y1:AK149 AL1:AM575 AN1:AN356 AO1:BL575 B82:C92 L84:L149 B98:C102 B120:C124 B126:C127 B129:B140 C131 C134:C140 G151:M374 N151:N267 O151:AB374 AC151:AC267 AD151:AD374 AE151:AF267 AG151:AK575 B159 B164:C165 B168:C168 B177:C178 N269:N374 AC269:AC374 AE269:AE374 AF269:AF575 AN358:AN575 D376:L475 M376:Q575 R376:R434 S376:V575 W376:Y434 Z376:AE575 R436:R575 W436:Y575 D477:L575">
    <cfRule type="containsText" dxfId="2" priority="4" operator="containsText" text="Voor">
      <formula>NOT(ISERROR(SEARCH(("Voor"),(D1))))</formula>
    </cfRule>
  </conditionalFormatting>
  <conditionalFormatting sqref="D1:F374 G1:K149 L1:L82 M1:W149 X1:X148 Y1:AK149 AL1:AM575 AN1:AN356 AO1:BL575 B82:C92 L84:L149 B98:C102 B120:C124 B126:C127 B129:B140 C131 C134:C140 G151:M374 N151:N267 O151:AB374 AC151:AC267 AD151:AD374 AE151:AF267 AG151:AK575 B159 B164:C165 B168:C168 B177:C178 N269:N374 AC269:AC374 AE269:AE374 AF269:AF575 AN358:AN575 D376:L475 M376:Q575 R376:R434 S376:V575 W376:Y434 Z376:AE575 R436:R575 W436:Y575 D477:L575">
    <cfRule type="containsText" dxfId="0" priority="5" operator="containsText" text="SO">
      <formula>NOT(ISERROR(SEARCH(("SO"),(D1))))</formula>
    </cfRule>
  </conditionalFormatting>
  <conditionalFormatting sqref="D1:F374 G1:K149 L1:L82 M1:W149 X1:X148 Y1:AK149 AL1:AM575 AN1:AN356 AO1:BL575 B82:C92 L84:L149 B98:C102 B120:C124 B126:C127 B129:B140 C131 C134:C140 G151:M374 N151:N267 O151:AB374 AC151:AC267 AD151:AD374 AE151:AF267 AG151:AK575 B159 B164:C165 B168:C168 B177:C178 N269:N374 AC269:AC374 AE269:AE374 AF269:AF575 AN358:AN575 D376:L475 M376:Q575 R376:R434 S376:V575 W376:Y434 Z376:AE575 R436:R575 W436:Y575 D477:L575">
    <cfRule type="cellIs" dxfId="5" priority="6" operator="equal">
      <formula>"NG"</formula>
    </cfRule>
  </conditionalFormatting>
  <conditionalFormatting sqref="D1:F374 G1:K149 L1:L82 M1:W149 X1:X148 Y1:AK149 AL1:AM575 AN1:AN356 AO1:BL575 B82:C92 L84:L149 B98:C102 B120:C124 B126:C127 B129:B140 C131 C134:C140 G151:M374 N151:N267 O151:AB374 AC151:AC267 AD151:AD374 AE151:AF267 AG151:AK575 B159 B164:C165 B168:C168 B177:C178 N269:N374 AC269:AC374 AE269:AE374 AF269:AF575 AN358:AN575 D376:L475 M376:Q575 R376:R434 S376:V575 W376:Y434 Z376:AE575 R436:R575 W436:Y575 D477:L575">
    <cfRule type="containsText" dxfId="1" priority="7" operator="containsText" text="N.v.t.">
      <formula>NOT(ISERROR(SEARCH(("N.v.t."),(D1))))</formula>
    </cfRule>
  </conditionalFormatting>
  <conditionalFormatting sqref="AE375">
    <cfRule type="containsText" dxfId="2" priority="8" operator="containsText" text="Voor">
      <formula>NOT(ISERROR(SEARCH(("Voor"),(AE375))))</formula>
    </cfRule>
  </conditionalFormatting>
  <conditionalFormatting sqref="AN357">
    <cfRule type="containsText" dxfId="3" priority="9" operator="containsText" text="Tegen">
      <formula>NOT(ISERROR(SEARCH(("Tegen"),(AN357))))</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2" max="2" width="19.43"/>
    <col customWidth="1" min="4" max="23" width="8.29"/>
  </cols>
  <sheetData>
    <row r="1" ht="14.25" customHeight="1">
      <c r="A1" s="1448"/>
      <c r="B1" s="1448"/>
      <c r="C1" s="1448"/>
      <c r="D1" s="1448"/>
      <c r="E1" s="7"/>
      <c r="F1" s="7"/>
      <c r="G1" s="7"/>
      <c r="H1" s="7"/>
      <c r="I1" s="7"/>
      <c r="J1" s="1131"/>
      <c r="K1" s="1131"/>
      <c r="L1" s="1131"/>
      <c r="M1" s="1131"/>
      <c r="N1" s="1131"/>
      <c r="O1" s="1131"/>
      <c r="P1" s="1131"/>
      <c r="Q1" s="1131"/>
      <c r="R1" s="1131"/>
      <c r="S1" s="1131"/>
      <c r="T1" s="1131"/>
      <c r="U1" s="1131"/>
      <c r="V1" s="1131"/>
      <c r="W1" s="1131"/>
    </row>
    <row r="2" ht="14.25" customHeight="1">
      <c r="A2" s="1449"/>
      <c r="B2" s="1450" t="s">
        <v>1170</v>
      </c>
      <c r="C2" s="1450" t="s">
        <v>7</v>
      </c>
      <c r="D2" s="1451"/>
      <c r="E2" s="3"/>
      <c r="F2" s="7"/>
      <c r="G2" s="7"/>
      <c r="H2" s="7"/>
      <c r="I2" s="7"/>
      <c r="J2" s="7"/>
      <c r="K2" s="7"/>
      <c r="L2" s="7"/>
      <c r="M2" s="7"/>
      <c r="N2" s="7"/>
      <c r="O2" s="7"/>
      <c r="P2" s="7"/>
      <c r="Q2" s="7"/>
      <c r="R2" s="7"/>
      <c r="S2" s="7"/>
      <c r="T2" s="7"/>
      <c r="U2" s="7"/>
      <c r="V2" s="7"/>
      <c r="W2" s="7"/>
    </row>
    <row r="3" ht="14.25" customHeight="1">
      <c r="A3" s="1452" t="s">
        <v>591</v>
      </c>
      <c r="B3" s="390"/>
      <c r="C3" s="1453"/>
      <c r="D3" s="1454" t="s">
        <v>130</v>
      </c>
      <c r="E3" s="7"/>
      <c r="F3" s="7"/>
      <c r="G3" s="7"/>
      <c r="H3" s="7"/>
      <c r="I3" s="7"/>
      <c r="J3" s="7"/>
      <c r="K3" s="7"/>
      <c r="L3" s="7"/>
      <c r="M3" s="7"/>
      <c r="N3" s="7"/>
      <c r="O3" s="7"/>
      <c r="P3" s="7"/>
      <c r="Q3" s="7"/>
      <c r="R3" s="7"/>
      <c r="S3" s="7"/>
      <c r="T3" s="7"/>
      <c r="U3" s="7"/>
      <c r="V3" s="7"/>
      <c r="W3" s="7"/>
    </row>
    <row r="4" ht="14.25" customHeight="1">
      <c r="A4" s="1447" t="s">
        <v>1333</v>
      </c>
      <c r="B4" s="740" t="s">
        <v>1334</v>
      </c>
      <c r="C4" s="1455" t="s">
        <v>12</v>
      </c>
      <c r="D4" s="1456" t="s">
        <v>69</v>
      </c>
      <c r="E4" s="7"/>
      <c r="F4" s="7"/>
      <c r="G4" s="7"/>
      <c r="H4" s="7"/>
      <c r="I4" s="7"/>
      <c r="J4" s="7"/>
      <c r="K4" s="7"/>
      <c r="L4" s="7"/>
      <c r="M4" s="7"/>
      <c r="N4" s="7"/>
      <c r="O4" s="7"/>
      <c r="P4" s="7"/>
      <c r="Q4" s="7"/>
      <c r="R4" s="7"/>
      <c r="S4" s="7"/>
      <c r="T4" s="7"/>
      <c r="U4" s="7"/>
      <c r="V4" s="7"/>
      <c r="W4" s="7"/>
    </row>
    <row r="5" ht="14.25" customHeight="1">
      <c r="B5" s="861" t="s">
        <v>141</v>
      </c>
      <c r="C5" s="1457" t="s">
        <v>21</v>
      </c>
      <c r="D5" s="1456" t="s">
        <v>69</v>
      </c>
      <c r="E5" s="7"/>
      <c r="F5" s="7"/>
      <c r="G5" s="7"/>
      <c r="H5" s="7"/>
      <c r="I5" s="7"/>
      <c r="J5" s="7"/>
      <c r="K5" s="7"/>
      <c r="L5" s="7"/>
      <c r="M5" s="7"/>
      <c r="N5" s="7"/>
      <c r="O5" s="7"/>
      <c r="P5" s="7"/>
      <c r="Q5" s="7"/>
      <c r="R5" s="7"/>
      <c r="S5" s="7"/>
      <c r="T5" s="7"/>
      <c r="U5" s="7"/>
      <c r="V5" s="7"/>
      <c r="W5" s="7"/>
    </row>
    <row r="6" ht="14.25" customHeight="1">
      <c r="B6" s="1458" t="s">
        <v>142</v>
      </c>
      <c r="C6" s="1459" t="s">
        <v>23</v>
      </c>
      <c r="D6" s="1456" t="s">
        <v>69</v>
      </c>
      <c r="E6" s="7"/>
      <c r="F6" s="7"/>
      <c r="G6" s="7"/>
      <c r="H6" s="7"/>
      <c r="I6" s="7"/>
      <c r="J6" s="7"/>
      <c r="K6" s="7"/>
      <c r="L6" s="7"/>
      <c r="M6" s="7"/>
      <c r="N6" s="7"/>
      <c r="O6" s="7"/>
      <c r="P6" s="7"/>
      <c r="Q6" s="7"/>
      <c r="R6" s="7"/>
      <c r="S6" s="7"/>
      <c r="T6" s="7"/>
      <c r="U6" s="7"/>
      <c r="V6" s="7"/>
      <c r="W6" s="7"/>
    </row>
    <row r="7" ht="14.25" customHeight="1">
      <c r="B7" s="1460" t="s">
        <v>53</v>
      </c>
      <c r="C7" s="1461" t="s">
        <v>25</v>
      </c>
      <c r="D7" s="1456" t="s">
        <v>69</v>
      </c>
      <c r="E7" s="7"/>
      <c r="F7" s="7"/>
      <c r="G7" s="7"/>
      <c r="H7" s="7"/>
      <c r="I7" s="7"/>
      <c r="J7" s="7"/>
      <c r="K7" s="7"/>
      <c r="L7" s="7"/>
      <c r="M7" s="7"/>
      <c r="N7" s="7"/>
      <c r="O7" s="7"/>
      <c r="P7" s="7"/>
      <c r="Q7" s="7"/>
      <c r="R7" s="7"/>
      <c r="S7" s="7"/>
      <c r="T7" s="7"/>
      <c r="U7" s="7"/>
      <c r="V7" s="7"/>
      <c r="W7" s="7"/>
    </row>
    <row r="8" ht="14.25" customHeight="1">
      <c r="A8" s="1447" t="s">
        <v>1335</v>
      </c>
      <c r="B8" s="1462" t="s">
        <v>144</v>
      </c>
      <c r="C8" s="1463" t="s">
        <v>15</v>
      </c>
      <c r="D8" s="1456" t="s">
        <v>70</v>
      </c>
      <c r="E8" s="7"/>
      <c r="F8" s="7"/>
      <c r="G8" s="7"/>
      <c r="H8" s="7"/>
      <c r="I8" s="7"/>
      <c r="J8" s="7"/>
      <c r="K8" s="7"/>
      <c r="L8" s="7"/>
      <c r="M8" s="7"/>
      <c r="N8" s="7"/>
      <c r="O8" s="7"/>
      <c r="P8" s="7"/>
      <c r="Q8" s="7"/>
      <c r="R8" s="7"/>
      <c r="S8" s="7"/>
      <c r="T8" s="7"/>
      <c r="U8" s="7"/>
      <c r="V8" s="7"/>
      <c r="W8" s="7"/>
    </row>
    <row r="9" ht="14.25" customHeight="1">
      <c r="B9" s="1464" t="s">
        <v>148</v>
      </c>
      <c r="C9" s="1465" t="s">
        <v>15</v>
      </c>
      <c r="D9" s="772" t="s">
        <v>70</v>
      </c>
      <c r="E9" s="7"/>
      <c r="F9" s="7"/>
      <c r="G9" s="7"/>
      <c r="H9" s="7"/>
      <c r="I9" s="7"/>
      <c r="J9" s="7"/>
      <c r="K9" s="7"/>
      <c r="L9" s="7"/>
      <c r="M9" s="7"/>
      <c r="N9" s="7"/>
      <c r="O9" s="7"/>
      <c r="P9" s="7"/>
      <c r="Q9" s="7"/>
      <c r="R9" s="7"/>
      <c r="S9" s="7"/>
      <c r="T9" s="7"/>
      <c r="U9" s="7"/>
      <c r="V9" s="7"/>
      <c r="W9" s="7"/>
    </row>
    <row r="10" ht="14.25" customHeight="1">
      <c r="B10" s="1466" t="s">
        <v>106</v>
      </c>
      <c r="C10" s="1467" t="s">
        <v>18</v>
      </c>
      <c r="D10" s="1468"/>
      <c r="E10" s="7"/>
      <c r="F10" s="7"/>
      <c r="G10" s="7"/>
      <c r="H10" s="7"/>
      <c r="I10" s="7"/>
      <c r="J10" s="7"/>
      <c r="K10" s="7"/>
      <c r="L10" s="7"/>
      <c r="M10" s="7"/>
      <c r="N10" s="7"/>
      <c r="O10" s="7"/>
      <c r="P10" s="7"/>
      <c r="Q10" s="7"/>
      <c r="R10" s="7"/>
      <c r="S10" s="7"/>
      <c r="T10" s="7"/>
      <c r="U10" s="7"/>
      <c r="V10" s="7"/>
      <c r="W10" s="7"/>
    </row>
    <row r="11" ht="14.25" customHeight="1">
      <c r="A11" s="1469"/>
      <c r="B11" s="1470" t="s">
        <v>1336</v>
      </c>
      <c r="C11" s="1471" t="s">
        <v>107</v>
      </c>
      <c r="D11" s="772" t="s">
        <v>70</v>
      </c>
      <c r="E11" s="7"/>
      <c r="F11" s="7"/>
      <c r="G11" s="7"/>
      <c r="H11" s="7"/>
      <c r="I11" s="7"/>
      <c r="J11" s="7"/>
      <c r="K11" s="7"/>
      <c r="L11" s="7"/>
      <c r="M11" s="7"/>
      <c r="N11" s="7"/>
      <c r="O11" s="7"/>
      <c r="P11" s="7"/>
      <c r="Q11" s="7"/>
      <c r="R11" s="7"/>
      <c r="S11" s="7"/>
      <c r="T11" s="7"/>
      <c r="U11" s="7"/>
      <c r="V11" s="7"/>
      <c r="W11" s="7"/>
    </row>
    <row r="12" ht="14.25" customHeight="1">
      <c r="A12" s="1472" t="s">
        <v>68</v>
      </c>
      <c r="B12" s="732"/>
      <c r="D12" s="1473" t="s">
        <v>1337</v>
      </c>
      <c r="E12" s="7"/>
      <c r="F12" s="7"/>
      <c r="G12" s="7"/>
      <c r="H12" s="7"/>
      <c r="I12" s="7"/>
      <c r="J12" s="7"/>
      <c r="K12" s="7"/>
      <c r="L12" s="7"/>
      <c r="M12" s="7"/>
      <c r="N12" s="7"/>
      <c r="O12" s="7"/>
      <c r="P12" s="7"/>
      <c r="Q12" s="7"/>
      <c r="R12" s="7"/>
      <c r="S12" s="7"/>
      <c r="T12" s="7"/>
      <c r="U12" s="7"/>
      <c r="V12" s="7"/>
      <c r="W12" s="7"/>
    </row>
    <row r="13" ht="14.25" customHeight="1">
      <c r="A13" s="622"/>
      <c r="B13" s="790" t="s">
        <v>69</v>
      </c>
      <c r="D13" s="1474">
        <f>COUNTIF(D4:D11,"Voor")</f>
        <v>4</v>
      </c>
      <c r="E13" s="7"/>
      <c r="F13" s="7"/>
      <c r="G13" s="7"/>
      <c r="H13" s="7"/>
      <c r="I13" s="7"/>
      <c r="J13" s="7"/>
      <c r="K13" s="7"/>
      <c r="L13" s="7"/>
      <c r="M13" s="7"/>
      <c r="N13" s="7"/>
      <c r="O13" s="7"/>
      <c r="P13" s="7"/>
      <c r="Q13" s="7"/>
      <c r="R13" s="7"/>
      <c r="S13" s="7"/>
      <c r="T13" s="7"/>
      <c r="U13" s="7"/>
      <c r="V13" s="7"/>
      <c r="W13" s="7"/>
    </row>
    <row r="14" ht="14.25" customHeight="1">
      <c r="A14" s="622"/>
      <c r="B14" s="792" t="s">
        <v>70</v>
      </c>
      <c r="D14" s="1475">
        <f>COUNTIF(D4:D11,"Tegen")</f>
        <v>3</v>
      </c>
      <c r="E14" s="7"/>
      <c r="F14" s="7"/>
      <c r="G14" s="7"/>
      <c r="H14" s="7"/>
      <c r="I14" s="7"/>
      <c r="J14" s="7"/>
      <c r="K14" s="7"/>
      <c r="L14" s="7"/>
      <c r="M14" s="7"/>
      <c r="N14" s="7"/>
      <c r="O14" s="7"/>
      <c r="P14" s="7"/>
      <c r="Q14" s="7"/>
      <c r="R14" s="7"/>
      <c r="S14" s="7"/>
      <c r="T14" s="7"/>
      <c r="U14" s="7"/>
      <c r="V14" s="7"/>
      <c r="W14" s="7"/>
    </row>
    <row r="15" ht="14.25" customHeight="1">
      <c r="A15" s="622"/>
      <c r="B15" s="794" t="s">
        <v>71</v>
      </c>
      <c r="D15" s="1476">
        <f>COUNTIF(D4:D11,"SO")</f>
        <v>0</v>
      </c>
      <c r="E15" s="7"/>
      <c r="F15" s="7"/>
      <c r="G15" s="7"/>
      <c r="H15" s="7"/>
      <c r="I15" s="7"/>
      <c r="J15" s="7"/>
      <c r="K15" s="7"/>
      <c r="L15" s="7"/>
      <c r="M15" s="7"/>
      <c r="N15" s="7"/>
      <c r="O15" s="7"/>
      <c r="P15" s="7"/>
      <c r="Q15" s="7"/>
      <c r="R15" s="7"/>
      <c r="S15" s="7"/>
      <c r="T15" s="7"/>
      <c r="U15" s="7"/>
      <c r="V15" s="7"/>
      <c r="W15" s="7"/>
    </row>
    <row r="16" ht="14.25" customHeight="1">
      <c r="A16" s="622"/>
      <c r="B16" s="796" t="s">
        <v>72</v>
      </c>
      <c r="D16" s="1477">
        <f>COUNTIF(D4:D11,"NG")</f>
        <v>0</v>
      </c>
      <c r="E16" s="7"/>
      <c r="F16" s="7"/>
      <c r="G16" s="7"/>
      <c r="H16" s="7"/>
      <c r="I16" s="7"/>
      <c r="J16" s="7"/>
      <c r="K16" s="7"/>
      <c r="L16" s="7"/>
      <c r="M16" s="7"/>
      <c r="N16" s="7"/>
      <c r="O16" s="7"/>
      <c r="P16" s="7"/>
      <c r="Q16" s="7"/>
      <c r="R16" s="7"/>
      <c r="S16" s="7"/>
      <c r="T16" s="7"/>
      <c r="U16" s="7"/>
      <c r="V16" s="7"/>
      <c r="W16" s="7"/>
    </row>
    <row r="17" ht="14.25" customHeight="1">
      <c r="A17" s="622"/>
      <c r="B17" s="798" t="s">
        <v>73</v>
      </c>
      <c r="D17" s="354">
        <f>SUM(D13:D16)</f>
        <v>7</v>
      </c>
      <c r="E17" s="7"/>
      <c r="F17" s="7"/>
      <c r="G17" s="7"/>
      <c r="H17" s="7"/>
      <c r="I17" s="7"/>
      <c r="J17" s="7"/>
      <c r="K17" s="7"/>
      <c r="L17" s="7"/>
      <c r="M17" s="7"/>
      <c r="N17" s="7"/>
      <c r="O17" s="7"/>
      <c r="P17" s="7"/>
      <c r="Q17" s="7"/>
      <c r="R17" s="7"/>
      <c r="S17" s="7"/>
      <c r="T17" s="7"/>
      <c r="U17" s="7"/>
      <c r="V17" s="7"/>
      <c r="W17" s="7"/>
    </row>
    <row r="18" ht="14.25" customHeight="1">
      <c r="A18" s="622"/>
      <c r="B18" s="800" t="s">
        <v>74</v>
      </c>
      <c r="D18" s="356">
        <f>D13+D14+D15</f>
        <v>7</v>
      </c>
      <c r="E18" s="7"/>
      <c r="F18" s="7"/>
      <c r="G18" s="7"/>
      <c r="H18" s="7"/>
      <c r="I18" s="7"/>
      <c r="J18" s="7"/>
      <c r="K18" s="7"/>
      <c r="L18" s="7"/>
      <c r="M18" s="7"/>
      <c r="N18" s="7"/>
      <c r="O18" s="7"/>
      <c r="P18" s="7"/>
      <c r="Q18" s="7"/>
      <c r="R18" s="7"/>
      <c r="S18" s="7"/>
      <c r="T18" s="7"/>
      <c r="U18" s="7"/>
      <c r="V18" s="7"/>
      <c r="W18" s="7"/>
    </row>
    <row r="19" ht="14.25" customHeight="1">
      <c r="A19" s="622"/>
      <c r="B19" s="1478" t="s">
        <v>75</v>
      </c>
      <c r="C19" s="72"/>
      <c r="D19" s="1479">
        <f>IFERROR(D18/D17,"")</f>
        <v>1</v>
      </c>
      <c r="E19" s="7"/>
      <c r="F19" s="7"/>
      <c r="G19" s="7"/>
      <c r="H19" s="7"/>
      <c r="I19" s="7"/>
      <c r="J19" s="7"/>
      <c r="K19" s="7"/>
      <c r="L19" s="7"/>
      <c r="M19" s="7"/>
      <c r="N19" s="7"/>
      <c r="O19" s="7"/>
      <c r="P19" s="7"/>
      <c r="Q19" s="7"/>
      <c r="R19" s="7"/>
      <c r="S19" s="7"/>
      <c r="T19" s="7"/>
      <c r="U19" s="7"/>
      <c r="V19" s="7"/>
      <c r="W19" s="7"/>
    </row>
    <row r="20" ht="14.25" customHeight="1">
      <c r="A20" s="7"/>
      <c r="B20" s="7"/>
      <c r="C20" s="7"/>
      <c r="D20" s="7"/>
      <c r="E20" s="7"/>
      <c r="F20" s="7"/>
      <c r="G20" s="7"/>
      <c r="H20" s="7"/>
      <c r="I20" s="7"/>
      <c r="J20" s="7"/>
      <c r="K20" s="7"/>
      <c r="L20" s="7"/>
      <c r="M20" s="7"/>
      <c r="N20" s="7"/>
      <c r="O20" s="7"/>
      <c r="P20" s="7"/>
      <c r="Q20" s="7"/>
      <c r="R20" s="7"/>
      <c r="S20" s="7"/>
      <c r="T20" s="7"/>
      <c r="U20" s="7"/>
      <c r="V20" s="7"/>
      <c r="W20" s="7"/>
    </row>
    <row r="21" ht="14.25" customHeight="1">
      <c r="A21" s="1449"/>
      <c r="B21" s="1450" t="s">
        <v>1170</v>
      </c>
      <c r="C21" s="1450" t="s">
        <v>7</v>
      </c>
      <c r="D21" s="1480"/>
      <c r="E21" s="7"/>
      <c r="F21" s="7"/>
      <c r="G21" s="7"/>
      <c r="H21" s="7"/>
      <c r="I21" s="7"/>
      <c r="J21" s="7"/>
      <c r="K21" s="7"/>
      <c r="L21" s="7"/>
      <c r="M21" s="7"/>
      <c r="N21" s="7"/>
      <c r="O21" s="7"/>
      <c r="P21" s="7"/>
      <c r="Q21" s="7"/>
      <c r="R21" s="7"/>
      <c r="S21" s="7"/>
      <c r="T21" s="7"/>
      <c r="U21" s="7"/>
      <c r="V21" s="7"/>
      <c r="W21" s="7"/>
    </row>
    <row r="22" ht="14.25" customHeight="1">
      <c r="A22" s="1481" t="s">
        <v>588</v>
      </c>
      <c r="B22" s="390"/>
      <c r="C22" s="1453"/>
      <c r="D22" s="1482" t="s">
        <v>123</v>
      </c>
      <c r="E22" s="7"/>
      <c r="F22" s="7"/>
      <c r="G22" s="7"/>
      <c r="H22" s="7"/>
      <c r="I22" s="7"/>
      <c r="J22" s="7"/>
      <c r="K22" s="7"/>
      <c r="L22" s="7"/>
      <c r="M22" s="7"/>
      <c r="N22" s="7"/>
      <c r="O22" s="7"/>
      <c r="P22" s="7"/>
      <c r="Q22" s="7"/>
      <c r="R22" s="7"/>
      <c r="S22" s="7"/>
      <c r="T22" s="7"/>
      <c r="U22" s="7"/>
      <c r="V22" s="7"/>
      <c r="W22" s="7"/>
    </row>
    <row r="23" ht="14.25" customHeight="1">
      <c r="A23" s="1483" t="s">
        <v>1333</v>
      </c>
      <c r="B23" s="1484" t="s">
        <v>1334</v>
      </c>
      <c r="C23" s="1485" t="s">
        <v>12</v>
      </c>
      <c r="D23" s="822" t="s">
        <v>69</v>
      </c>
      <c r="E23" s="7"/>
      <c r="F23" s="7"/>
      <c r="G23" s="7"/>
      <c r="H23" s="7"/>
      <c r="I23" s="7"/>
      <c r="J23" s="7"/>
      <c r="K23" s="7"/>
      <c r="L23" s="7"/>
      <c r="M23" s="7"/>
      <c r="N23" s="7"/>
      <c r="O23" s="7"/>
      <c r="P23" s="7"/>
      <c r="Q23" s="7"/>
      <c r="R23" s="7"/>
      <c r="S23" s="7"/>
      <c r="T23" s="7"/>
      <c r="U23" s="7"/>
      <c r="V23" s="7"/>
      <c r="W23" s="7"/>
    </row>
    <row r="24" ht="14.25" customHeight="1">
      <c r="B24" s="1486" t="s">
        <v>141</v>
      </c>
      <c r="C24" s="1487" t="s">
        <v>21</v>
      </c>
      <c r="D24" s="822" t="s">
        <v>69</v>
      </c>
      <c r="E24" s="7"/>
      <c r="F24" s="7"/>
      <c r="G24" s="7"/>
      <c r="H24" s="7"/>
      <c r="I24" s="7"/>
      <c r="J24" s="7"/>
      <c r="K24" s="7"/>
      <c r="L24" s="7"/>
      <c r="M24" s="7"/>
      <c r="N24" s="7"/>
      <c r="O24" s="7"/>
      <c r="P24" s="7"/>
      <c r="Q24" s="7"/>
      <c r="R24" s="7"/>
      <c r="S24" s="7"/>
      <c r="T24" s="7"/>
      <c r="U24" s="7"/>
      <c r="V24" s="7"/>
      <c r="W24" s="7"/>
    </row>
    <row r="25" ht="14.25" customHeight="1">
      <c r="B25" s="1488" t="s">
        <v>106</v>
      </c>
      <c r="C25" s="1489" t="s">
        <v>18</v>
      </c>
      <c r="D25" s="822" t="s">
        <v>69</v>
      </c>
      <c r="E25" s="7"/>
      <c r="F25" s="7"/>
      <c r="G25" s="7"/>
      <c r="H25" s="7"/>
      <c r="I25" s="7"/>
      <c r="J25" s="7"/>
      <c r="K25" s="7"/>
      <c r="L25" s="7"/>
      <c r="M25" s="7"/>
      <c r="N25" s="7"/>
      <c r="O25" s="7"/>
      <c r="P25" s="7"/>
      <c r="Q25" s="7"/>
      <c r="R25" s="7"/>
      <c r="S25" s="7"/>
      <c r="T25" s="7"/>
      <c r="U25" s="7"/>
      <c r="V25" s="7"/>
      <c r="W25" s="7"/>
    </row>
    <row r="26" ht="14.25" customHeight="1">
      <c r="B26" s="1490" t="s">
        <v>53</v>
      </c>
      <c r="C26" s="1491" t="s">
        <v>25</v>
      </c>
      <c r="D26" s="822" t="s">
        <v>69</v>
      </c>
      <c r="E26" s="7"/>
      <c r="F26" s="7"/>
      <c r="G26" s="7"/>
      <c r="H26" s="7"/>
      <c r="I26" s="7"/>
      <c r="J26" s="7"/>
      <c r="K26" s="7"/>
      <c r="L26" s="7"/>
      <c r="M26" s="7"/>
      <c r="N26" s="7"/>
      <c r="O26" s="7"/>
      <c r="P26" s="7"/>
      <c r="Q26" s="7"/>
      <c r="R26" s="7"/>
      <c r="S26" s="7"/>
      <c r="T26" s="7"/>
      <c r="U26" s="7"/>
      <c r="V26" s="7"/>
      <c r="W26" s="7"/>
    </row>
    <row r="27" ht="14.25" customHeight="1">
      <c r="A27" s="1492" t="s">
        <v>1335</v>
      </c>
      <c r="B27" s="1493" t="s">
        <v>144</v>
      </c>
      <c r="C27" s="1494" t="s">
        <v>15</v>
      </c>
      <c r="D27" s="822" t="s">
        <v>69</v>
      </c>
      <c r="E27" s="7"/>
      <c r="F27" s="7"/>
      <c r="G27" s="7"/>
      <c r="H27" s="7"/>
      <c r="I27" s="7"/>
      <c r="J27" s="7"/>
      <c r="K27" s="7"/>
      <c r="L27" s="7"/>
      <c r="M27" s="7"/>
      <c r="N27" s="7"/>
      <c r="O27" s="7"/>
      <c r="P27" s="7"/>
      <c r="Q27" s="7"/>
      <c r="R27" s="7"/>
      <c r="S27" s="7"/>
      <c r="T27" s="7"/>
      <c r="U27" s="7"/>
      <c r="V27" s="7"/>
      <c r="W27" s="7"/>
    </row>
    <row r="28" ht="14.25" customHeight="1">
      <c r="B28" s="1495" t="s">
        <v>148</v>
      </c>
      <c r="C28" s="1496" t="s">
        <v>15</v>
      </c>
      <c r="D28" s="822" t="s">
        <v>69</v>
      </c>
      <c r="E28" s="7"/>
      <c r="F28" s="7"/>
      <c r="G28" s="7"/>
      <c r="H28" s="7"/>
      <c r="I28" s="7"/>
      <c r="J28" s="7"/>
      <c r="K28" s="7"/>
      <c r="L28" s="7"/>
      <c r="M28" s="7"/>
      <c r="N28" s="7"/>
      <c r="O28" s="7"/>
      <c r="P28" s="7"/>
      <c r="Q28" s="7"/>
      <c r="R28" s="7"/>
      <c r="S28" s="7"/>
      <c r="T28" s="7"/>
      <c r="U28" s="7"/>
      <c r="V28" s="7"/>
      <c r="W28" s="7"/>
    </row>
    <row r="29" ht="14.25" customHeight="1">
      <c r="B29" s="1458" t="s">
        <v>142</v>
      </c>
      <c r="C29" s="1459" t="s">
        <v>23</v>
      </c>
      <c r="D29" s="822" t="s">
        <v>100</v>
      </c>
      <c r="E29" s="7"/>
      <c r="F29" s="7"/>
      <c r="G29" s="7"/>
      <c r="H29" s="7"/>
      <c r="I29" s="7"/>
      <c r="J29" s="7"/>
      <c r="K29" s="7"/>
      <c r="L29" s="7"/>
      <c r="M29" s="7"/>
      <c r="N29" s="7"/>
      <c r="O29" s="7"/>
      <c r="P29" s="7"/>
      <c r="Q29" s="7"/>
      <c r="R29" s="7"/>
      <c r="S29" s="7"/>
      <c r="T29" s="7"/>
      <c r="U29" s="7"/>
      <c r="V29" s="7"/>
      <c r="W29" s="7"/>
    </row>
    <row r="30" ht="14.25" customHeight="1">
      <c r="A30" s="390"/>
      <c r="B30" s="1497" t="s">
        <v>1336</v>
      </c>
      <c r="C30" s="1498" t="s">
        <v>107</v>
      </c>
      <c r="D30" s="1499" t="s">
        <v>69</v>
      </c>
      <c r="E30" s="7"/>
      <c r="F30" s="7"/>
      <c r="G30" s="7"/>
      <c r="H30" s="7"/>
      <c r="I30" s="7"/>
      <c r="J30" s="7"/>
      <c r="K30" s="7"/>
      <c r="L30" s="7"/>
      <c r="M30" s="7"/>
      <c r="N30" s="7"/>
      <c r="O30" s="7"/>
      <c r="P30" s="7"/>
      <c r="Q30" s="7"/>
      <c r="R30" s="7"/>
      <c r="S30" s="7"/>
      <c r="T30" s="7"/>
      <c r="U30" s="7"/>
      <c r="V30" s="7"/>
      <c r="W30" s="7"/>
    </row>
    <row r="31" ht="14.25" customHeight="1">
      <c r="A31" s="1472" t="s">
        <v>68</v>
      </c>
      <c r="B31" s="1500"/>
      <c r="C31" s="646"/>
      <c r="D31" s="1501" t="s">
        <v>1337</v>
      </c>
      <c r="E31" s="7"/>
      <c r="F31" s="7"/>
      <c r="G31" s="7"/>
      <c r="H31" s="7"/>
      <c r="I31" s="7"/>
      <c r="J31" s="7"/>
      <c r="K31" s="7"/>
      <c r="L31" s="7"/>
      <c r="M31" s="7"/>
      <c r="N31" s="7"/>
      <c r="O31" s="7"/>
      <c r="P31" s="7"/>
      <c r="Q31" s="7"/>
      <c r="R31" s="7"/>
      <c r="S31" s="7"/>
      <c r="T31" s="7"/>
      <c r="U31" s="7"/>
      <c r="V31" s="7"/>
      <c r="W31" s="7"/>
    </row>
    <row r="32" ht="14.25" customHeight="1">
      <c r="A32" s="622"/>
      <c r="B32" s="790" t="s">
        <v>69</v>
      </c>
      <c r="D32" s="1474">
        <f>COUNTIF(D23:D30,"Voor")</f>
        <v>7</v>
      </c>
      <c r="E32" s="7"/>
      <c r="F32" s="7"/>
      <c r="G32" s="7"/>
      <c r="H32" s="7"/>
      <c r="I32" s="7"/>
      <c r="J32" s="7"/>
      <c r="K32" s="7"/>
      <c r="L32" s="7"/>
      <c r="M32" s="7"/>
      <c r="N32" s="7"/>
      <c r="O32" s="7"/>
      <c r="P32" s="7"/>
      <c r="Q32" s="7"/>
      <c r="R32" s="7"/>
      <c r="S32" s="7"/>
      <c r="T32" s="7"/>
      <c r="U32" s="7"/>
      <c r="V32" s="7"/>
      <c r="W32" s="7"/>
    </row>
    <row r="33" ht="14.25" customHeight="1">
      <c r="A33" s="622"/>
      <c r="B33" s="792" t="s">
        <v>70</v>
      </c>
      <c r="D33" s="1475">
        <f>COUNTIF(D23:D30,"Tegen")</f>
        <v>0</v>
      </c>
      <c r="E33" s="7"/>
      <c r="F33" s="7"/>
      <c r="G33" s="7"/>
      <c r="H33" s="7"/>
      <c r="I33" s="7"/>
      <c r="J33" s="7"/>
      <c r="K33" s="7"/>
      <c r="L33" s="7"/>
      <c r="M33" s="7"/>
      <c r="N33" s="7"/>
      <c r="O33" s="7"/>
      <c r="P33" s="7"/>
      <c r="Q33" s="7"/>
      <c r="R33" s="7"/>
      <c r="S33" s="7"/>
      <c r="T33" s="7"/>
      <c r="U33" s="7"/>
      <c r="V33" s="7"/>
      <c r="W33" s="7"/>
    </row>
    <row r="34" ht="14.25" customHeight="1">
      <c r="A34" s="622"/>
      <c r="B34" s="794" t="s">
        <v>71</v>
      </c>
      <c r="D34" s="1476">
        <f>COUNTIF(D23:D30,"SO")</f>
        <v>0</v>
      </c>
      <c r="E34" s="7"/>
      <c r="F34" s="7"/>
      <c r="G34" s="7"/>
      <c r="H34" s="7"/>
      <c r="I34" s="7"/>
      <c r="J34" s="7"/>
      <c r="K34" s="7"/>
      <c r="L34" s="7"/>
      <c r="M34" s="7"/>
      <c r="N34" s="7"/>
      <c r="O34" s="7"/>
      <c r="P34" s="7"/>
      <c r="Q34" s="7"/>
      <c r="R34" s="7"/>
      <c r="S34" s="7"/>
      <c r="T34" s="7"/>
      <c r="U34" s="7"/>
      <c r="V34" s="7"/>
      <c r="W34" s="7"/>
    </row>
    <row r="35" ht="14.25" customHeight="1">
      <c r="A35" s="622"/>
      <c r="B35" s="796" t="s">
        <v>72</v>
      </c>
      <c r="D35" s="1477">
        <f>COUNTIF(D23:D30,"NG")</f>
        <v>1</v>
      </c>
      <c r="E35" s="7"/>
      <c r="F35" s="7"/>
      <c r="G35" s="7"/>
      <c r="H35" s="7"/>
      <c r="I35" s="7"/>
      <c r="J35" s="7"/>
      <c r="K35" s="7"/>
      <c r="L35" s="7"/>
      <c r="M35" s="7"/>
      <c r="N35" s="7"/>
      <c r="O35" s="7"/>
      <c r="P35" s="7"/>
      <c r="Q35" s="7"/>
      <c r="R35" s="7"/>
      <c r="S35" s="7"/>
      <c r="T35" s="7"/>
      <c r="U35" s="7"/>
      <c r="V35" s="7"/>
      <c r="W35" s="7"/>
    </row>
    <row r="36" ht="14.25" customHeight="1">
      <c r="A36" s="622"/>
      <c r="B36" s="798" t="s">
        <v>73</v>
      </c>
      <c r="D36" s="354">
        <f>SUM(D32:D35)</f>
        <v>8</v>
      </c>
      <c r="E36" s="7"/>
      <c r="F36" s="7"/>
      <c r="G36" s="7"/>
      <c r="H36" s="7"/>
      <c r="I36" s="7"/>
      <c r="J36" s="7"/>
      <c r="K36" s="7"/>
      <c r="L36" s="7"/>
      <c r="M36" s="7"/>
      <c r="N36" s="7"/>
      <c r="O36" s="7"/>
      <c r="P36" s="7"/>
      <c r="Q36" s="7"/>
      <c r="R36" s="7"/>
      <c r="S36" s="7"/>
      <c r="T36" s="7"/>
      <c r="U36" s="7"/>
      <c r="V36" s="7"/>
      <c r="W36" s="7"/>
    </row>
    <row r="37" ht="14.25" customHeight="1">
      <c r="A37" s="622"/>
      <c r="B37" s="800" t="s">
        <v>74</v>
      </c>
      <c r="D37" s="356">
        <f>D32+D33+D34</f>
        <v>7</v>
      </c>
      <c r="E37" s="7"/>
      <c r="F37" s="7"/>
      <c r="G37" s="7"/>
      <c r="H37" s="7"/>
      <c r="I37" s="7"/>
      <c r="J37" s="7"/>
      <c r="K37" s="7"/>
      <c r="L37" s="7"/>
      <c r="M37" s="7"/>
      <c r="N37" s="7"/>
      <c r="O37" s="7"/>
      <c r="P37" s="7"/>
      <c r="Q37" s="7"/>
      <c r="R37" s="7"/>
      <c r="S37" s="7"/>
      <c r="T37" s="7"/>
      <c r="U37" s="7"/>
      <c r="V37" s="7"/>
      <c r="W37" s="7"/>
    </row>
    <row r="38" ht="14.25" customHeight="1">
      <c r="A38" s="1502"/>
      <c r="B38" s="1478" t="s">
        <v>75</v>
      </c>
      <c r="C38" s="72"/>
      <c r="D38" s="1479">
        <f>IFERROR(D37/D36,"")</f>
        <v>0.875</v>
      </c>
      <c r="E38" s="7"/>
      <c r="F38" s="7"/>
      <c r="G38" s="7"/>
      <c r="H38" s="7"/>
      <c r="I38" s="7"/>
      <c r="J38" s="7"/>
      <c r="K38" s="7"/>
      <c r="L38" s="7"/>
      <c r="M38" s="7"/>
      <c r="N38" s="7"/>
      <c r="O38" s="7"/>
      <c r="P38" s="7"/>
      <c r="Q38" s="7"/>
      <c r="R38" s="7"/>
      <c r="S38" s="7"/>
      <c r="T38" s="7"/>
      <c r="U38" s="7"/>
      <c r="V38" s="7"/>
      <c r="W38" s="7"/>
    </row>
    <row r="39" ht="14.25" customHeight="1">
      <c r="A39" s="60"/>
      <c r="B39" s="60"/>
      <c r="C39" s="60"/>
      <c r="D39" s="60"/>
      <c r="E39" s="7"/>
      <c r="F39" s="7"/>
      <c r="G39" s="7"/>
      <c r="H39" s="7"/>
      <c r="I39" s="7"/>
      <c r="J39" s="7"/>
      <c r="K39" s="7"/>
      <c r="L39" s="7"/>
      <c r="M39" s="7"/>
      <c r="N39" s="7"/>
      <c r="O39" s="7"/>
      <c r="P39" s="7"/>
      <c r="Q39" s="7"/>
      <c r="R39" s="7"/>
      <c r="S39" s="7"/>
      <c r="T39" s="7"/>
      <c r="U39" s="7"/>
      <c r="V39" s="7"/>
      <c r="W39" s="7"/>
    </row>
    <row r="40" ht="14.25" customHeight="1">
      <c r="A40" s="1449"/>
      <c r="B40" s="1450" t="s">
        <v>1170</v>
      </c>
      <c r="C40" s="1450" t="s">
        <v>7</v>
      </c>
      <c r="D40" s="1503"/>
      <c r="E40" s="157"/>
      <c r="F40" s="7"/>
      <c r="G40" s="7"/>
      <c r="H40" s="7"/>
      <c r="I40" s="7"/>
      <c r="J40" s="7"/>
      <c r="K40" s="7"/>
      <c r="L40" s="7"/>
      <c r="M40" s="7"/>
      <c r="N40" s="7"/>
      <c r="O40" s="7"/>
      <c r="P40" s="7"/>
      <c r="Q40" s="7"/>
      <c r="R40" s="7"/>
      <c r="S40" s="7"/>
      <c r="T40" s="7"/>
      <c r="U40" s="7"/>
      <c r="V40" s="7"/>
      <c r="W40" s="7"/>
    </row>
    <row r="41" ht="14.25" customHeight="1">
      <c r="A41" s="1481" t="s">
        <v>575</v>
      </c>
      <c r="B41" s="390"/>
      <c r="C41" s="1453"/>
      <c r="D41" s="736" t="s">
        <v>801</v>
      </c>
      <c r="E41" s="1504" t="s">
        <v>802</v>
      </c>
      <c r="F41" s="7"/>
      <c r="G41" s="7"/>
      <c r="H41" s="7"/>
      <c r="I41" s="7"/>
      <c r="J41" s="7"/>
      <c r="K41" s="7"/>
      <c r="L41" s="7"/>
      <c r="M41" s="7"/>
      <c r="N41" s="7"/>
      <c r="O41" s="7"/>
      <c r="P41" s="7"/>
      <c r="Q41" s="7"/>
      <c r="R41" s="7"/>
      <c r="S41" s="7"/>
      <c r="T41" s="7"/>
      <c r="U41" s="7"/>
      <c r="V41" s="7"/>
      <c r="W41" s="7"/>
    </row>
    <row r="42" ht="14.25" customHeight="1">
      <c r="A42" s="1483" t="s">
        <v>1333</v>
      </c>
      <c r="B42" s="928" t="s">
        <v>141</v>
      </c>
      <c r="C42" s="1505" t="s">
        <v>21</v>
      </c>
      <c r="D42" s="1506" t="s">
        <v>69</v>
      </c>
      <c r="E42" s="1507" t="s">
        <v>69</v>
      </c>
      <c r="F42" s="7"/>
      <c r="G42" s="7"/>
      <c r="H42" s="7"/>
      <c r="I42" s="7"/>
      <c r="J42" s="7"/>
      <c r="K42" s="7"/>
      <c r="L42" s="7"/>
      <c r="M42" s="7"/>
      <c r="N42" s="7"/>
      <c r="O42" s="7"/>
      <c r="P42" s="7"/>
      <c r="Q42" s="7"/>
      <c r="R42" s="7"/>
      <c r="S42" s="7"/>
      <c r="T42" s="7"/>
      <c r="U42" s="7"/>
      <c r="V42" s="7"/>
      <c r="W42" s="7"/>
    </row>
    <row r="43" ht="14.25" customHeight="1">
      <c r="B43" s="1018" t="s">
        <v>1266</v>
      </c>
      <c r="C43" s="1508" t="s">
        <v>107</v>
      </c>
      <c r="D43" s="1506" t="s">
        <v>69</v>
      </c>
      <c r="E43" s="1499" t="s">
        <v>69</v>
      </c>
      <c r="F43" s="7"/>
      <c r="G43" s="7"/>
      <c r="H43" s="7"/>
      <c r="I43" s="7"/>
      <c r="J43" s="7"/>
      <c r="K43" s="7"/>
      <c r="L43" s="7"/>
      <c r="M43" s="7"/>
      <c r="N43" s="7"/>
      <c r="O43" s="7"/>
      <c r="P43" s="7"/>
      <c r="Q43" s="7"/>
      <c r="R43" s="7"/>
      <c r="S43" s="7"/>
      <c r="T43" s="7"/>
      <c r="U43" s="7"/>
      <c r="V43" s="7"/>
      <c r="W43" s="7"/>
    </row>
    <row r="44" ht="14.25" customHeight="1">
      <c r="B44" s="954" t="s">
        <v>1185</v>
      </c>
      <c r="C44" s="954" t="s">
        <v>25</v>
      </c>
      <c r="D44" s="1509" t="s">
        <v>69</v>
      </c>
      <c r="E44" s="822" t="s">
        <v>69</v>
      </c>
      <c r="F44" s="7"/>
      <c r="G44" s="7"/>
      <c r="H44" s="7"/>
      <c r="I44" s="7"/>
      <c r="J44" s="7"/>
      <c r="K44" s="7"/>
      <c r="L44" s="7"/>
      <c r="M44" s="7"/>
      <c r="N44" s="7"/>
      <c r="O44" s="7"/>
      <c r="P44" s="7"/>
      <c r="Q44" s="7"/>
      <c r="R44" s="7"/>
      <c r="S44" s="7"/>
      <c r="T44" s="7"/>
      <c r="U44" s="7"/>
      <c r="V44" s="7"/>
      <c r="W44" s="7"/>
    </row>
    <row r="45" ht="14.25" customHeight="1">
      <c r="B45" s="1510" t="s">
        <v>1314</v>
      </c>
      <c r="C45" s="1511" t="s">
        <v>12</v>
      </c>
      <c r="D45" s="1509" t="s">
        <v>69</v>
      </c>
      <c r="E45" s="1507" t="s">
        <v>69</v>
      </c>
      <c r="F45" s="7"/>
      <c r="G45" s="7"/>
      <c r="H45" s="7"/>
      <c r="I45" s="7"/>
      <c r="J45" s="7"/>
      <c r="K45" s="7"/>
      <c r="L45" s="7"/>
      <c r="M45" s="7"/>
      <c r="N45" s="7"/>
      <c r="O45" s="7"/>
      <c r="P45" s="7"/>
      <c r="Q45" s="7"/>
      <c r="R45" s="7"/>
      <c r="S45" s="7"/>
      <c r="T45" s="7"/>
      <c r="U45" s="7"/>
      <c r="V45" s="7"/>
      <c r="W45" s="7"/>
    </row>
    <row r="46" ht="14.25" customHeight="1">
      <c r="A46" s="1483" t="s">
        <v>1335</v>
      </c>
      <c r="B46" s="1512" t="s">
        <v>1191</v>
      </c>
      <c r="C46" s="1513" t="s">
        <v>23</v>
      </c>
      <c r="D46" s="820" t="s">
        <v>69</v>
      </c>
      <c r="E46" s="822" t="s">
        <v>69</v>
      </c>
      <c r="F46" s="7"/>
      <c r="G46" s="7"/>
      <c r="H46" s="7"/>
      <c r="I46" s="7"/>
      <c r="J46" s="7"/>
      <c r="K46" s="7"/>
      <c r="L46" s="7"/>
      <c r="M46" s="7"/>
      <c r="N46" s="7"/>
      <c r="O46" s="7"/>
      <c r="P46" s="7"/>
      <c r="Q46" s="7"/>
      <c r="R46" s="7"/>
      <c r="S46" s="7"/>
      <c r="T46" s="7"/>
      <c r="U46" s="7"/>
      <c r="V46" s="7"/>
      <c r="W46" s="7"/>
    </row>
    <row r="47" ht="14.25" customHeight="1">
      <c r="B47" s="1514" t="s">
        <v>1190</v>
      </c>
      <c r="C47" s="1515" t="s">
        <v>23</v>
      </c>
      <c r="D47" s="820" t="s">
        <v>100</v>
      </c>
      <c r="E47" s="822" t="s">
        <v>100</v>
      </c>
      <c r="F47" s="7"/>
      <c r="G47" s="7"/>
      <c r="H47" s="7"/>
      <c r="I47" s="7"/>
      <c r="J47" s="7"/>
      <c r="K47" s="7"/>
      <c r="L47" s="7"/>
      <c r="M47" s="7"/>
      <c r="N47" s="7"/>
      <c r="O47" s="7"/>
      <c r="P47" s="7"/>
      <c r="Q47" s="7"/>
      <c r="R47" s="7"/>
      <c r="S47" s="7"/>
      <c r="T47" s="7"/>
      <c r="U47" s="7"/>
      <c r="V47" s="7"/>
      <c r="W47" s="7"/>
    </row>
    <row r="48" ht="14.25" customHeight="1">
      <c r="B48" s="1516" t="s">
        <v>106</v>
      </c>
      <c r="C48" s="1517" t="s">
        <v>15</v>
      </c>
      <c r="D48" s="820" t="s">
        <v>69</v>
      </c>
      <c r="E48" s="822" t="s">
        <v>69</v>
      </c>
      <c r="F48" s="7"/>
      <c r="G48" s="7"/>
      <c r="H48" s="7"/>
      <c r="I48" s="7"/>
      <c r="J48" s="7"/>
      <c r="K48" s="7"/>
      <c r="L48" s="7"/>
      <c r="M48" s="7"/>
      <c r="N48" s="7"/>
      <c r="O48" s="7"/>
      <c r="P48" s="7"/>
      <c r="Q48" s="7"/>
      <c r="R48" s="7"/>
      <c r="S48" s="7"/>
      <c r="T48" s="7"/>
      <c r="U48" s="7"/>
      <c r="V48" s="7"/>
      <c r="W48" s="7"/>
    </row>
    <row r="49" ht="14.25" customHeight="1">
      <c r="A49" s="390"/>
      <c r="B49" s="769" t="s">
        <v>60</v>
      </c>
      <c r="C49" s="1517" t="s">
        <v>15</v>
      </c>
      <c r="D49" s="820" t="s">
        <v>69</v>
      </c>
      <c r="E49" s="822" t="s">
        <v>69</v>
      </c>
      <c r="F49" s="7"/>
      <c r="G49" s="7"/>
      <c r="H49" s="7"/>
      <c r="I49" s="7"/>
      <c r="J49" s="7"/>
      <c r="K49" s="7"/>
      <c r="L49" s="7"/>
      <c r="M49" s="7"/>
      <c r="N49" s="7"/>
      <c r="O49" s="7"/>
      <c r="P49" s="7"/>
      <c r="Q49" s="7"/>
      <c r="R49" s="7"/>
      <c r="S49" s="7"/>
      <c r="T49" s="7"/>
      <c r="U49" s="7"/>
      <c r="V49" s="7"/>
      <c r="W49" s="7"/>
    </row>
    <row r="50" ht="14.25" customHeight="1">
      <c r="A50" s="1472" t="s">
        <v>68</v>
      </c>
      <c r="B50" s="1500"/>
      <c r="C50" s="646"/>
      <c r="D50" s="1518" t="s">
        <v>1337</v>
      </c>
      <c r="E50" s="68"/>
      <c r="F50" s="7"/>
      <c r="G50" s="7"/>
      <c r="H50" s="7"/>
      <c r="I50" s="7"/>
      <c r="J50" s="7"/>
      <c r="K50" s="7"/>
      <c r="L50" s="7"/>
      <c r="M50" s="7"/>
      <c r="N50" s="7"/>
      <c r="O50" s="7"/>
      <c r="P50" s="7"/>
      <c r="Q50" s="7"/>
      <c r="R50" s="7"/>
      <c r="S50" s="7"/>
      <c r="T50" s="7"/>
      <c r="U50" s="7"/>
      <c r="V50" s="7"/>
      <c r="W50" s="7"/>
    </row>
    <row r="51" ht="14.25" customHeight="1">
      <c r="A51" s="622"/>
      <c r="B51" s="790" t="s">
        <v>69</v>
      </c>
      <c r="D51" s="1519">
        <f t="shared" ref="D51:E51" si="1">COUNTIF(D42:D49,"Voor")</f>
        <v>7</v>
      </c>
      <c r="E51" s="1474">
        <f t="shared" si="1"/>
        <v>7</v>
      </c>
      <c r="F51" s="7"/>
      <c r="G51" s="7"/>
      <c r="H51" s="7"/>
      <c r="I51" s="7"/>
      <c r="J51" s="7"/>
      <c r="K51" s="7"/>
      <c r="L51" s="7"/>
      <c r="M51" s="7"/>
      <c r="N51" s="7"/>
      <c r="O51" s="7"/>
      <c r="P51" s="7"/>
      <c r="Q51" s="7"/>
      <c r="R51" s="7"/>
      <c r="S51" s="7"/>
      <c r="T51" s="7"/>
      <c r="U51" s="7"/>
      <c r="V51" s="7"/>
      <c r="W51" s="7"/>
    </row>
    <row r="52" ht="14.25" customHeight="1">
      <c r="A52" s="622"/>
      <c r="B52" s="792" t="s">
        <v>70</v>
      </c>
      <c r="D52" s="1520">
        <f t="shared" ref="D52:E52" si="2">COUNTIF(D42:D49,"Tegen")</f>
        <v>0</v>
      </c>
      <c r="E52" s="1475">
        <f t="shared" si="2"/>
        <v>0</v>
      </c>
      <c r="F52" s="7"/>
      <c r="G52" s="7"/>
      <c r="H52" s="7"/>
      <c r="I52" s="7"/>
      <c r="J52" s="7"/>
      <c r="K52" s="7"/>
      <c r="L52" s="7"/>
      <c r="M52" s="7"/>
      <c r="N52" s="7"/>
      <c r="O52" s="7"/>
      <c r="P52" s="7"/>
      <c r="Q52" s="7"/>
      <c r="R52" s="7"/>
      <c r="S52" s="7"/>
      <c r="T52" s="7"/>
      <c r="U52" s="7"/>
      <c r="V52" s="7"/>
      <c r="W52" s="7"/>
    </row>
    <row r="53" ht="14.25" customHeight="1">
      <c r="A53" s="622"/>
      <c r="B53" s="794" t="s">
        <v>71</v>
      </c>
      <c r="D53" s="1521">
        <f t="shared" ref="D53:E53" si="3">COUNTIF(D42:D49,"SO")</f>
        <v>0</v>
      </c>
      <c r="E53" s="1476">
        <f t="shared" si="3"/>
        <v>0</v>
      </c>
      <c r="F53" s="7"/>
      <c r="G53" s="7"/>
      <c r="H53" s="7"/>
      <c r="I53" s="7"/>
      <c r="J53" s="7"/>
      <c r="K53" s="7"/>
      <c r="L53" s="7"/>
      <c r="M53" s="7"/>
      <c r="N53" s="7"/>
      <c r="O53" s="7"/>
      <c r="P53" s="7"/>
      <c r="Q53" s="7"/>
      <c r="R53" s="7"/>
      <c r="S53" s="7"/>
      <c r="T53" s="7"/>
      <c r="U53" s="7"/>
      <c r="V53" s="7"/>
      <c r="W53" s="7"/>
    </row>
    <row r="54" ht="14.25" customHeight="1">
      <c r="A54" s="622"/>
      <c r="B54" s="796" t="s">
        <v>72</v>
      </c>
      <c r="D54" s="1522">
        <f t="shared" ref="D54:E54" si="4">COUNTIF(D42:D49,"NG")</f>
        <v>1</v>
      </c>
      <c r="E54" s="1477">
        <f t="shared" si="4"/>
        <v>1</v>
      </c>
      <c r="F54" s="7"/>
      <c r="G54" s="7"/>
      <c r="H54" s="7"/>
      <c r="I54" s="7"/>
      <c r="J54" s="7"/>
      <c r="K54" s="7"/>
      <c r="L54" s="7"/>
      <c r="M54" s="7"/>
      <c r="N54" s="7"/>
      <c r="O54" s="7"/>
      <c r="P54" s="7"/>
      <c r="Q54" s="7"/>
      <c r="R54" s="7"/>
      <c r="S54" s="7"/>
      <c r="T54" s="7"/>
      <c r="U54" s="7"/>
      <c r="V54" s="7"/>
      <c r="W54" s="7"/>
    </row>
    <row r="55" ht="14.25" customHeight="1">
      <c r="A55" s="622"/>
      <c r="B55" s="798" t="s">
        <v>73</v>
      </c>
      <c r="D55" s="906">
        <f t="shared" ref="D55:E55" si="5">SUM(D51:D54)</f>
        <v>8</v>
      </c>
      <c r="E55" s="354">
        <f t="shared" si="5"/>
        <v>8</v>
      </c>
      <c r="F55" s="7"/>
      <c r="G55" s="7"/>
      <c r="H55" s="7"/>
      <c r="I55" s="7"/>
      <c r="J55" s="7"/>
      <c r="K55" s="7"/>
      <c r="L55" s="7"/>
      <c r="M55" s="7"/>
      <c r="N55" s="7"/>
      <c r="O55" s="7"/>
      <c r="P55" s="7"/>
      <c r="Q55" s="7"/>
      <c r="R55" s="7"/>
      <c r="S55" s="7"/>
      <c r="T55" s="7"/>
      <c r="U55" s="7"/>
      <c r="V55" s="7"/>
      <c r="W55" s="7"/>
    </row>
    <row r="56" ht="14.25" customHeight="1">
      <c r="A56" s="622"/>
      <c r="B56" s="800" t="s">
        <v>74</v>
      </c>
      <c r="D56" s="907">
        <f t="shared" ref="D56:E56" si="6">D51+D52+D53</f>
        <v>7</v>
      </c>
      <c r="E56" s="356">
        <f t="shared" si="6"/>
        <v>7</v>
      </c>
      <c r="F56" s="7"/>
      <c r="G56" s="7"/>
      <c r="H56" s="7"/>
      <c r="I56" s="7"/>
      <c r="J56" s="7"/>
      <c r="K56" s="7"/>
      <c r="L56" s="7"/>
      <c r="M56" s="7"/>
      <c r="N56" s="7"/>
      <c r="O56" s="7"/>
      <c r="P56" s="7"/>
      <c r="Q56" s="7"/>
      <c r="R56" s="7"/>
      <c r="S56" s="7"/>
      <c r="T56" s="7"/>
      <c r="U56" s="7"/>
      <c r="V56" s="7"/>
      <c r="W56" s="7"/>
    </row>
    <row r="57" ht="14.25" customHeight="1">
      <c r="A57" s="1502"/>
      <c r="B57" s="1478" t="s">
        <v>75</v>
      </c>
      <c r="C57" s="72"/>
      <c r="D57" s="1523">
        <f t="shared" ref="D57:E57" si="7">IFERROR(D56/D55,"")</f>
        <v>0.875</v>
      </c>
      <c r="E57" s="1479">
        <f t="shared" si="7"/>
        <v>0.875</v>
      </c>
      <c r="F57" s="7"/>
      <c r="G57" s="7"/>
      <c r="H57" s="7"/>
      <c r="I57" s="7"/>
      <c r="J57" s="7"/>
      <c r="K57" s="7"/>
      <c r="L57" s="7"/>
      <c r="M57" s="7"/>
      <c r="N57" s="7"/>
      <c r="O57" s="7"/>
      <c r="P57" s="7"/>
      <c r="Q57" s="7"/>
      <c r="R57" s="7"/>
      <c r="S57" s="7"/>
      <c r="T57" s="7"/>
      <c r="U57" s="7"/>
      <c r="V57" s="7"/>
      <c r="W57" s="7"/>
    </row>
    <row r="58" ht="14.25" customHeight="1">
      <c r="A58" s="1524"/>
      <c r="B58" s="1524"/>
      <c r="C58" s="1524"/>
      <c r="D58" s="7"/>
      <c r="E58" s="7"/>
      <c r="F58" s="7"/>
      <c r="G58" s="7"/>
      <c r="H58" s="7"/>
      <c r="I58" s="7"/>
      <c r="J58" s="7"/>
      <c r="K58" s="7"/>
      <c r="L58" s="7"/>
      <c r="M58" s="7"/>
      <c r="N58" s="7"/>
      <c r="O58" s="7"/>
      <c r="P58" s="7"/>
      <c r="Q58" s="7"/>
      <c r="R58" s="7"/>
      <c r="S58" s="7"/>
      <c r="T58" s="7"/>
      <c r="U58" s="7"/>
      <c r="V58" s="7"/>
      <c r="W58" s="7"/>
    </row>
    <row r="59" ht="14.25" customHeight="1">
      <c r="A59" s="731"/>
      <c r="B59" s="732" t="s">
        <v>1170</v>
      </c>
      <c r="C59" s="732" t="s">
        <v>7</v>
      </c>
      <c r="D59" s="1525"/>
      <c r="E59" s="65"/>
      <c r="F59" s="65"/>
      <c r="G59" s="65"/>
      <c r="H59" s="65"/>
      <c r="I59" s="65"/>
      <c r="J59" s="65"/>
      <c r="K59" s="65"/>
      <c r="L59" s="65"/>
      <c r="M59" s="65"/>
      <c r="N59" s="66"/>
      <c r="O59" s="7"/>
      <c r="P59" s="7"/>
      <c r="Q59" s="7"/>
      <c r="R59" s="7"/>
      <c r="S59" s="7"/>
      <c r="T59" s="7"/>
      <c r="U59" s="7"/>
      <c r="V59" s="7"/>
      <c r="W59" s="7"/>
    </row>
    <row r="60" ht="14.25" customHeight="1">
      <c r="A60" s="1452" t="s">
        <v>554</v>
      </c>
      <c r="B60" s="390"/>
      <c r="C60" s="1453"/>
      <c r="D60" s="1526" t="s">
        <v>780</v>
      </c>
      <c r="E60" s="1526" t="s">
        <v>782</v>
      </c>
      <c r="F60" s="1526" t="s">
        <v>766</v>
      </c>
      <c r="G60" s="1526" t="s">
        <v>770</v>
      </c>
      <c r="H60" s="1527" t="s">
        <v>772</v>
      </c>
      <c r="I60" s="1527" t="s">
        <v>774</v>
      </c>
      <c r="J60" s="1527" t="s">
        <v>776</v>
      </c>
      <c r="K60" s="1527" t="s">
        <v>778</v>
      </c>
      <c r="L60" s="1527" t="s">
        <v>780</v>
      </c>
      <c r="M60" s="1527" t="s">
        <v>782</v>
      </c>
      <c r="N60" s="1527" t="s">
        <v>784</v>
      </c>
      <c r="O60" s="7"/>
      <c r="P60" s="7"/>
      <c r="Q60" s="7"/>
      <c r="R60" s="7"/>
      <c r="S60" s="7"/>
      <c r="T60" s="7"/>
      <c r="U60" s="7"/>
      <c r="V60" s="7"/>
      <c r="W60" s="7"/>
    </row>
    <row r="61" ht="14.25" customHeight="1">
      <c r="A61" s="1528" t="s">
        <v>1338</v>
      </c>
      <c r="B61" s="1255" t="s">
        <v>141</v>
      </c>
      <c r="C61" s="1505" t="s">
        <v>21</v>
      </c>
      <c r="D61" s="1506" t="s">
        <v>69</v>
      </c>
      <c r="E61" s="1506" t="s">
        <v>69</v>
      </c>
      <c r="F61" s="1506" t="s">
        <v>69</v>
      </c>
      <c r="G61" s="1506" t="s">
        <v>69</v>
      </c>
      <c r="H61" s="1506" t="s">
        <v>1339</v>
      </c>
      <c r="I61" s="1506" t="s">
        <v>1339</v>
      </c>
      <c r="J61" s="1506" t="s">
        <v>1339</v>
      </c>
      <c r="K61" s="1506" t="s">
        <v>1339</v>
      </c>
      <c r="L61" s="1506" t="s">
        <v>1339</v>
      </c>
      <c r="M61" s="1506" t="s">
        <v>1339</v>
      </c>
      <c r="N61" s="1527" t="s">
        <v>1339</v>
      </c>
      <c r="O61" s="7"/>
      <c r="P61" s="7"/>
      <c r="Q61" s="7"/>
      <c r="R61" s="7"/>
      <c r="S61" s="7"/>
      <c r="T61" s="7"/>
      <c r="U61" s="7"/>
      <c r="V61" s="7"/>
      <c r="W61" s="7"/>
    </row>
    <row r="62" ht="14.25" customHeight="1">
      <c r="B62" s="1023" t="s">
        <v>1266</v>
      </c>
      <c r="C62" s="1508" t="s">
        <v>107</v>
      </c>
      <c r="D62" s="1506" t="s">
        <v>69</v>
      </c>
      <c r="E62" s="1506" t="s">
        <v>69</v>
      </c>
      <c r="F62" s="1506" t="s">
        <v>69</v>
      </c>
      <c r="G62" s="1506" t="s">
        <v>69</v>
      </c>
      <c r="H62" s="1506" t="s">
        <v>1339</v>
      </c>
      <c r="I62" s="1506" t="s">
        <v>1339</v>
      </c>
      <c r="J62" s="1506" t="s">
        <v>1339</v>
      </c>
      <c r="K62" s="1506" t="s">
        <v>1339</v>
      </c>
      <c r="L62" s="1506" t="s">
        <v>1339</v>
      </c>
      <c r="M62" s="1506" t="s">
        <v>1339</v>
      </c>
      <c r="N62" s="1527" t="s">
        <v>1339</v>
      </c>
      <c r="O62" s="7"/>
      <c r="P62" s="7"/>
      <c r="Q62" s="7"/>
      <c r="R62" s="7"/>
      <c r="S62" s="7"/>
      <c r="T62" s="7"/>
      <c r="U62" s="7"/>
      <c r="V62" s="7"/>
      <c r="W62" s="7"/>
    </row>
    <row r="63" ht="14.25" customHeight="1">
      <c r="A63" s="390"/>
      <c r="B63" s="1529" t="s">
        <v>1197</v>
      </c>
      <c r="C63" s="1530" t="s">
        <v>437</v>
      </c>
      <c r="D63" s="1506" t="s">
        <v>70</v>
      </c>
      <c r="E63" s="1506" t="s">
        <v>69</v>
      </c>
      <c r="F63" s="1506" t="s">
        <v>69</v>
      </c>
      <c r="G63" s="1506" t="s">
        <v>69</v>
      </c>
      <c r="H63" s="1506" t="s">
        <v>1339</v>
      </c>
      <c r="I63" s="1506" t="s">
        <v>1339</v>
      </c>
      <c r="J63" s="1506" t="s">
        <v>1339</v>
      </c>
      <c r="K63" s="1506" t="s">
        <v>1339</v>
      </c>
      <c r="L63" s="1506" t="s">
        <v>1339</v>
      </c>
      <c r="M63" s="1506" t="s">
        <v>1339</v>
      </c>
      <c r="N63" s="1527" t="s">
        <v>1339</v>
      </c>
      <c r="O63" s="7"/>
      <c r="P63" s="7"/>
      <c r="Q63" s="7"/>
      <c r="R63" s="7"/>
      <c r="S63" s="7"/>
      <c r="T63" s="7"/>
      <c r="U63" s="7"/>
      <c r="V63" s="7"/>
      <c r="W63" s="7"/>
    </row>
    <row r="64" ht="14.25" customHeight="1">
      <c r="A64" s="1528" t="s">
        <v>1340</v>
      </c>
      <c r="B64" s="1531" t="s">
        <v>1208</v>
      </c>
      <c r="C64" s="1515" t="s">
        <v>23</v>
      </c>
      <c r="D64" s="1506" t="s">
        <v>69</v>
      </c>
      <c r="E64" s="1506" t="s">
        <v>69</v>
      </c>
      <c r="F64" s="1506" t="s">
        <v>70</v>
      </c>
      <c r="G64" s="1506" t="s">
        <v>70</v>
      </c>
      <c r="H64" s="1506" t="s">
        <v>1339</v>
      </c>
      <c r="I64" s="1506" t="s">
        <v>1339</v>
      </c>
      <c r="J64" s="1506" t="s">
        <v>1339</v>
      </c>
      <c r="K64" s="1506" t="s">
        <v>1339</v>
      </c>
      <c r="L64" s="1506" t="s">
        <v>1339</v>
      </c>
      <c r="M64" s="1506" t="s">
        <v>1339</v>
      </c>
      <c r="N64" s="1527" t="s">
        <v>1339</v>
      </c>
      <c r="O64" s="7"/>
      <c r="P64" s="7"/>
      <c r="Q64" s="7"/>
      <c r="R64" s="7"/>
      <c r="S64" s="7"/>
      <c r="T64" s="7"/>
      <c r="U64" s="7"/>
      <c r="V64" s="7"/>
      <c r="W64" s="7"/>
    </row>
    <row r="65" ht="14.25" customHeight="1">
      <c r="B65" s="952" t="s">
        <v>1314</v>
      </c>
      <c r="C65" s="1511" t="s">
        <v>12</v>
      </c>
      <c r="D65" s="1506" t="s">
        <v>69</v>
      </c>
      <c r="E65" s="1506" t="s">
        <v>70</v>
      </c>
      <c r="F65" s="1506" t="s">
        <v>70</v>
      </c>
      <c r="G65" s="1506" t="s">
        <v>70</v>
      </c>
      <c r="H65" s="1506" t="s">
        <v>1339</v>
      </c>
      <c r="I65" s="1506" t="s">
        <v>1339</v>
      </c>
      <c r="J65" s="1506" t="s">
        <v>1339</v>
      </c>
      <c r="K65" s="1506" t="s">
        <v>1339</v>
      </c>
      <c r="L65" s="1506" t="s">
        <v>1339</v>
      </c>
      <c r="M65" s="1506" t="s">
        <v>1339</v>
      </c>
      <c r="N65" s="1527" t="s">
        <v>1339</v>
      </c>
      <c r="O65" s="7"/>
      <c r="P65" s="7"/>
      <c r="Q65" s="7"/>
      <c r="R65" s="7"/>
      <c r="S65" s="7"/>
      <c r="T65" s="7"/>
      <c r="U65" s="7"/>
      <c r="V65" s="7"/>
      <c r="W65" s="7"/>
    </row>
    <row r="66" ht="14.25" customHeight="1">
      <c r="A66" s="390"/>
      <c r="B66" s="1532" t="s">
        <v>1185</v>
      </c>
      <c r="C66" s="1533" t="s">
        <v>25</v>
      </c>
      <c r="D66" s="1506" t="s">
        <v>69</v>
      </c>
      <c r="E66" s="1506" t="s">
        <v>69</v>
      </c>
      <c r="F66" s="1506" t="s">
        <v>70</v>
      </c>
      <c r="G66" s="1506" t="s">
        <v>70</v>
      </c>
      <c r="H66" s="1506" t="s">
        <v>1339</v>
      </c>
      <c r="I66" s="1506" t="s">
        <v>1339</v>
      </c>
      <c r="J66" s="1506" t="s">
        <v>1339</v>
      </c>
      <c r="K66" s="1506" t="s">
        <v>1339</v>
      </c>
      <c r="L66" s="1506" t="s">
        <v>1339</v>
      </c>
      <c r="M66" s="1506" t="s">
        <v>1339</v>
      </c>
      <c r="N66" s="1527" t="s">
        <v>1339</v>
      </c>
      <c r="O66" s="7"/>
      <c r="P66" s="7"/>
      <c r="Q66" s="7"/>
      <c r="R66" s="7"/>
      <c r="S66" s="7"/>
      <c r="T66" s="7"/>
      <c r="U66" s="7"/>
      <c r="V66" s="7"/>
      <c r="W66" s="7"/>
    </row>
    <row r="67" ht="14.25" customHeight="1">
      <c r="A67" s="1534" t="s">
        <v>68</v>
      </c>
      <c r="B67" s="732"/>
      <c r="D67" s="1082" t="s">
        <v>1337</v>
      </c>
      <c r="N67" s="71"/>
      <c r="O67" s="7"/>
      <c r="P67" s="7"/>
      <c r="Q67" s="7"/>
      <c r="R67" s="7"/>
      <c r="S67" s="7"/>
      <c r="T67" s="7"/>
      <c r="U67" s="7"/>
      <c r="V67" s="7"/>
      <c r="W67" s="7"/>
    </row>
    <row r="68" ht="14.25" customHeight="1">
      <c r="A68" s="622"/>
      <c r="B68" s="790" t="s">
        <v>69</v>
      </c>
      <c r="D68" s="1519">
        <f t="shared" ref="D68:N68" si="8">COUNTIF(D61:D66,"Voor")</f>
        <v>5</v>
      </c>
      <c r="E68" s="1519">
        <f t="shared" si="8"/>
        <v>5</v>
      </c>
      <c r="F68" s="1519">
        <f t="shared" si="8"/>
        <v>3</v>
      </c>
      <c r="G68" s="1519">
        <f t="shared" si="8"/>
        <v>3</v>
      </c>
      <c r="H68" s="1519">
        <f t="shared" si="8"/>
        <v>0</v>
      </c>
      <c r="I68" s="1519">
        <f t="shared" si="8"/>
        <v>0</v>
      </c>
      <c r="J68" s="1519">
        <f t="shared" si="8"/>
        <v>0</v>
      </c>
      <c r="K68" s="1519">
        <f t="shared" si="8"/>
        <v>0</v>
      </c>
      <c r="L68" s="1519">
        <f t="shared" si="8"/>
        <v>0</v>
      </c>
      <c r="M68" s="1519">
        <f t="shared" si="8"/>
        <v>0</v>
      </c>
      <c r="N68" s="1519">
        <f t="shared" si="8"/>
        <v>0</v>
      </c>
      <c r="O68" s="7"/>
      <c r="P68" s="7"/>
      <c r="Q68" s="7"/>
      <c r="R68" s="7"/>
      <c r="S68" s="7"/>
      <c r="T68" s="7"/>
      <c r="U68" s="7"/>
      <c r="V68" s="7"/>
      <c r="W68" s="7"/>
    </row>
    <row r="69" ht="14.25" customHeight="1">
      <c r="A69" s="622"/>
      <c r="B69" s="792" t="s">
        <v>70</v>
      </c>
      <c r="D69" s="1520">
        <f t="shared" ref="D69:N69" si="9">COUNTIF(D61:D66,"Tegen")</f>
        <v>1</v>
      </c>
      <c r="E69" s="1520">
        <f t="shared" si="9"/>
        <v>1</v>
      </c>
      <c r="F69" s="1520">
        <f t="shared" si="9"/>
        <v>3</v>
      </c>
      <c r="G69" s="1520">
        <f t="shared" si="9"/>
        <v>3</v>
      </c>
      <c r="H69" s="1520">
        <f t="shared" si="9"/>
        <v>0</v>
      </c>
      <c r="I69" s="1520">
        <f t="shared" si="9"/>
        <v>0</v>
      </c>
      <c r="J69" s="1520">
        <f t="shared" si="9"/>
        <v>0</v>
      </c>
      <c r="K69" s="1520">
        <f t="shared" si="9"/>
        <v>0</v>
      </c>
      <c r="L69" s="1520">
        <f t="shared" si="9"/>
        <v>0</v>
      </c>
      <c r="M69" s="1520">
        <f t="shared" si="9"/>
        <v>0</v>
      </c>
      <c r="N69" s="1520">
        <f t="shared" si="9"/>
        <v>0</v>
      </c>
      <c r="O69" s="7"/>
      <c r="P69" s="7"/>
      <c r="Q69" s="7"/>
      <c r="R69" s="7"/>
      <c r="S69" s="7"/>
      <c r="T69" s="7"/>
      <c r="U69" s="7"/>
      <c r="V69" s="7"/>
      <c r="W69" s="7"/>
    </row>
    <row r="70" ht="14.25" customHeight="1">
      <c r="A70" s="622"/>
      <c r="B70" s="794" t="s">
        <v>71</v>
      </c>
      <c r="D70" s="1521">
        <f t="shared" ref="D70:N70" si="10">COUNTIF(D61:D66,"SO")</f>
        <v>0</v>
      </c>
      <c r="E70" s="1521">
        <f t="shared" si="10"/>
        <v>0</v>
      </c>
      <c r="F70" s="1521">
        <f t="shared" si="10"/>
        <v>0</v>
      </c>
      <c r="G70" s="1521">
        <f t="shared" si="10"/>
        <v>0</v>
      </c>
      <c r="H70" s="1521">
        <f t="shared" si="10"/>
        <v>0</v>
      </c>
      <c r="I70" s="1521">
        <f t="shared" si="10"/>
        <v>0</v>
      </c>
      <c r="J70" s="1521">
        <f t="shared" si="10"/>
        <v>0</v>
      </c>
      <c r="K70" s="1521">
        <f t="shared" si="10"/>
        <v>0</v>
      </c>
      <c r="L70" s="1521">
        <f t="shared" si="10"/>
        <v>0</v>
      </c>
      <c r="M70" s="1521">
        <f t="shared" si="10"/>
        <v>0</v>
      </c>
      <c r="N70" s="1521">
        <f t="shared" si="10"/>
        <v>0</v>
      </c>
      <c r="O70" s="7"/>
      <c r="P70" s="7"/>
      <c r="Q70" s="7"/>
      <c r="R70" s="7"/>
      <c r="S70" s="7"/>
      <c r="T70" s="7"/>
      <c r="U70" s="7"/>
      <c r="V70" s="7"/>
      <c r="W70" s="7"/>
    </row>
    <row r="71" ht="14.25" customHeight="1">
      <c r="A71" s="622"/>
      <c r="B71" s="796" t="s">
        <v>72</v>
      </c>
      <c r="D71" s="1522">
        <f t="shared" ref="D71:N71" si="11">COUNTIF(D61:D66,"NG")</f>
        <v>0</v>
      </c>
      <c r="E71" s="1522">
        <f t="shared" si="11"/>
        <v>0</v>
      </c>
      <c r="F71" s="1522">
        <f t="shared" si="11"/>
        <v>0</v>
      </c>
      <c r="G71" s="1522">
        <f t="shared" si="11"/>
        <v>0</v>
      </c>
      <c r="H71" s="1522">
        <f t="shared" si="11"/>
        <v>0</v>
      </c>
      <c r="I71" s="1522">
        <f t="shared" si="11"/>
        <v>0</v>
      </c>
      <c r="J71" s="1522">
        <f t="shared" si="11"/>
        <v>0</v>
      </c>
      <c r="K71" s="1522">
        <f t="shared" si="11"/>
        <v>0</v>
      </c>
      <c r="L71" s="1522">
        <f t="shared" si="11"/>
        <v>0</v>
      </c>
      <c r="M71" s="1522">
        <f t="shared" si="11"/>
        <v>0</v>
      </c>
      <c r="N71" s="1522">
        <f t="shared" si="11"/>
        <v>0</v>
      </c>
      <c r="O71" s="7"/>
      <c r="P71" s="7"/>
      <c r="Q71" s="7"/>
      <c r="R71" s="7"/>
      <c r="S71" s="7"/>
      <c r="T71" s="7"/>
      <c r="U71" s="7"/>
      <c r="V71" s="7"/>
      <c r="W71" s="7"/>
    </row>
    <row r="72" ht="14.25" customHeight="1">
      <c r="A72" s="622"/>
      <c r="B72" s="798" t="s">
        <v>73</v>
      </c>
      <c r="D72" s="906">
        <f t="shared" ref="D72:N72" si="12">SUM(D68:D71)</f>
        <v>6</v>
      </c>
      <c r="E72" s="906">
        <f t="shared" si="12"/>
        <v>6</v>
      </c>
      <c r="F72" s="906">
        <f t="shared" si="12"/>
        <v>6</v>
      </c>
      <c r="G72" s="906">
        <f t="shared" si="12"/>
        <v>6</v>
      </c>
      <c r="H72" s="906">
        <f t="shared" si="12"/>
        <v>0</v>
      </c>
      <c r="I72" s="906">
        <f t="shared" si="12"/>
        <v>0</v>
      </c>
      <c r="J72" s="906">
        <f t="shared" si="12"/>
        <v>0</v>
      </c>
      <c r="K72" s="906">
        <f t="shared" si="12"/>
        <v>0</v>
      </c>
      <c r="L72" s="906">
        <f t="shared" si="12"/>
        <v>0</v>
      </c>
      <c r="M72" s="906">
        <f t="shared" si="12"/>
        <v>0</v>
      </c>
      <c r="N72" s="906">
        <f t="shared" si="12"/>
        <v>0</v>
      </c>
      <c r="O72" s="7"/>
      <c r="P72" s="7"/>
      <c r="Q72" s="7"/>
      <c r="R72" s="7"/>
      <c r="S72" s="7"/>
      <c r="T72" s="7"/>
      <c r="U72" s="7"/>
      <c r="V72" s="7"/>
      <c r="W72" s="7"/>
    </row>
    <row r="73" ht="14.25" customHeight="1">
      <c r="A73" s="622"/>
      <c r="B73" s="800" t="s">
        <v>74</v>
      </c>
      <c r="D73" s="907">
        <f t="shared" ref="D73:N73" si="13">D68+D69+D70</f>
        <v>6</v>
      </c>
      <c r="E73" s="907">
        <f t="shared" si="13"/>
        <v>6</v>
      </c>
      <c r="F73" s="907">
        <f t="shared" si="13"/>
        <v>6</v>
      </c>
      <c r="G73" s="907">
        <f t="shared" si="13"/>
        <v>6</v>
      </c>
      <c r="H73" s="907">
        <f t="shared" si="13"/>
        <v>0</v>
      </c>
      <c r="I73" s="907">
        <f t="shared" si="13"/>
        <v>0</v>
      </c>
      <c r="J73" s="907">
        <f t="shared" si="13"/>
        <v>0</v>
      </c>
      <c r="K73" s="907">
        <f t="shared" si="13"/>
        <v>0</v>
      </c>
      <c r="L73" s="907">
        <f t="shared" si="13"/>
        <v>0</v>
      </c>
      <c r="M73" s="907">
        <f t="shared" si="13"/>
        <v>0</v>
      </c>
      <c r="N73" s="907">
        <f t="shared" si="13"/>
        <v>0</v>
      </c>
      <c r="O73" s="7"/>
      <c r="P73" s="7"/>
      <c r="Q73" s="7"/>
      <c r="R73" s="7"/>
      <c r="S73" s="7"/>
      <c r="T73" s="7"/>
      <c r="U73" s="7"/>
      <c r="V73" s="7"/>
      <c r="W73" s="7"/>
    </row>
    <row r="74" ht="14.25" customHeight="1">
      <c r="A74" s="622"/>
      <c r="B74" s="1535" t="s">
        <v>75</v>
      </c>
      <c r="C74" s="1056"/>
      <c r="D74" s="1536">
        <f t="shared" ref="D74:I74" si="14">IFERROR(D73/D72,"")</f>
        <v>1</v>
      </c>
      <c r="E74" s="1536">
        <f t="shared" si="14"/>
        <v>1</v>
      </c>
      <c r="F74" s="1536">
        <f t="shared" si="14"/>
        <v>1</v>
      </c>
      <c r="G74" s="1536">
        <f t="shared" si="14"/>
        <v>1</v>
      </c>
      <c r="H74" s="1536" t="str">
        <f t="shared" si="14"/>
        <v/>
      </c>
      <c r="I74" s="1245" t="str">
        <f t="shared" si="14"/>
        <v/>
      </c>
      <c r="J74" s="1537"/>
      <c r="K74" s="1537"/>
      <c r="L74" s="1537"/>
      <c r="M74" s="1537"/>
      <c r="N74" s="1537"/>
      <c r="O74" s="7"/>
      <c r="P74" s="7"/>
      <c r="Q74" s="7"/>
      <c r="R74" s="7"/>
      <c r="S74" s="7"/>
      <c r="T74" s="7"/>
      <c r="U74" s="7"/>
      <c r="V74" s="7"/>
      <c r="W74" s="7"/>
    </row>
    <row r="75" ht="14.25" customHeight="1">
      <c r="A75" s="1131"/>
      <c r="B75" s="1131"/>
      <c r="C75" s="1131"/>
      <c r="D75" s="1131"/>
      <c r="E75" s="1131"/>
      <c r="F75" s="1131"/>
      <c r="G75" s="1131"/>
      <c r="H75" s="1538"/>
      <c r="I75" s="914"/>
      <c r="J75" s="914"/>
      <c r="K75" s="914"/>
      <c r="L75" s="914"/>
      <c r="M75" s="914"/>
      <c r="N75" s="915"/>
      <c r="O75" s="7"/>
      <c r="P75" s="7"/>
      <c r="Q75" s="7"/>
      <c r="R75" s="7"/>
      <c r="S75" s="7"/>
      <c r="T75" s="7"/>
      <c r="U75" s="7"/>
      <c r="V75" s="7"/>
      <c r="W75" s="7"/>
    </row>
    <row r="76" ht="14.25" customHeight="1">
      <c r="A76" s="731"/>
      <c r="B76" s="732" t="s">
        <v>1170</v>
      </c>
      <c r="C76" s="732" t="s">
        <v>7</v>
      </c>
      <c r="D76" s="1525"/>
      <c r="E76" s="65"/>
      <c r="F76" s="65"/>
      <c r="G76" s="65"/>
      <c r="H76" s="65"/>
      <c r="I76" s="65"/>
      <c r="J76" s="3"/>
      <c r="K76" s="3"/>
      <c r="L76" s="3"/>
      <c r="M76" s="3"/>
      <c r="N76" s="3"/>
      <c r="O76" s="3"/>
      <c r="P76" s="3"/>
      <c r="Q76" s="3"/>
      <c r="R76" s="3"/>
      <c r="S76" s="3"/>
      <c r="T76" s="3"/>
      <c r="U76" s="3"/>
      <c r="V76" s="3"/>
      <c r="W76" s="3"/>
    </row>
    <row r="77" ht="14.25" customHeight="1">
      <c r="A77" s="1481" t="s">
        <v>507</v>
      </c>
      <c r="B77" s="390"/>
      <c r="C77" s="1453"/>
      <c r="D77" s="1526" t="s">
        <v>768</v>
      </c>
      <c r="E77" s="1526" t="s">
        <v>772</v>
      </c>
      <c r="F77" s="1526" t="s">
        <v>774</v>
      </c>
      <c r="G77" s="1526" t="s">
        <v>778</v>
      </c>
      <c r="H77" s="1527" t="s">
        <v>784</v>
      </c>
      <c r="I77" s="1539"/>
      <c r="J77" s="7"/>
      <c r="K77" s="7"/>
      <c r="L77" s="7"/>
      <c r="M77" s="7"/>
      <c r="N77" s="7"/>
      <c r="O77" s="7"/>
      <c r="P77" s="7"/>
      <c r="Q77" s="7"/>
      <c r="R77" s="7"/>
      <c r="S77" s="7"/>
      <c r="T77" s="7"/>
      <c r="U77" s="7"/>
      <c r="V77" s="7"/>
      <c r="W77" s="7"/>
    </row>
    <row r="78" ht="14.25" customHeight="1">
      <c r="A78" s="1483" t="s">
        <v>1338</v>
      </c>
      <c r="B78" s="1255" t="s">
        <v>141</v>
      </c>
      <c r="C78" s="1505" t="s">
        <v>21</v>
      </c>
      <c r="D78" s="1509" t="s">
        <v>69</v>
      </c>
      <c r="E78" s="1509" t="s">
        <v>69</v>
      </c>
      <c r="F78" s="957" t="s">
        <v>70</v>
      </c>
      <c r="G78" s="1509" t="s">
        <v>69</v>
      </c>
      <c r="H78" s="1509" t="s">
        <v>69</v>
      </c>
      <c r="I78" s="1540"/>
      <c r="J78" s="7"/>
      <c r="K78" s="7"/>
      <c r="L78" s="7"/>
      <c r="M78" s="7"/>
      <c r="N78" s="7"/>
      <c r="O78" s="7"/>
      <c r="P78" s="7"/>
      <c r="Q78" s="7"/>
      <c r="R78" s="7"/>
      <c r="S78" s="7"/>
      <c r="T78" s="7"/>
      <c r="U78" s="7"/>
      <c r="V78" s="7"/>
      <c r="W78" s="7"/>
    </row>
    <row r="79" ht="14.25" customHeight="1">
      <c r="B79" s="1531" t="s">
        <v>1208</v>
      </c>
      <c r="C79" s="1515" t="s">
        <v>23</v>
      </c>
      <c r="D79" s="1509" t="s">
        <v>69</v>
      </c>
      <c r="E79" s="1509" t="s">
        <v>69</v>
      </c>
      <c r="F79" s="1541" t="s">
        <v>70</v>
      </c>
      <c r="G79" s="1541" t="s">
        <v>70</v>
      </c>
      <c r="H79" s="820" t="s">
        <v>69</v>
      </c>
      <c r="I79" s="1542"/>
      <c r="J79" s="7"/>
      <c r="K79" s="7"/>
      <c r="L79" s="7"/>
      <c r="M79" s="1131"/>
      <c r="N79" s="7"/>
      <c r="O79" s="7"/>
      <c r="P79" s="7"/>
      <c r="Q79" s="7"/>
      <c r="R79" s="7"/>
      <c r="S79" s="7"/>
      <c r="T79" s="7"/>
      <c r="U79" s="7"/>
      <c r="V79" s="7"/>
      <c r="W79" s="7"/>
    </row>
    <row r="80" ht="14.25" customHeight="1">
      <c r="A80" s="390"/>
      <c r="B80" s="952" t="s">
        <v>1314</v>
      </c>
      <c r="C80" s="1511" t="s">
        <v>12</v>
      </c>
      <c r="D80" s="1509" t="s">
        <v>69</v>
      </c>
      <c r="E80" s="1509" t="s">
        <v>69</v>
      </c>
      <c r="F80" s="1541" t="s">
        <v>100</v>
      </c>
      <c r="G80" s="1541" t="s">
        <v>100</v>
      </c>
      <c r="H80" s="820" t="s">
        <v>69</v>
      </c>
      <c r="I80" s="1542"/>
      <c r="J80" s="7"/>
      <c r="K80" s="7"/>
      <c r="L80" s="7"/>
      <c r="M80" s="7"/>
      <c r="N80" s="7"/>
      <c r="O80" s="7"/>
      <c r="P80" s="7"/>
      <c r="Q80" s="7"/>
      <c r="R80" s="7"/>
      <c r="S80" s="7"/>
      <c r="T80" s="7"/>
      <c r="U80" s="7"/>
      <c r="V80" s="7"/>
      <c r="W80" s="7"/>
    </row>
    <row r="81" ht="14.25" customHeight="1">
      <c r="A81" s="1483" t="s">
        <v>1340</v>
      </c>
      <c r="B81" s="1023" t="s">
        <v>1266</v>
      </c>
      <c r="C81" s="1508" t="s">
        <v>107</v>
      </c>
      <c r="D81" s="820" t="s">
        <v>69</v>
      </c>
      <c r="E81" s="820" t="s">
        <v>69</v>
      </c>
      <c r="F81" s="1541" t="s">
        <v>100</v>
      </c>
      <c r="G81" s="1541" t="s">
        <v>100</v>
      </c>
      <c r="H81" s="820" t="s">
        <v>69</v>
      </c>
      <c r="I81" s="1542"/>
      <c r="J81" s="7"/>
      <c r="K81" s="7"/>
      <c r="L81" s="7"/>
      <c r="M81" s="7"/>
      <c r="N81" s="7"/>
      <c r="O81" s="7"/>
      <c r="P81" s="7"/>
      <c r="Q81" s="7"/>
      <c r="R81" s="7"/>
      <c r="S81" s="7"/>
      <c r="T81" s="7"/>
      <c r="U81" s="7"/>
      <c r="V81" s="7"/>
      <c r="W81" s="7"/>
    </row>
    <row r="82" ht="14.25" customHeight="1">
      <c r="B82" s="1529" t="s">
        <v>1197</v>
      </c>
      <c r="C82" s="1530" t="s">
        <v>437</v>
      </c>
      <c r="D82" s="820" t="s">
        <v>69</v>
      </c>
      <c r="E82" s="820" t="s">
        <v>69</v>
      </c>
      <c r="F82" s="820" t="s">
        <v>69</v>
      </c>
      <c r="G82" s="820" t="s">
        <v>69</v>
      </c>
      <c r="H82" s="820" t="s">
        <v>69</v>
      </c>
      <c r="I82" s="1542"/>
      <c r="J82" s="7"/>
      <c r="K82" s="7"/>
      <c r="L82" s="7"/>
      <c r="M82" s="7"/>
      <c r="N82" s="7"/>
      <c r="O82" s="7"/>
      <c r="P82" s="7"/>
      <c r="Q82" s="7"/>
      <c r="R82" s="7"/>
      <c r="S82" s="7"/>
      <c r="T82" s="7"/>
      <c r="U82" s="7"/>
      <c r="V82" s="7"/>
      <c r="W82" s="7"/>
    </row>
    <row r="83" ht="14.25" customHeight="1">
      <c r="A83" s="390"/>
      <c r="B83" s="954" t="s">
        <v>1185</v>
      </c>
      <c r="C83" s="954" t="s">
        <v>25</v>
      </c>
      <c r="D83" s="820" t="s">
        <v>69</v>
      </c>
      <c r="E83" s="820" t="s">
        <v>69</v>
      </c>
      <c r="F83" s="1541" t="s">
        <v>70</v>
      </c>
      <c r="G83" s="1541" t="s">
        <v>70</v>
      </c>
      <c r="H83" s="820" t="s">
        <v>69</v>
      </c>
      <c r="I83" s="1542"/>
      <c r="J83" s="7"/>
      <c r="K83" s="7"/>
      <c r="L83" s="7"/>
      <c r="M83" s="7"/>
      <c r="N83" s="7"/>
      <c r="O83" s="7"/>
      <c r="P83" s="7"/>
      <c r="Q83" s="7"/>
      <c r="R83" s="7"/>
      <c r="S83" s="7"/>
      <c r="T83" s="7"/>
      <c r="U83" s="7"/>
      <c r="V83" s="7"/>
      <c r="W83" s="7"/>
    </row>
    <row r="84" ht="14.25" customHeight="1">
      <c r="A84" s="1472" t="s">
        <v>68</v>
      </c>
      <c r="B84" s="732"/>
      <c r="D84" s="1543" t="s">
        <v>1337</v>
      </c>
      <c r="I84" s="71"/>
      <c r="J84" s="7"/>
      <c r="K84" s="7"/>
      <c r="L84" s="7"/>
      <c r="M84" s="7"/>
      <c r="N84" s="7"/>
      <c r="O84" s="7"/>
      <c r="P84" s="7"/>
      <c r="Q84" s="7"/>
      <c r="R84" s="7"/>
      <c r="S84" s="7"/>
      <c r="T84" s="7"/>
      <c r="U84" s="7"/>
      <c r="V84" s="7"/>
      <c r="W84" s="7"/>
    </row>
    <row r="85" ht="14.25" customHeight="1">
      <c r="A85" s="622"/>
      <c r="B85" s="790" t="s">
        <v>69</v>
      </c>
      <c r="D85" s="1519">
        <f t="shared" ref="D85:I85" si="15">COUNTIF(D78:D83,"Voor")</f>
        <v>6</v>
      </c>
      <c r="E85" s="1519">
        <f t="shared" si="15"/>
        <v>6</v>
      </c>
      <c r="F85" s="1519">
        <f t="shared" si="15"/>
        <v>1</v>
      </c>
      <c r="G85" s="1519">
        <f t="shared" si="15"/>
        <v>2</v>
      </c>
      <c r="H85" s="1519">
        <f t="shared" si="15"/>
        <v>6</v>
      </c>
      <c r="I85" s="1544">
        <f t="shared" si="15"/>
        <v>0</v>
      </c>
      <c r="J85" s="7"/>
      <c r="K85" s="7"/>
      <c r="L85" s="7"/>
      <c r="M85" s="7"/>
      <c r="N85" s="7"/>
      <c r="O85" s="7"/>
      <c r="P85" s="7"/>
      <c r="Q85" s="7"/>
      <c r="R85" s="7"/>
      <c r="S85" s="7"/>
      <c r="T85" s="7"/>
      <c r="U85" s="7"/>
      <c r="V85" s="7"/>
      <c r="W85" s="7"/>
    </row>
    <row r="86" ht="14.25" customHeight="1">
      <c r="A86" s="622"/>
      <c r="B86" s="792" t="s">
        <v>70</v>
      </c>
      <c r="D86" s="1520">
        <f t="shared" ref="D86:I86" si="16">COUNTIF(D78:D83,"Tegen")</f>
        <v>0</v>
      </c>
      <c r="E86" s="1520">
        <f t="shared" si="16"/>
        <v>0</v>
      </c>
      <c r="F86" s="1520">
        <f t="shared" si="16"/>
        <v>3</v>
      </c>
      <c r="G86" s="1520">
        <f t="shared" si="16"/>
        <v>2</v>
      </c>
      <c r="H86" s="1520">
        <f t="shared" si="16"/>
        <v>0</v>
      </c>
      <c r="I86" s="1545">
        <f t="shared" si="16"/>
        <v>0</v>
      </c>
      <c r="J86" s="7"/>
      <c r="K86" s="7"/>
      <c r="L86" s="7"/>
      <c r="M86" s="7"/>
      <c r="N86" s="7"/>
      <c r="O86" s="7"/>
      <c r="P86" s="7"/>
      <c r="Q86" s="7"/>
      <c r="R86" s="7"/>
      <c r="S86" s="7"/>
      <c r="T86" s="7"/>
      <c r="U86" s="7"/>
      <c r="V86" s="7"/>
      <c r="W86" s="7"/>
    </row>
    <row r="87" ht="14.25" customHeight="1">
      <c r="A87" s="622"/>
      <c r="B87" s="794" t="s">
        <v>71</v>
      </c>
      <c r="D87" s="1521">
        <f t="shared" ref="D87:I87" si="17">COUNTIF(D78:D83,"SO")</f>
        <v>0</v>
      </c>
      <c r="E87" s="1521">
        <f t="shared" si="17"/>
        <v>0</v>
      </c>
      <c r="F87" s="1521">
        <f t="shared" si="17"/>
        <v>0</v>
      </c>
      <c r="G87" s="1521">
        <f t="shared" si="17"/>
        <v>0</v>
      </c>
      <c r="H87" s="1521">
        <f t="shared" si="17"/>
        <v>0</v>
      </c>
      <c r="I87" s="1546">
        <f t="shared" si="17"/>
        <v>0</v>
      </c>
      <c r="J87" s="7"/>
      <c r="K87" s="7"/>
      <c r="L87" s="7"/>
      <c r="M87" s="7"/>
      <c r="N87" s="7"/>
      <c r="O87" s="7"/>
      <c r="P87" s="7"/>
      <c r="Q87" s="7"/>
      <c r="R87" s="7"/>
      <c r="S87" s="7"/>
      <c r="T87" s="7"/>
      <c r="U87" s="7"/>
      <c r="V87" s="7"/>
      <c r="W87" s="7"/>
    </row>
    <row r="88" ht="14.25" customHeight="1">
      <c r="A88" s="622"/>
      <c r="B88" s="796" t="s">
        <v>72</v>
      </c>
      <c r="D88" s="1522">
        <f t="shared" ref="D88:I88" si="18">COUNTIF(D78:D83,"NG")</f>
        <v>0</v>
      </c>
      <c r="E88" s="1522">
        <f t="shared" si="18"/>
        <v>0</v>
      </c>
      <c r="F88" s="1522">
        <f t="shared" si="18"/>
        <v>2</v>
      </c>
      <c r="G88" s="1522">
        <f t="shared" si="18"/>
        <v>2</v>
      </c>
      <c r="H88" s="1522">
        <f t="shared" si="18"/>
        <v>0</v>
      </c>
      <c r="I88" s="1547">
        <f t="shared" si="18"/>
        <v>0</v>
      </c>
      <c r="J88" s="7"/>
      <c r="K88" s="7"/>
      <c r="L88" s="7"/>
      <c r="M88" s="7"/>
      <c r="N88" s="7"/>
      <c r="O88" s="7"/>
      <c r="P88" s="7"/>
      <c r="Q88" s="7"/>
      <c r="R88" s="7"/>
      <c r="S88" s="7"/>
      <c r="T88" s="7"/>
      <c r="U88" s="7"/>
      <c r="V88" s="7"/>
      <c r="W88" s="7"/>
    </row>
    <row r="89" ht="14.25" customHeight="1">
      <c r="A89" s="622"/>
      <c r="B89" s="798" t="s">
        <v>73</v>
      </c>
      <c r="D89" s="906">
        <f t="shared" ref="D89:I89" si="19">SUM(D85:D88)</f>
        <v>6</v>
      </c>
      <c r="E89" s="906">
        <f t="shared" si="19"/>
        <v>6</v>
      </c>
      <c r="F89" s="906">
        <f t="shared" si="19"/>
        <v>6</v>
      </c>
      <c r="G89" s="906">
        <f t="shared" si="19"/>
        <v>6</v>
      </c>
      <c r="H89" s="906">
        <f t="shared" si="19"/>
        <v>6</v>
      </c>
      <c r="I89" s="1548">
        <f t="shared" si="19"/>
        <v>0</v>
      </c>
      <c r="J89" s="7"/>
      <c r="K89" s="7"/>
      <c r="L89" s="7"/>
      <c r="M89" s="7"/>
      <c r="N89" s="7"/>
      <c r="O89" s="7"/>
      <c r="P89" s="7"/>
      <c r="Q89" s="7"/>
      <c r="R89" s="7"/>
      <c r="S89" s="7"/>
      <c r="T89" s="7"/>
      <c r="U89" s="7"/>
      <c r="V89" s="7"/>
      <c r="W89" s="7"/>
    </row>
    <row r="90" ht="14.25" customHeight="1">
      <c r="A90" s="622"/>
      <c r="B90" s="800" t="s">
        <v>74</v>
      </c>
      <c r="D90" s="907">
        <f t="shared" ref="D90:I90" si="20">D85+D86+D87</f>
        <v>6</v>
      </c>
      <c r="E90" s="907">
        <f t="shared" si="20"/>
        <v>6</v>
      </c>
      <c r="F90" s="907">
        <f t="shared" si="20"/>
        <v>4</v>
      </c>
      <c r="G90" s="907">
        <f t="shared" si="20"/>
        <v>4</v>
      </c>
      <c r="H90" s="907">
        <f t="shared" si="20"/>
        <v>6</v>
      </c>
      <c r="I90" s="1549">
        <f t="shared" si="20"/>
        <v>0</v>
      </c>
      <c r="J90" s="7"/>
      <c r="K90" s="7"/>
      <c r="L90" s="7"/>
      <c r="M90" s="7"/>
      <c r="N90" s="7"/>
      <c r="O90" s="7"/>
      <c r="P90" s="7"/>
      <c r="Q90" s="7"/>
      <c r="R90" s="7"/>
      <c r="S90" s="7"/>
      <c r="T90" s="7"/>
      <c r="U90" s="7"/>
      <c r="V90" s="7"/>
      <c r="W90" s="7"/>
    </row>
    <row r="91" ht="14.25" customHeight="1">
      <c r="A91" s="622"/>
      <c r="B91" s="1535" t="s">
        <v>75</v>
      </c>
      <c r="C91" s="1056"/>
      <c r="D91" s="1536">
        <f t="shared" ref="D91:I91" si="21">IFERROR(D90/D89,"")</f>
        <v>1</v>
      </c>
      <c r="E91" s="1536">
        <f t="shared" si="21"/>
        <v>1</v>
      </c>
      <c r="F91" s="1536">
        <f t="shared" si="21"/>
        <v>0.6666666667</v>
      </c>
      <c r="G91" s="1536">
        <f t="shared" si="21"/>
        <v>0.6666666667</v>
      </c>
      <c r="H91" s="1536">
        <f t="shared" si="21"/>
        <v>1</v>
      </c>
      <c r="I91" s="855" t="str">
        <f t="shared" si="21"/>
        <v/>
      </c>
      <c r="J91" s="7"/>
      <c r="K91" s="7"/>
      <c r="L91" s="7"/>
      <c r="M91" s="7"/>
      <c r="N91" s="7"/>
      <c r="O91" s="7"/>
      <c r="P91" s="7"/>
      <c r="Q91" s="7"/>
      <c r="R91" s="7"/>
      <c r="S91" s="7"/>
      <c r="T91" s="7"/>
      <c r="U91" s="7"/>
      <c r="V91" s="7"/>
      <c r="W91" s="7"/>
    </row>
    <row r="92" ht="14.25" customHeight="1">
      <c r="A92" s="1131"/>
      <c r="B92" s="1131"/>
      <c r="C92" s="1131"/>
      <c r="D92" s="1131"/>
      <c r="E92" s="1131"/>
      <c r="F92" s="1131"/>
      <c r="G92" s="1131"/>
      <c r="H92" s="1131"/>
      <c r="I92" s="1131"/>
      <c r="J92" s="11"/>
      <c r="K92" s="7"/>
      <c r="L92" s="7"/>
      <c r="M92" s="7"/>
      <c r="N92" s="7"/>
      <c r="O92" s="7"/>
      <c r="P92" s="7"/>
      <c r="Q92" s="7"/>
      <c r="R92" s="7"/>
      <c r="S92" s="3"/>
      <c r="T92" s="3"/>
      <c r="U92" s="3"/>
      <c r="V92" s="3"/>
      <c r="W92" s="3"/>
    </row>
    <row r="93" ht="14.25" customHeight="1">
      <c r="A93" s="731"/>
      <c r="B93" s="732" t="s">
        <v>1170</v>
      </c>
      <c r="C93" s="732" t="s">
        <v>7</v>
      </c>
      <c r="D93" s="671"/>
      <c r="I93" s="1550"/>
      <c r="J93" s="11"/>
      <c r="K93" s="7"/>
      <c r="L93" s="7"/>
      <c r="M93" s="7"/>
      <c r="N93" s="7"/>
      <c r="O93" s="7"/>
      <c r="P93" s="7"/>
      <c r="Q93" s="7"/>
      <c r="R93" s="7"/>
      <c r="S93" s="7"/>
      <c r="T93" s="7"/>
      <c r="U93" s="7"/>
      <c r="V93" s="7"/>
      <c r="W93" s="7"/>
    </row>
    <row r="94" ht="14.25" customHeight="1">
      <c r="A94" s="1551" t="s">
        <v>481</v>
      </c>
      <c r="D94" s="1526" t="s">
        <v>744</v>
      </c>
      <c r="E94" s="1526" t="s">
        <v>751</v>
      </c>
      <c r="F94" s="1526" t="s">
        <v>753</v>
      </c>
      <c r="G94" s="1526" t="s">
        <v>755</v>
      </c>
      <c r="H94" s="1526" t="s">
        <v>757</v>
      </c>
      <c r="I94" s="1550"/>
      <c r="J94" s="1131"/>
      <c r="K94" s="1131"/>
      <c r="L94" s="1131"/>
      <c r="M94" s="1131"/>
      <c r="N94" s="1131"/>
      <c r="O94" s="1131"/>
      <c r="P94" s="7"/>
      <c r="Q94" s="7"/>
      <c r="R94" s="7"/>
      <c r="S94" s="7"/>
      <c r="T94" s="7"/>
      <c r="U94" s="7"/>
      <c r="V94" s="7"/>
      <c r="W94" s="7"/>
    </row>
    <row r="95" ht="14.25" customHeight="1">
      <c r="A95" s="1552" t="s">
        <v>1333</v>
      </c>
      <c r="B95" s="1100" t="s">
        <v>141</v>
      </c>
      <c r="C95" s="1100" t="s">
        <v>21</v>
      </c>
      <c r="D95" s="1086" t="s">
        <v>69</v>
      </c>
      <c r="E95" s="1086" t="s">
        <v>69</v>
      </c>
      <c r="F95" s="1086" t="s">
        <v>69</v>
      </c>
      <c r="G95" s="957" t="s">
        <v>70</v>
      </c>
      <c r="H95" s="957" t="s">
        <v>69</v>
      </c>
      <c r="I95" s="1550"/>
      <c r="J95" s="1131"/>
      <c r="K95" s="1131"/>
      <c r="L95" s="1131"/>
      <c r="M95" s="1131"/>
      <c r="N95" s="1131"/>
      <c r="O95" s="3"/>
      <c r="P95" s="11"/>
      <c r="Q95" s="7"/>
      <c r="R95" s="7"/>
      <c r="S95" s="7"/>
      <c r="T95" s="7"/>
      <c r="U95" s="7"/>
      <c r="V95" s="7"/>
      <c r="W95" s="7"/>
    </row>
    <row r="96" ht="14.25" customHeight="1">
      <c r="B96" s="952" t="s">
        <v>1341</v>
      </c>
      <c r="C96" s="952" t="s">
        <v>12</v>
      </c>
      <c r="D96" s="1086" t="s">
        <v>69</v>
      </c>
      <c r="E96" s="1086" t="s">
        <v>69</v>
      </c>
      <c r="F96" s="1086" t="s">
        <v>69</v>
      </c>
      <c r="G96" s="1086" t="s">
        <v>69</v>
      </c>
      <c r="H96" s="957" t="s">
        <v>69</v>
      </c>
      <c r="I96" s="1131"/>
      <c r="J96" s="1131"/>
      <c r="K96" s="1131"/>
      <c r="L96" s="1131"/>
      <c r="M96" s="1131"/>
      <c r="N96" s="1131"/>
      <c r="O96" s="7"/>
      <c r="P96" s="11"/>
      <c r="Q96" s="7"/>
      <c r="R96" s="7"/>
      <c r="S96" s="7"/>
      <c r="T96" s="7"/>
      <c r="U96" s="7"/>
      <c r="V96" s="7"/>
      <c r="W96" s="7"/>
    </row>
    <row r="97" ht="14.25" customHeight="1">
      <c r="B97" s="948" t="s">
        <v>1208</v>
      </c>
      <c r="C97" s="948" t="s">
        <v>23</v>
      </c>
      <c r="D97" s="1086" t="s">
        <v>70</v>
      </c>
      <c r="E97" s="1086" t="s">
        <v>69</v>
      </c>
      <c r="F97" s="1086" t="s">
        <v>69</v>
      </c>
      <c r="G97" s="957" t="s">
        <v>69</v>
      </c>
      <c r="H97" s="957" t="s">
        <v>100</v>
      </c>
      <c r="I97" s="1131"/>
      <c r="J97" s="1131"/>
      <c r="K97" s="1131"/>
      <c r="L97" s="1131"/>
      <c r="M97" s="1131"/>
      <c r="N97" s="1131"/>
      <c r="O97" s="7"/>
      <c r="P97" s="11"/>
      <c r="Q97" s="7"/>
      <c r="R97" s="7"/>
      <c r="S97" s="7"/>
      <c r="T97" s="7"/>
      <c r="U97" s="7"/>
      <c r="V97" s="7"/>
      <c r="W97" s="7"/>
    </row>
    <row r="98" ht="14.25" customHeight="1">
      <c r="A98" s="390"/>
      <c r="B98" s="1517" t="s">
        <v>1342</v>
      </c>
      <c r="C98" s="1517" t="s">
        <v>410</v>
      </c>
      <c r="D98" s="1541" t="s">
        <v>100</v>
      </c>
      <c r="E98" s="1086" t="s">
        <v>100</v>
      </c>
      <c r="F98" s="1086" t="s">
        <v>100</v>
      </c>
      <c r="G98" s="957" t="s">
        <v>100</v>
      </c>
      <c r="H98" s="957" t="s">
        <v>69</v>
      </c>
      <c r="I98" s="1131"/>
      <c r="J98" s="1131"/>
      <c r="K98" s="1131"/>
      <c r="L98" s="1131"/>
      <c r="M98" s="1131"/>
      <c r="N98" s="1131"/>
      <c r="O98" s="11"/>
      <c r="P98" s="11"/>
      <c r="Q98" s="7"/>
      <c r="R98" s="7"/>
      <c r="S98" s="7"/>
      <c r="T98" s="7"/>
      <c r="U98" s="7"/>
      <c r="V98" s="7"/>
      <c r="W98" s="7"/>
    </row>
    <row r="99" ht="14.25" customHeight="1">
      <c r="A99" s="1552" t="s">
        <v>1335</v>
      </c>
      <c r="B99" s="874" t="s">
        <v>1266</v>
      </c>
      <c r="C99" s="874" t="s">
        <v>107</v>
      </c>
      <c r="D99" s="1541" t="s">
        <v>100</v>
      </c>
      <c r="E99" s="1086" t="s">
        <v>69</v>
      </c>
      <c r="F99" s="1086" t="s">
        <v>69</v>
      </c>
      <c r="G99" s="1086" t="s">
        <v>70</v>
      </c>
      <c r="H99" s="957" t="s">
        <v>100</v>
      </c>
      <c r="I99" s="1131"/>
      <c r="J99" s="1131"/>
      <c r="K99" s="1131"/>
      <c r="L99" s="1131"/>
      <c r="M99" s="1131"/>
      <c r="N99" s="1131"/>
      <c r="O99" s="11"/>
      <c r="P99" s="11"/>
      <c r="Q99" s="7"/>
      <c r="R99" s="7"/>
      <c r="S99" s="7"/>
      <c r="T99" s="7"/>
      <c r="U99" s="7"/>
      <c r="V99" s="7"/>
      <c r="W99" s="7"/>
    </row>
    <row r="100" ht="14.25" customHeight="1">
      <c r="B100" s="874" t="s">
        <v>135</v>
      </c>
      <c r="C100" s="874" t="s">
        <v>107</v>
      </c>
      <c r="D100" s="1086" t="s">
        <v>69</v>
      </c>
      <c r="E100" s="1086" t="s">
        <v>69</v>
      </c>
      <c r="F100" s="1086" t="s">
        <v>69</v>
      </c>
      <c r="G100" s="1086" t="s">
        <v>70</v>
      </c>
      <c r="H100" s="957" t="s">
        <v>69</v>
      </c>
      <c r="I100" s="1131"/>
      <c r="J100" s="1131"/>
      <c r="K100" s="1131"/>
      <c r="L100" s="1131"/>
      <c r="M100" s="1131"/>
      <c r="N100" s="1131"/>
      <c r="O100" s="11"/>
      <c r="P100" s="11"/>
      <c r="Q100" s="7"/>
      <c r="R100" s="7"/>
      <c r="S100" s="7"/>
      <c r="T100" s="7"/>
      <c r="U100" s="7"/>
      <c r="V100" s="7"/>
      <c r="W100" s="7"/>
    </row>
    <row r="101" ht="14.25" customHeight="1">
      <c r="B101" s="937" t="s">
        <v>1197</v>
      </c>
      <c r="C101" s="937" t="s">
        <v>437</v>
      </c>
      <c r="D101" s="1086" t="s">
        <v>69</v>
      </c>
      <c r="E101" s="1086" t="s">
        <v>69</v>
      </c>
      <c r="F101" s="1086" t="s">
        <v>69</v>
      </c>
      <c r="G101" s="957" t="s">
        <v>70</v>
      </c>
      <c r="H101" s="957" t="s">
        <v>70</v>
      </c>
      <c r="I101" s="1131"/>
      <c r="J101" s="1131"/>
      <c r="K101" s="1131"/>
      <c r="L101" s="1131"/>
      <c r="M101" s="1131"/>
      <c r="N101" s="1131"/>
      <c r="O101" s="11"/>
      <c r="P101" s="11"/>
      <c r="Q101" s="7"/>
      <c r="R101" s="7"/>
      <c r="S101" s="7"/>
      <c r="T101" s="7"/>
      <c r="U101" s="7"/>
      <c r="V101" s="7"/>
      <c r="W101" s="7"/>
    </row>
    <row r="102" ht="14.25" customHeight="1">
      <c r="A102" s="390"/>
      <c r="B102" s="937" t="s">
        <v>61</v>
      </c>
      <c r="C102" s="937" t="s">
        <v>437</v>
      </c>
      <c r="D102" s="1086" t="s">
        <v>69</v>
      </c>
      <c r="E102" s="1086" t="s">
        <v>69</v>
      </c>
      <c r="F102" s="1086" t="s">
        <v>69</v>
      </c>
      <c r="G102" s="957" t="s">
        <v>70</v>
      </c>
      <c r="H102" s="957" t="s">
        <v>100</v>
      </c>
      <c r="I102" s="1550"/>
      <c r="J102" s="1131"/>
      <c r="K102" s="1131"/>
      <c r="L102" s="1131"/>
      <c r="M102" s="1131"/>
      <c r="N102" s="1131"/>
      <c r="O102" s="11"/>
      <c r="P102" s="11"/>
      <c r="Q102" s="7"/>
      <c r="R102" s="7"/>
      <c r="S102" s="7"/>
      <c r="T102" s="7"/>
      <c r="U102" s="7"/>
      <c r="V102" s="7"/>
      <c r="W102" s="7"/>
    </row>
    <row r="103" ht="14.25" customHeight="1">
      <c r="A103" s="1472" t="s">
        <v>68</v>
      </c>
      <c r="B103" s="671"/>
      <c r="D103" s="671"/>
      <c r="H103" s="71"/>
      <c r="I103" s="1550"/>
      <c r="J103" s="1131"/>
      <c r="K103" s="1131"/>
      <c r="L103" s="1131"/>
      <c r="M103" s="1131"/>
      <c r="N103" s="1131"/>
      <c r="O103" s="11"/>
      <c r="P103" s="11"/>
      <c r="Q103" s="7"/>
      <c r="R103" s="7"/>
      <c r="S103" s="7"/>
      <c r="T103" s="7"/>
      <c r="U103" s="7"/>
      <c r="V103" s="7"/>
      <c r="W103" s="7"/>
    </row>
    <row r="104" ht="14.25" customHeight="1">
      <c r="A104" s="622"/>
      <c r="B104" s="790" t="s">
        <v>69</v>
      </c>
      <c r="D104" s="1519">
        <f t="shared" ref="D104:H104" si="22">COUNTIF(D95:D102,"Voor")</f>
        <v>5</v>
      </c>
      <c r="E104" s="1519">
        <f t="shared" si="22"/>
        <v>7</v>
      </c>
      <c r="F104" s="1519">
        <f t="shared" si="22"/>
        <v>7</v>
      </c>
      <c r="G104" s="1519">
        <f t="shared" si="22"/>
        <v>2</v>
      </c>
      <c r="H104" s="1544">
        <f t="shared" si="22"/>
        <v>4</v>
      </c>
      <c r="I104" s="1550"/>
      <c r="J104" s="1131"/>
      <c r="K104" s="1131"/>
      <c r="L104" s="1131"/>
      <c r="M104" s="1131"/>
      <c r="N104" s="1131"/>
      <c r="O104" s="11"/>
      <c r="P104" s="11"/>
      <c r="Q104" s="7"/>
      <c r="R104" s="7"/>
      <c r="S104" s="7"/>
      <c r="T104" s="7"/>
      <c r="U104" s="7"/>
      <c r="V104" s="7"/>
      <c r="W104" s="7"/>
    </row>
    <row r="105" ht="14.25" customHeight="1">
      <c r="A105" s="622"/>
      <c r="B105" s="792" t="s">
        <v>70</v>
      </c>
      <c r="D105" s="1520">
        <f>COUNTIF(D95:D102,"Tegen")</f>
        <v>1</v>
      </c>
      <c r="E105" s="1520">
        <f t="shared" ref="E105:F105" si="23">COUNTIF(E95:E101,"Tegen")</f>
        <v>0</v>
      </c>
      <c r="F105" s="1520">
        <f t="shared" si="23"/>
        <v>0</v>
      </c>
      <c r="G105" s="1520">
        <f t="shared" ref="G105:H105" si="24">COUNTIF(G95:G102,"Tegen")</f>
        <v>5</v>
      </c>
      <c r="H105" s="1545">
        <f t="shared" si="24"/>
        <v>1</v>
      </c>
      <c r="I105" s="1131"/>
      <c r="J105" s="1131"/>
      <c r="K105" s="1131"/>
      <c r="L105" s="1131"/>
      <c r="M105" s="1131"/>
      <c r="N105" s="1131"/>
      <c r="O105" s="11"/>
      <c r="P105" s="11"/>
      <c r="Q105" s="7"/>
      <c r="R105" s="7"/>
      <c r="S105" s="7"/>
      <c r="T105" s="7"/>
      <c r="U105" s="7"/>
      <c r="V105" s="7"/>
      <c r="W105" s="7"/>
    </row>
    <row r="106" ht="14.25" customHeight="1">
      <c r="A106" s="622"/>
      <c r="B106" s="794" t="s">
        <v>71</v>
      </c>
      <c r="D106" s="1521">
        <f>COUNTIF(D95:D102,"SO")</f>
        <v>0</v>
      </c>
      <c r="E106" s="1521">
        <f t="shared" ref="E106:F106" si="25">COUNTIF(E95:E101,"SO")</f>
        <v>0</v>
      </c>
      <c r="F106" s="1521">
        <f t="shared" si="25"/>
        <v>0</v>
      </c>
      <c r="G106" s="1521">
        <f t="shared" ref="G106:H106" si="26">COUNTIF(G95:G102,"SO")</f>
        <v>0</v>
      </c>
      <c r="H106" s="1546">
        <f t="shared" si="26"/>
        <v>0</v>
      </c>
      <c r="I106" s="1131"/>
      <c r="J106" s="1131"/>
      <c r="K106" s="1131"/>
      <c r="L106" s="1131"/>
      <c r="M106" s="1131"/>
      <c r="N106" s="1131"/>
      <c r="O106" s="11"/>
      <c r="P106" s="11"/>
      <c r="Q106" s="7"/>
      <c r="R106" s="7"/>
      <c r="S106" s="7"/>
      <c r="T106" s="7"/>
      <c r="U106" s="7"/>
      <c r="V106" s="7"/>
      <c r="W106" s="7"/>
    </row>
    <row r="107" ht="14.25" customHeight="1">
      <c r="A107" s="622"/>
      <c r="B107" s="796" t="s">
        <v>72</v>
      </c>
      <c r="D107" s="1522">
        <f>COUNTIF(D95:D102,"NG")</f>
        <v>2</v>
      </c>
      <c r="E107" s="1522">
        <f t="shared" ref="E107:F107" si="27">COUNTIF(E95:E101,"NG")</f>
        <v>1</v>
      </c>
      <c r="F107" s="1522">
        <f t="shared" si="27"/>
        <v>1</v>
      </c>
      <c r="G107" s="1522">
        <f>COUNTIF(G95:G102,"NG")</f>
        <v>1</v>
      </c>
      <c r="H107" s="1547">
        <f>COUNTIF(H95:H101,"NG")</f>
        <v>2</v>
      </c>
      <c r="I107" s="1131"/>
      <c r="J107" s="1131"/>
      <c r="K107" s="1131"/>
      <c r="L107" s="1131"/>
      <c r="M107" s="1131"/>
      <c r="N107" s="1131"/>
      <c r="O107" s="11"/>
      <c r="P107" s="11"/>
      <c r="Q107" s="7"/>
      <c r="R107" s="7"/>
      <c r="S107" s="7"/>
      <c r="T107" s="7"/>
      <c r="U107" s="7"/>
      <c r="V107" s="7"/>
      <c r="W107" s="7"/>
    </row>
    <row r="108" ht="14.25" customHeight="1">
      <c r="A108" s="622"/>
      <c r="B108" s="798" t="s">
        <v>73</v>
      </c>
      <c r="D108" s="906">
        <f t="shared" ref="D108:H108" si="28">SUM(D104:D107)</f>
        <v>8</v>
      </c>
      <c r="E108" s="906">
        <f t="shared" si="28"/>
        <v>8</v>
      </c>
      <c r="F108" s="906">
        <f t="shared" si="28"/>
        <v>8</v>
      </c>
      <c r="G108" s="906">
        <f t="shared" si="28"/>
        <v>8</v>
      </c>
      <c r="H108" s="1548">
        <f t="shared" si="28"/>
        <v>7</v>
      </c>
      <c r="I108" s="1131"/>
      <c r="J108" s="1131"/>
      <c r="K108" s="1131"/>
      <c r="L108" s="1131"/>
      <c r="M108" s="1131"/>
      <c r="N108" s="1131"/>
      <c r="O108" s="11"/>
      <c r="P108" s="11"/>
      <c r="Q108" s="7"/>
      <c r="R108" s="7"/>
      <c r="S108" s="7"/>
      <c r="T108" s="7"/>
      <c r="U108" s="7"/>
      <c r="V108" s="7"/>
      <c r="W108" s="7"/>
    </row>
    <row r="109" ht="14.25" customHeight="1">
      <c r="A109" s="622"/>
      <c r="B109" s="800" t="s">
        <v>74</v>
      </c>
      <c r="D109" s="907">
        <f t="shared" ref="D109:H109" si="29">D104+D105+D106</f>
        <v>6</v>
      </c>
      <c r="E109" s="907">
        <f t="shared" si="29"/>
        <v>7</v>
      </c>
      <c r="F109" s="907">
        <f t="shared" si="29"/>
        <v>7</v>
      </c>
      <c r="G109" s="907">
        <f t="shared" si="29"/>
        <v>7</v>
      </c>
      <c r="H109" s="1549">
        <f t="shared" si="29"/>
        <v>5</v>
      </c>
      <c r="I109" s="1131"/>
      <c r="J109" s="1131"/>
      <c r="K109" s="1131"/>
      <c r="L109" s="1131"/>
      <c r="M109" s="1131"/>
      <c r="N109" s="1131"/>
      <c r="O109" s="11"/>
      <c r="P109" s="7"/>
      <c r="Q109" s="7"/>
      <c r="R109" s="7"/>
      <c r="S109" s="7"/>
      <c r="T109" s="7"/>
      <c r="U109" s="7"/>
      <c r="V109" s="7"/>
      <c r="W109" s="7"/>
    </row>
    <row r="110" ht="14.25" customHeight="1">
      <c r="A110" s="622"/>
      <c r="B110" s="854" t="s">
        <v>75</v>
      </c>
      <c r="D110" s="1536">
        <f t="shared" ref="D110:H110" si="30">IFERROR(D109/D108,"")</f>
        <v>0.75</v>
      </c>
      <c r="E110" s="1536">
        <f t="shared" si="30"/>
        <v>0.875</v>
      </c>
      <c r="F110" s="1536">
        <f t="shared" si="30"/>
        <v>0.875</v>
      </c>
      <c r="G110" s="1536">
        <f t="shared" si="30"/>
        <v>0.875</v>
      </c>
      <c r="H110" s="855">
        <f t="shared" si="30"/>
        <v>0.7142857143</v>
      </c>
      <c r="I110" s="1131"/>
      <c r="J110" s="1131"/>
      <c r="K110" s="1131"/>
      <c r="L110" s="1131"/>
      <c r="M110" s="1131"/>
      <c r="N110" s="1131"/>
      <c r="O110" s="11"/>
      <c r="P110" s="7"/>
      <c r="Q110" s="7"/>
      <c r="R110" s="7"/>
      <c r="S110" s="7"/>
      <c r="T110" s="7"/>
      <c r="U110" s="7"/>
      <c r="V110" s="7"/>
      <c r="W110" s="7"/>
    </row>
    <row r="111" ht="14.25" customHeight="1">
      <c r="A111" s="1131"/>
      <c r="B111" s="1131"/>
      <c r="C111" s="1131"/>
      <c r="D111" s="1131"/>
      <c r="E111" s="1131"/>
      <c r="F111" s="1524"/>
      <c r="G111" s="1524"/>
      <c r="H111" s="1538"/>
      <c r="I111" s="1131"/>
      <c r="J111" s="1131"/>
      <c r="K111" s="1131"/>
      <c r="L111" s="1131"/>
      <c r="M111" s="1131"/>
      <c r="N111" s="1131"/>
      <c r="O111" s="11"/>
      <c r="P111" s="7"/>
      <c r="Q111" s="7"/>
      <c r="R111" s="7"/>
      <c r="S111" s="7"/>
      <c r="T111" s="7"/>
      <c r="U111" s="7"/>
      <c r="V111" s="7"/>
      <c r="W111" s="1131"/>
    </row>
    <row r="112" ht="14.25" customHeight="1">
      <c r="A112" s="731"/>
      <c r="B112" s="732" t="s">
        <v>1170</v>
      </c>
      <c r="C112" s="732" t="s">
        <v>7</v>
      </c>
      <c r="D112" s="671"/>
      <c r="F112" s="71"/>
      <c r="G112" s="1550"/>
      <c r="H112" s="1538"/>
      <c r="I112" s="1131"/>
      <c r="J112" s="1131"/>
      <c r="K112" s="1131"/>
      <c r="L112" s="1131"/>
      <c r="M112" s="1131"/>
      <c r="N112" s="1131"/>
      <c r="O112" s="1131"/>
      <c r="P112" s="1131"/>
      <c r="Q112" s="1131"/>
      <c r="R112" s="1131"/>
      <c r="S112" s="1131"/>
      <c r="T112" s="1131"/>
      <c r="U112" s="1131"/>
      <c r="V112" s="1131"/>
      <c r="W112" s="1131"/>
    </row>
    <row r="113" ht="14.25" customHeight="1">
      <c r="A113" s="1551" t="s">
        <v>432</v>
      </c>
      <c r="D113" s="1526" t="s">
        <v>1241</v>
      </c>
      <c r="E113" s="1526" t="s">
        <v>741</v>
      </c>
      <c r="F113" s="1553" t="s">
        <v>743</v>
      </c>
      <c r="G113" s="1550"/>
      <c r="H113" s="1538"/>
      <c r="I113" s="1131"/>
      <c r="J113" s="1131"/>
      <c r="K113" s="1131"/>
      <c r="L113" s="1131"/>
      <c r="M113" s="1131"/>
      <c r="N113" s="1131"/>
      <c r="O113" s="1131"/>
      <c r="P113" s="1131"/>
      <c r="Q113" s="1131"/>
      <c r="R113" s="1131"/>
      <c r="S113" s="1131"/>
      <c r="T113" s="1131"/>
      <c r="U113" s="1131"/>
      <c r="V113" s="1131"/>
      <c r="W113" s="1131"/>
    </row>
    <row r="114" ht="14.25" customHeight="1">
      <c r="A114" s="1552" t="s">
        <v>1338</v>
      </c>
      <c r="B114" s="874" t="s">
        <v>1266</v>
      </c>
      <c r="C114" s="1508" t="s">
        <v>107</v>
      </c>
      <c r="D114" s="1086" t="s">
        <v>69</v>
      </c>
      <c r="E114" s="1086" t="s">
        <v>69</v>
      </c>
      <c r="F114" s="1086" t="s">
        <v>70</v>
      </c>
      <c r="G114" s="1550"/>
      <c r="H114" s="1131"/>
      <c r="I114" s="1131"/>
      <c r="J114" s="1131"/>
      <c r="K114" s="1131"/>
      <c r="L114" s="1131"/>
      <c r="M114" s="1131"/>
      <c r="N114" s="1131"/>
      <c r="O114" s="1131"/>
      <c r="P114" s="1131"/>
      <c r="Q114" s="1131"/>
      <c r="R114" s="1131"/>
      <c r="S114" s="1131"/>
      <c r="T114" s="1131"/>
      <c r="U114" s="1131"/>
      <c r="V114" s="1131"/>
      <c r="W114" s="1131"/>
    </row>
    <row r="115" ht="14.25" customHeight="1">
      <c r="B115" s="1554" t="s">
        <v>51</v>
      </c>
      <c r="C115" s="1554" t="s">
        <v>23</v>
      </c>
      <c r="D115" s="1086" t="s">
        <v>69</v>
      </c>
      <c r="E115" s="1555"/>
      <c r="F115" s="109"/>
      <c r="G115" s="1550"/>
      <c r="H115" s="1131"/>
      <c r="I115" s="1131"/>
      <c r="J115" s="1131"/>
      <c r="K115" s="1131"/>
      <c r="L115" s="1131"/>
      <c r="M115" s="1131"/>
      <c r="N115" s="1131"/>
      <c r="O115" s="1131"/>
      <c r="P115" s="1131"/>
      <c r="Q115" s="1131"/>
      <c r="R115" s="1131"/>
      <c r="S115" s="1131"/>
      <c r="T115" s="1131"/>
      <c r="U115" s="1131"/>
      <c r="V115" s="1131"/>
      <c r="W115" s="1131"/>
    </row>
    <row r="116" ht="14.25" customHeight="1">
      <c r="B116" s="1554" t="s">
        <v>142</v>
      </c>
      <c r="C116" s="1554" t="s">
        <v>23</v>
      </c>
      <c r="D116" s="1086"/>
      <c r="E116" s="1086" t="s">
        <v>69</v>
      </c>
      <c r="F116" s="1086" t="s">
        <v>69</v>
      </c>
      <c r="G116" s="1550"/>
      <c r="H116" s="1131"/>
      <c r="I116" s="1131"/>
      <c r="J116" s="1131"/>
      <c r="K116" s="1131"/>
      <c r="L116" s="1131"/>
      <c r="M116" s="1131"/>
      <c r="N116" s="1131"/>
      <c r="O116" s="1131"/>
      <c r="P116" s="1131"/>
      <c r="Q116" s="1131"/>
      <c r="R116" s="1131"/>
      <c r="S116" s="1131"/>
      <c r="T116" s="1131"/>
      <c r="U116" s="1131"/>
      <c r="V116" s="1131"/>
      <c r="W116" s="1131"/>
    </row>
    <row r="117" ht="14.25" customHeight="1">
      <c r="A117" s="390"/>
      <c r="B117" s="938" t="s">
        <v>1197</v>
      </c>
      <c r="C117" s="1556" t="s">
        <v>437</v>
      </c>
      <c r="D117" s="1086" t="s">
        <v>69</v>
      </c>
      <c r="E117" s="1086" t="s">
        <v>69</v>
      </c>
      <c r="F117" s="1086" t="s">
        <v>69</v>
      </c>
      <c r="G117" s="1550"/>
      <c r="H117" s="1131"/>
      <c r="I117" s="1131"/>
      <c r="J117" s="1131"/>
      <c r="K117" s="1131"/>
      <c r="L117" s="1131"/>
      <c r="M117" s="1131"/>
      <c r="N117" s="1131"/>
      <c r="O117" s="1131"/>
      <c r="P117" s="1131"/>
      <c r="Q117" s="1131"/>
      <c r="R117" s="1131"/>
      <c r="S117" s="1131"/>
      <c r="T117" s="1131"/>
      <c r="U117" s="1131"/>
      <c r="V117" s="1131"/>
      <c r="W117" s="1131"/>
    </row>
    <row r="118" ht="14.25" customHeight="1">
      <c r="A118" s="1552" t="s">
        <v>1340</v>
      </c>
      <c r="B118" s="1100" t="s">
        <v>141</v>
      </c>
      <c r="C118" s="1505" t="s">
        <v>21</v>
      </c>
      <c r="D118" s="1086" t="s">
        <v>69</v>
      </c>
      <c r="E118" s="1086" t="s">
        <v>70</v>
      </c>
      <c r="F118" s="1086" t="s">
        <v>70</v>
      </c>
      <c r="G118" s="1550"/>
      <c r="H118" s="1131"/>
      <c r="I118" s="1131"/>
      <c r="J118" s="1131"/>
      <c r="K118" s="1131"/>
      <c r="L118" s="1131"/>
      <c r="M118" s="1131"/>
      <c r="N118" s="1131"/>
      <c r="O118" s="1131"/>
      <c r="P118" s="1131"/>
      <c r="Q118" s="1131"/>
      <c r="R118" s="1131"/>
      <c r="S118" s="1131"/>
      <c r="T118" s="1131"/>
      <c r="U118" s="1131"/>
      <c r="V118" s="1131"/>
      <c r="W118" s="1131"/>
    </row>
    <row r="119" ht="14.25" customHeight="1">
      <c r="B119" s="1557" t="s">
        <v>1203</v>
      </c>
      <c r="C119" s="1557" t="s">
        <v>12</v>
      </c>
      <c r="D119" s="1086" t="s">
        <v>69</v>
      </c>
      <c r="E119" s="1086" t="s">
        <v>69</v>
      </c>
      <c r="F119" s="1086" t="s">
        <v>70</v>
      </c>
      <c r="G119" s="1550"/>
      <c r="H119" s="1131"/>
      <c r="I119" s="1131"/>
      <c r="J119" s="1131"/>
      <c r="K119" s="1131"/>
      <c r="L119" s="1131"/>
      <c r="M119" s="1131"/>
      <c r="N119" s="1131"/>
      <c r="O119" s="1131"/>
      <c r="P119" s="1131"/>
      <c r="Q119" s="1131"/>
      <c r="R119" s="1131"/>
      <c r="S119" s="1131"/>
      <c r="T119" s="1131"/>
      <c r="U119" s="1131"/>
      <c r="V119" s="1131"/>
      <c r="W119" s="1131"/>
    </row>
    <row r="120" ht="14.25" customHeight="1">
      <c r="A120" s="390"/>
      <c r="B120" s="1558" t="s">
        <v>1268</v>
      </c>
      <c r="C120" s="1558" t="s">
        <v>410</v>
      </c>
      <c r="D120" s="1086" t="s">
        <v>100</v>
      </c>
      <c r="E120" s="1086" t="s">
        <v>70</v>
      </c>
      <c r="F120" s="1086" t="s">
        <v>70</v>
      </c>
      <c r="G120" s="1550"/>
      <c r="H120" s="1131"/>
      <c r="I120" s="1131"/>
      <c r="J120" s="1131"/>
      <c r="K120" s="1131"/>
      <c r="L120" s="1131"/>
      <c r="M120" s="1131"/>
      <c r="N120" s="1131"/>
      <c r="O120" s="1131"/>
      <c r="P120" s="1131"/>
      <c r="Q120" s="1131"/>
      <c r="R120" s="1131"/>
      <c r="S120" s="1131"/>
      <c r="T120" s="1131"/>
      <c r="U120" s="1131"/>
      <c r="V120" s="1131"/>
      <c r="W120" s="1131"/>
    </row>
    <row r="121" ht="14.25" customHeight="1">
      <c r="A121" s="1472" t="s">
        <v>68</v>
      </c>
      <c r="B121" s="671"/>
      <c r="D121" s="1559"/>
      <c r="F121" s="71"/>
      <c r="G121" s="1550"/>
      <c r="H121" s="1131"/>
      <c r="I121" s="1131"/>
      <c r="J121" s="1131"/>
      <c r="K121" s="1131"/>
      <c r="L121" s="1131"/>
      <c r="M121" s="1131"/>
      <c r="N121" s="1131"/>
      <c r="O121" s="1131"/>
      <c r="P121" s="1131"/>
      <c r="Q121" s="1131"/>
      <c r="R121" s="1131"/>
      <c r="S121" s="1131"/>
      <c r="T121" s="1131"/>
      <c r="U121" s="1131"/>
      <c r="V121" s="1131"/>
      <c r="W121" s="1131"/>
    </row>
    <row r="122" ht="14.25" customHeight="1">
      <c r="A122" s="622"/>
      <c r="B122" s="790" t="s">
        <v>69</v>
      </c>
      <c r="D122" s="1519">
        <f t="shared" ref="D122:F122" si="31">COUNTIF(D114:D120,"Voor")</f>
        <v>5</v>
      </c>
      <c r="E122" s="1519">
        <f t="shared" si="31"/>
        <v>4</v>
      </c>
      <c r="F122" s="1544">
        <f t="shared" si="31"/>
        <v>2</v>
      </c>
      <c r="G122" s="1550"/>
      <c r="H122" s="1131"/>
      <c r="I122" s="1131"/>
      <c r="J122" s="1131"/>
      <c r="K122" s="1131"/>
      <c r="L122" s="1131"/>
      <c r="M122" s="1131"/>
      <c r="N122" s="1131"/>
      <c r="O122" s="1131"/>
      <c r="P122" s="1131"/>
      <c r="Q122" s="1131"/>
      <c r="R122" s="1131"/>
      <c r="S122" s="1131"/>
      <c r="T122" s="1131"/>
      <c r="U122" s="1131"/>
      <c r="V122" s="1131"/>
      <c r="W122" s="1131"/>
    </row>
    <row r="123" ht="14.25" customHeight="1">
      <c r="A123" s="622"/>
      <c r="B123" s="792" t="s">
        <v>70</v>
      </c>
      <c r="D123" s="1520">
        <f t="shared" ref="D123:F123" si="32">COUNTIF(D114:D120,"Tegen")</f>
        <v>0</v>
      </c>
      <c r="E123" s="1520">
        <f t="shared" si="32"/>
        <v>2</v>
      </c>
      <c r="F123" s="1545">
        <f t="shared" si="32"/>
        <v>4</v>
      </c>
      <c r="G123" s="1550"/>
      <c r="H123" s="1131"/>
      <c r="I123" s="1131"/>
      <c r="J123" s="1131"/>
      <c r="K123" s="1131"/>
      <c r="L123" s="1131"/>
      <c r="M123" s="1131"/>
      <c r="N123" s="1131"/>
      <c r="O123" s="1131"/>
      <c r="P123" s="1131"/>
      <c r="Q123" s="1131"/>
      <c r="R123" s="1131"/>
      <c r="S123" s="1131"/>
      <c r="T123" s="1131"/>
      <c r="U123" s="1131"/>
      <c r="V123" s="1131"/>
      <c r="W123" s="1131"/>
    </row>
    <row r="124" ht="14.25" customHeight="1">
      <c r="A124" s="622"/>
      <c r="B124" s="794" t="s">
        <v>71</v>
      </c>
      <c r="D124" s="1521">
        <f t="shared" ref="D124:F124" si="33">COUNTIF(D114:D120,"SO")</f>
        <v>0</v>
      </c>
      <c r="E124" s="1521">
        <f t="shared" si="33"/>
        <v>0</v>
      </c>
      <c r="F124" s="1546">
        <f t="shared" si="33"/>
        <v>0</v>
      </c>
      <c r="G124" s="1550"/>
      <c r="H124" s="1131"/>
      <c r="I124" s="1131"/>
      <c r="J124" s="1131"/>
      <c r="K124" s="1131"/>
      <c r="L124" s="1131"/>
      <c r="M124" s="1131"/>
      <c r="N124" s="1131"/>
      <c r="O124" s="1131"/>
      <c r="P124" s="1131"/>
      <c r="Q124" s="1131"/>
      <c r="R124" s="1131"/>
      <c r="S124" s="1131"/>
      <c r="T124" s="1131"/>
      <c r="U124" s="1131"/>
      <c r="V124" s="1131"/>
      <c r="W124" s="1131"/>
    </row>
    <row r="125" ht="14.25" customHeight="1">
      <c r="A125" s="622"/>
      <c r="B125" s="796" t="s">
        <v>72</v>
      </c>
      <c r="D125" s="1522">
        <f t="shared" ref="D125:F125" si="34">COUNTIF(D114:D120,"NG")</f>
        <v>1</v>
      </c>
      <c r="E125" s="1522">
        <f t="shared" si="34"/>
        <v>0</v>
      </c>
      <c r="F125" s="1547">
        <f t="shared" si="34"/>
        <v>0</v>
      </c>
      <c r="G125" s="1550"/>
      <c r="H125" s="1131"/>
      <c r="I125" s="1131"/>
      <c r="J125" s="1131"/>
      <c r="K125" s="1131"/>
      <c r="L125" s="1131"/>
      <c r="M125" s="1131"/>
      <c r="N125" s="1131"/>
      <c r="O125" s="1131"/>
      <c r="P125" s="1131"/>
      <c r="Q125" s="1131"/>
      <c r="R125" s="1131"/>
      <c r="S125" s="1131"/>
      <c r="T125" s="1131"/>
      <c r="U125" s="1131"/>
      <c r="V125" s="1131"/>
      <c r="W125" s="1131"/>
    </row>
    <row r="126" ht="14.25" customHeight="1">
      <c r="A126" s="622"/>
      <c r="B126" s="798" t="s">
        <v>73</v>
      </c>
      <c r="D126" s="906">
        <f t="shared" ref="D126:F126" si="35">SUM(D122:D125)</f>
        <v>6</v>
      </c>
      <c r="E126" s="906">
        <f t="shared" si="35"/>
        <v>6</v>
      </c>
      <c r="F126" s="1548">
        <f t="shared" si="35"/>
        <v>6</v>
      </c>
      <c r="G126" s="1550"/>
      <c r="H126" s="1131"/>
      <c r="I126" s="1131"/>
      <c r="J126" s="1131"/>
      <c r="K126" s="1131"/>
      <c r="L126" s="1131"/>
      <c r="M126" s="1131"/>
      <c r="N126" s="1131"/>
      <c r="O126" s="1131"/>
      <c r="P126" s="1131"/>
      <c r="Q126" s="1131"/>
      <c r="R126" s="1131"/>
      <c r="S126" s="1131"/>
      <c r="T126" s="1131"/>
      <c r="U126" s="1131"/>
      <c r="V126" s="1131"/>
      <c r="W126" s="1131"/>
    </row>
    <row r="127" ht="14.25" customHeight="1">
      <c r="A127" s="622"/>
      <c r="B127" s="800" t="s">
        <v>74</v>
      </c>
      <c r="D127" s="907">
        <f t="shared" ref="D127:F127" si="36">D122+D123+D124</f>
        <v>5</v>
      </c>
      <c r="E127" s="907">
        <f t="shared" si="36"/>
        <v>6</v>
      </c>
      <c r="F127" s="1549">
        <f t="shared" si="36"/>
        <v>6</v>
      </c>
      <c r="G127" s="1550"/>
      <c r="H127" s="1131"/>
      <c r="I127" s="1131"/>
      <c r="J127" s="1131"/>
      <c r="K127" s="1131"/>
      <c r="L127" s="1131"/>
      <c r="M127" s="1131"/>
      <c r="N127" s="1131"/>
      <c r="O127" s="1131"/>
      <c r="P127" s="1131"/>
      <c r="Q127" s="1131"/>
      <c r="R127" s="1131"/>
      <c r="S127" s="1131"/>
      <c r="T127" s="1131"/>
      <c r="U127" s="1131"/>
      <c r="V127" s="1131"/>
      <c r="W127" s="1131"/>
    </row>
    <row r="128" ht="14.25" customHeight="1">
      <c r="A128" s="622"/>
      <c r="B128" s="854" t="s">
        <v>75</v>
      </c>
      <c r="D128" s="1536">
        <f t="shared" ref="D128:F128" si="37">IFERROR(D127/D126,"")</f>
        <v>0.8333333333</v>
      </c>
      <c r="E128" s="1536">
        <f t="shared" si="37"/>
        <v>1</v>
      </c>
      <c r="F128" s="855">
        <f t="shared" si="37"/>
        <v>1</v>
      </c>
      <c r="G128" s="1550"/>
      <c r="H128" s="1131"/>
      <c r="I128" s="1131"/>
      <c r="J128" s="1131"/>
      <c r="K128" s="1131"/>
      <c r="L128" s="1131"/>
      <c r="M128" s="1131"/>
      <c r="N128" s="1131"/>
      <c r="O128" s="1131"/>
      <c r="P128" s="1131"/>
      <c r="Q128" s="1131"/>
      <c r="R128" s="1131"/>
      <c r="S128" s="1131"/>
      <c r="T128" s="1131"/>
      <c r="U128" s="1131"/>
      <c r="V128" s="1131"/>
      <c r="W128" s="1131"/>
    </row>
    <row r="129">
      <c r="A129" s="1131"/>
      <c r="B129" s="1131"/>
      <c r="C129" s="1131"/>
      <c r="D129" s="1524"/>
      <c r="E129" s="1524"/>
      <c r="F129" s="1524"/>
      <c r="G129" s="1131"/>
      <c r="H129" s="1131"/>
      <c r="I129" s="1131"/>
      <c r="J129" s="1131"/>
      <c r="K129" s="1131"/>
      <c r="L129" s="1131"/>
      <c r="M129" s="1131"/>
      <c r="N129" s="1131"/>
      <c r="O129" s="1131"/>
      <c r="P129" s="1131"/>
      <c r="Q129" s="1131"/>
      <c r="R129" s="1131"/>
      <c r="S129" s="1131"/>
      <c r="T129" s="1131"/>
      <c r="U129" s="1131"/>
      <c r="V129" s="1131"/>
      <c r="W129" s="1131"/>
    </row>
    <row r="130">
      <c r="A130" s="731"/>
      <c r="B130" s="732" t="s">
        <v>1170</v>
      </c>
      <c r="C130" s="732" t="s">
        <v>7</v>
      </c>
      <c r="D130" s="671"/>
      <c r="J130" s="71"/>
      <c r="K130" s="1550"/>
      <c r="L130" s="1131"/>
      <c r="M130" s="1131"/>
      <c r="N130" s="1131"/>
      <c r="O130" s="1131"/>
      <c r="P130" s="1131"/>
      <c r="Q130" s="1131"/>
      <c r="R130" s="1131"/>
      <c r="S130" s="1131"/>
      <c r="T130" s="1131"/>
      <c r="U130" s="1131"/>
      <c r="V130" s="1131"/>
      <c r="W130" s="1131"/>
    </row>
    <row r="131">
      <c r="A131" s="1551" t="s">
        <v>389</v>
      </c>
      <c r="D131" s="1526" t="s">
        <v>726</v>
      </c>
      <c r="E131" s="1526" t="s">
        <v>727</v>
      </c>
      <c r="F131" s="1526" t="s">
        <v>732</v>
      </c>
      <c r="G131" s="1526" t="s">
        <v>733</v>
      </c>
      <c r="H131" s="1526" t="s">
        <v>729</v>
      </c>
      <c r="I131" s="1526" t="s">
        <v>730</v>
      </c>
      <c r="J131" s="1553" t="s">
        <v>734</v>
      </c>
      <c r="K131" s="1550"/>
      <c r="L131" s="1131"/>
      <c r="M131" s="1131"/>
      <c r="N131" s="1131"/>
      <c r="O131" s="1131"/>
      <c r="P131" s="1131"/>
      <c r="Q131" s="1131"/>
      <c r="R131" s="1131"/>
      <c r="S131" s="1131"/>
      <c r="T131" s="1131"/>
      <c r="U131" s="1131"/>
      <c r="V131" s="1131"/>
      <c r="W131" s="1131"/>
    </row>
    <row r="132">
      <c r="A132" s="1552" t="s">
        <v>1338</v>
      </c>
      <c r="B132" s="1100" t="s">
        <v>141</v>
      </c>
      <c r="C132" s="1505" t="s">
        <v>21</v>
      </c>
      <c r="D132" s="1086" t="s">
        <v>69</v>
      </c>
      <c r="E132" s="1086" t="s">
        <v>69</v>
      </c>
      <c r="F132" s="1086" t="s">
        <v>69</v>
      </c>
      <c r="G132" s="1086" t="s">
        <v>69</v>
      </c>
      <c r="H132" s="1086" t="s">
        <v>69</v>
      </c>
      <c r="I132" s="1086" t="s">
        <v>69</v>
      </c>
      <c r="J132" s="1086" t="s">
        <v>69</v>
      </c>
      <c r="K132" s="1550"/>
      <c r="L132" s="1131"/>
      <c r="M132" s="1131"/>
      <c r="N132" s="1131"/>
      <c r="O132" s="1131"/>
      <c r="P132" s="1131"/>
      <c r="Q132" s="1131"/>
      <c r="R132" s="1131"/>
      <c r="S132" s="1131"/>
      <c r="T132" s="1131"/>
      <c r="U132" s="1131"/>
      <c r="V132" s="1131"/>
      <c r="W132" s="1131"/>
    </row>
    <row r="133">
      <c r="B133" s="874" t="s">
        <v>1266</v>
      </c>
      <c r="C133" s="1560" t="s">
        <v>107</v>
      </c>
      <c r="D133" s="1561" t="s">
        <v>69</v>
      </c>
      <c r="E133" s="1561" t="s">
        <v>69</v>
      </c>
      <c r="F133" s="1561" t="s">
        <v>69</v>
      </c>
      <c r="G133" s="1561" t="s">
        <v>69</v>
      </c>
      <c r="H133" s="1561" t="s">
        <v>69</v>
      </c>
      <c r="I133" s="1561" t="s">
        <v>69</v>
      </c>
      <c r="J133" s="1561" t="s">
        <v>69</v>
      </c>
      <c r="K133" s="1550"/>
      <c r="L133" s="1131"/>
      <c r="M133" s="1131"/>
      <c r="N133" s="1131"/>
      <c r="O133" s="1131"/>
      <c r="P133" s="1131"/>
      <c r="Q133" s="1131"/>
      <c r="R133" s="1131"/>
      <c r="S133" s="1131"/>
      <c r="T133" s="1131"/>
      <c r="U133" s="1131"/>
      <c r="V133" s="1131"/>
      <c r="W133" s="1131"/>
    </row>
    <row r="134">
      <c r="B134" s="1557" t="s">
        <v>1202</v>
      </c>
      <c r="C134" s="1557" t="s">
        <v>12</v>
      </c>
      <c r="D134" s="1228"/>
      <c r="E134" s="109"/>
      <c r="F134" s="1086" t="s">
        <v>69</v>
      </c>
      <c r="G134" s="1086" t="s">
        <v>69</v>
      </c>
      <c r="H134" s="1086" t="s">
        <v>100</v>
      </c>
      <c r="I134" s="1086" t="s">
        <v>69</v>
      </c>
      <c r="J134" s="1086" t="s">
        <v>69</v>
      </c>
      <c r="K134" s="1550"/>
      <c r="L134" s="1131"/>
      <c r="M134" s="1131"/>
      <c r="N134" s="1131"/>
      <c r="O134" s="1131"/>
      <c r="P134" s="1131"/>
      <c r="Q134" s="1131"/>
      <c r="R134" s="1131"/>
      <c r="S134" s="1550"/>
      <c r="T134" s="1131"/>
      <c r="U134" s="1131"/>
      <c r="V134" s="1131"/>
      <c r="W134" s="1131"/>
    </row>
    <row r="135">
      <c r="A135" s="390"/>
      <c r="B135" s="1562" t="s">
        <v>1343</v>
      </c>
      <c r="C135" s="1562" t="s">
        <v>12</v>
      </c>
      <c r="D135" s="1086" t="s">
        <v>69</v>
      </c>
      <c r="E135" s="1086" t="s">
        <v>69</v>
      </c>
      <c r="F135" s="1563"/>
      <c r="G135" s="1564"/>
      <c r="H135" s="1564"/>
      <c r="I135" s="1564"/>
      <c r="J135" s="1565"/>
      <c r="K135" s="1550"/>
      <c r="L135" s="1131"/>
      <c r="M135" s="1131"/>
      <c r="N135" s="1131"/>
      <c r="O135" s="1131"/>
      <c r="P135" s="1131"/>
      <c r="Q135" s="1131"/>
      <c r="R135" s="1131"/>
      <c r="S135" s="1131"/>
      <c r="T135" s="1131"/>
      <c r="U135" s="1131"/>
      <c r="V135" s="1131"/>
      <c r="W135" s="1131"/>
    </row>
    <row r="136">
      <c r="A136" s="1566" t="s">
        <v>1340</v>
      </c>
      <c r="B136" s="1567" t="s">
        <v>1197</v>
      </c>
      <c r="C136" s="1567" t="s">
        <v>177</v>
      </c>
      <c r="D136" s="1568" t="s">
        <v>69</v>
      </c>
      <c r="E136" s="1086" t="s">
        <v>69</v>
      </c>
      <c r="F136" s="1086" t="s">
        <v>100</v>
      </c>
      <c r="G136" s="1086" t="s">
        <v>100</v>
      </c>
      <c r="H136" s="1086" t="s">
        <v>69</v>
      </c>
      <c r="I136" s="1086" t="s">
        <v>69</v>
      </c>
      <c r="J136" s="1086" t="s">
        <v>69</v>
      </c>
      <c r="K136" s="1550"/>
      <c r="L136" s="1131"/>
      <c r="M136" s="1131"/>
      <c r="N136" s="1131"/>
      <c r="O136" s="1131"/>
      <c r="P136" s="1131"/>
      <c r="Q136" s="1131"/>
      <c r="R136" s="1131"/>
      <c r="S136" s="1131"/>
      <c r="T136" s="1131"/>
      <c r="U136" s="1131"/>
      <c r="V136" s="1131"/>
      <c r="W136" s="1131"/>
    </row>
    <row r="137">
      <c r="A137" s="622"/>
      <c r="B137" s="1554" t="s">
        <v>142</v>
      </c>
      <c r="C137" s="1554" t="s">
        <v>23</v>
      </c>
      <c r="D137" s="1568" t="s">
        <v>70</v>
      </c>
      <c r="E137" s="1086" t="s">
        <v>70</v>
      </c>
      <c r="F137" s="1086" t="s">
        <v>70</v>
      </c>
      <c r="G137" s="1086" t="s">
        <v>69</v>
      </c>
      <c r="H137" s="1086" t="s">
        <v>69</v>
      </c>
      <c r="I137" s="1086" t="s">
        <v>69</v>
      </c>
      <c r="J137" s="1086" t="s">
        <v>69</v>
      </c>
      <c r="K137" s="1550"/>
      <c r="L137" s="1131"/>
      <c r="M137" s="1131"/>
      <c r="N137" s="1131"/>
      <c r="O137" s="1131"/>
      <c r="P137" s="1131"/>
      <c r="Q137" s="1131"/>
      <c r="R137" s="1131"/>
      <c r="S137" s="1131"/>
      <c r="T137" s="1131"/>
      <c r="U137" s="1131"/>
      <c r="V137" s="1131"/>
      <c r="W137" s="1131"/>
    </row>
    <row r="138">
      <c r="A138" s="622"/>
      <c r="B138" s="1569" t="s">
        <v>1344</v>
      </c>
      <c r="C138" s="1570" t="s">
        <v>290</v>
      </c>
      <c r="D138" s="1279"/>
      <c r="E138" s="204"/>
      <c r="F138" s="204"/>
      <c r="G138" s="204"/>
      <c r="H138" s="538"/>
      <c r="I138" s="1541" t="s">
        <v>100</v>
      </c>
      <c r="J138" s="1541" t="s">
        <v>100</v>
      </c>
      <c r="K138" s="1550"/>
      <c r="L138" s="1131"/>
      <c r="M138" s="1131"/>
      <c r="N138" s="1131"/>
      <c r="O138" s="1131"/>
      <c r="P138" s="1131"/>
      <c r="Q138" s="1131"/>
      <c r="R138" s="1131"/>
      <c r="S138" s="1131"/>
      <c r="T138" s="1131"/>
      <c r="U138" s="1131"/>
      <c r="V138" s="1131"/>
      <c r="W138" s="1131"/>
    </row>
    <row r="139">
      <c r="A139" s="622"/>
      <c r="B139" s="1571" t="s">
        <v>1236</v>
      </c>
      <c r="C139" s="1571" t="s">
        <v>290</v>
      </c>
      <c r="D139" s="1572"/>
      <c r="E139" s="1573"/>
      <c r="F139" s="1541" t="s">
        <v>100</v>
      </c>
      <c r="G139" s="1541" t="s">
        <v>100</v>
      </c>
      <c r="H139" s="1541" t="s">
        <v>100</v>
      </c>
      <c r="I139" s="1268"/>
      <c r="J139" s="1574"/>
      <c r="K139" s="1550"/>
      <c r="L139" s="1131"/>
      <c r="M139" s="1131"/>
      <c r="N139" s="1131"/>
      <c r="O139" s="1131"/>
      <c r="P139" s="1131"/>
      <c r="Q139" s="1131"/>
      <c r="R139" s="1131"/>
      <c r="S139" s="1131"/>
      <c r="T139" s="1131"/>
      <c r="U139" s="1131"/>
      <c r="V139" s="1131"/>
      <c r="W139" s="1131"/>
    </row>
    <row r="140">
      <c r="A140" s="622"/>
      <c r="B140" s="1571" t="s">
        <v>1288</v>
      </c>
      <c r="C140" s="1571" t="s">
        <v>290</v>
      </c>
      <c r="D140" s="1541" t="s">
        <v>69</v>
      </c>
      <c r="E140" s="1541" t="s">
        <v>70</v>
      </c>
      <c r="F140" s="1131"/>
      <c r="G140" s="1131"/>
      <c r="H140" s="1131"/>
      <c r="I140" s="1131"/>
      <c r="J140" s="1574"/>
      <c r="K140" s="1550"/>
      <c r="L140" s="1131"/>
      <c r="M140" s="1131"/>
      <c r="N140" s="1131"/>
      <c r="O140" s="1131"/>
      <c r="P140" s="1131"/>
      <c r="Q140" s="1131"/>
      <c r="R140" s="1131"/>
      <c r="S140" s="1131"/>
      <c r="T140" s="1131"/>
      <c r="U140" s="1131"/>
      <c r="V140" s="1131"/>
      <c r="W140" s="1131"/>
    </row>
    <row r="141">
      <c r="A141" s="627"/>
      <c r="B141" s="1558" t="s">
        <v>1268</v>
      </c>
      <c r="C141" s="1558" t="s">
        <v>410</v>
      </c>
      <c r="D141" s="1575" t="s">
        <v>69</v>
      </c>
      <c r="E141" s="1561" t="s">
        <v>70</v>
      </c>
      <c r="F141" s="1561" t="s">
        <v>70</v>
      </c>
      <c r="G141" s="1561" t="s">
        <v>99</v>
      </c>
      <c r="H141" s="1561" t="s">
        <v>69</v>
      </c>
      <c r="I141" s="1561" t="s">
        <v>69</v>
      </c>
      <c r="J141" s="1561" t="s">
        <v>69</v>
      </c>
      <c r="K141" s="1550"/>
      <c r="L141" s="1131"/>
      <c r="M141" s="1131"/>
      <c r="N141" s="1131"/>
      <c r="O141" s="1131"/>
      <c r="P141" s="1131"/>
      <c r="Q141" s="1131"/>
      <c r="R141" s="1131"/>
      <c r="S141" s="1131"/>
      <c r="T141" s="1131"/>
      <c r="U141" s="1131"/>
      <c r="V141" s="1131"/>
      <c r="W141" s="1131"/>
    </row>
    <row r="142">
      <c r="A142" s="1472" t="s">
        <v>68</v>
      </c>
      <c r="B142" s="671"/>
      <c r="D142" s="1559"/>
      <c r="J142" s="71"/>
      <c r="K142" s="1550"/>
      <c r="L142" s="1131"/>
      <c r="M142" s="1131"/>
      <c r="N142" s="1131"/>
      <c r="O142" s="1131"/>
      <c r="P142" s="1131"/>
      <c r="Q142" s="1131"/>
      <c r="R142" s="1131"/>
      <c r="S142" s="1550"/>
      <c r="T142" s="1131"/>
      <c r="U142" s="1131"/>
      <c r="V142" s="1131"/>
      <c r="W142" s="1131"/>
    </row>
    <row r="143">
      <c r="A143" s="622"/>
      <c r="B143" s="790" t="s">
        <v>69</v>
      </c>
      <c r="D143" s="1519">
        <f t="shared" ref="D143:J143" si="38">COUNTIF(D132:D141,"Voor")</f>
        <v>6</v>
      </c>
      <c r="E143" s="1519">
        <f t="shared" si="38"/>
        <v>4</v>
      </c>
      <c r="F143" s="1519">
        <f t="shared" si="38"/>
        <v>3</v>
      </c>
      <c r="G143" s="1519">
        <f t="shared" si="38"/>
        <v>4</v>
      </c>
      <c r="H143" s="1519">
        <f t="shared" si="38"/>
        <v>5</v>
      </c>
      <c r="I143" s="1519">
        <f t="shared" si="38"/>
        <v>6</v>
      </c>
      <c r="J143" s="1544">
        <f t="shared" si="38"/>
        <v>6</v>
      </c>
      <c r="K143" s="1550"/>
      <c r="L143" s="1131"/>
      <c r="M143" s="1131"/>
      <c r="N143" s="1131"/>
      <c r="O143" s="1131"/>
      <c r="P143" s="1131"/>
      <c r="Q143" s="1131"/>
      <c r="R143" s="1131"/>
      <c r="S143" s="1131"/>
      <c r="T143" s="1131"/>
      <c r="U143" s="1131"/>
      <c r="V143" s="1131"/>
      <c r="W143" s="1131"/>
    </row>
    <row r="144">
      <c r="A144" s="622"/>
      <c r="B144" s="792" t="s">
        <v>70</v>
      </c>
      <c r="D144" s="1520">
        <f t="shared" ref="D144:J144" si="39">COUNTIF(D132:D141,"Tegen")</f>
        <v>1</v>
      </c>
      <c r="E144" s="1520">
        <f t="shared" si="39"/>
        <v>3</v>
      </c>
      <c r="F144" s="1520">
        <f t="shared" si="39"/>
        <v>2</v>
      </c>
      <c r="G144" s="1520">
        <f t="shared" si="39"/>
        <v>0</v>
      </c>
      <c r="H144" s="1520">
        <f t="shared" si="39"/>
        <v>0</v>
      </c>
      <c r="I144" s="1520">
        <f t="shared" si="39"/>
        <v>0</v>
      </c>
      <c r="J144" s="1545">
        <f t="shared" si="39"/>
        <v>0</v>
      </c>
      <c r="K144" s="1550"/>
      <c r="L144" s="1131"/>
      <c r="M144" s="1131"/>
      <c r="N144" s="1131"/>
      <c r="O144" s="1131"/>
      <c r="P144" s="1131"/>
      <c r="Q144" s="1131"/>
      <c r="R144" s="1131"/>
      <c r="S144" s="1131"/>
      <c r="T144" s="1131"/>
      <c r="U144" s="1131"/>
      <c r="V144" s="1131"/>
      <c r="W144" s="1131"/>
    </row>
    <row r="145">
      <c r="A145" s="622"/>
      <c r="B145" s="794" t="s">
        <v>71</v>
      </c>
      <c r="D145" s="1521">
        <f t="shared" ref="D145:J145" si="40">COUNTIF(D132:D141,"SO")</f>
        <v>0</v>
      </c>
      <c r="E145" s="1521">
        <f t="shared" si="40"/>
        <v>0</v>
      </c>
      <c r="F145" s="1521">
        <f t="shared" si="40"/>
        <v>0</v>
      </c>
      <c r="G145" s="1521">
        <f t="shared" si="40"/>
        <v>1</v>
      </c>
      <c r="H145" s="1521">
        <f t="shared" si="40"/>
        <v>0</v>
      </c>
      <c r="I145" s="1521">
        <f t="shared" si="40"/>
        <v>0</v>
      </c>
      <c r="J145" s="1546">
        <f t="shared" si="40"/>
        <v>0</v>
      </c>
      <c r="K145" s="1550"/>
      <c r="L145" s="1131"/>
      <c r="M145" s="1131"/>
      <c r="N145" s="1131"/>
      <c r="O145" s="1131"/>
      <c r="P145" s="1131"/>
      <c r="Q145" s="1131"/>
      <c r="R145" s="1131"/>
      <c r="S145" s="1131"/>
      <c r="T145" s="1131"/>
      <c r="U145" s="1131"/>
      <c r="V145" s="1131"/>
      <c r="W145" s="1131"/>
    </row>
    <row r="146">
      <c r="A146" s="622"/>
      <c r="B146" s="796" t="s">
        <v>72</v>
      </c>
      <c r="D146" s="1522">
        <f t="shared" ref="D146:J146" si="41">COUNTIF(D132:D141,"NG")</f>
        <v>0</v>
      </c>
      <c r="E146" s="1522">
        <f t="shared" si="41"/>
        <v>0</v>
      </c>
      <c r="F146" s="1522">
        <f t="shared" si="41"/>
        <v>2</v>
      </c>
      <c r="G146" s="1522">
        <f t="shared" si="41"/>
        <v>2</v>
      </c>
      <c r="H146" s="1522">
        <f t="shared" si="41"/>
        <v>2</v>
      </c>
      <c r="I146" s="1522">
        <f t="shared" si="41"/>
        <v>1</v>
      </c>
      <c r="J146" s="1547">
        <f t="shared" si="41"/>
        <v>1</v>
      </c>
      <c r="K146" s="1550"/>
      <c r="L146" s="1131"/>
      <c r="M146" s="1131"/>
      <c r="N146" s="1131"/>
      <c r="O146" s="1131"/>
      <c r="P146" s="1131"/>
      <c r="Q146" s="1131"/>
      <c r="R146" s="1131"/>
      <c r="S146" s="1131"/>
      <c r="T146" s="1131"/>
      <c r="U146" s="1131"/>
      <c r="V146" s="1131"/>
      <c r="W146" s="1131"/>
    </row>
    <row r="147">
      <c r="A147" s="622"/>
      <c r="B147" s="798" t="s">
        <v>73</v>
      </c>
      <c r="D147" s="906">
        <f t="shared" ref="D147:J147" si="42">SUM(D143:D146)</f>
        <v>7</v>
      </c>
      <c r="E147" s="906">
        <f t="shared" si="42"/>
        <v>7</v>
      </c>
      <c r="F147" s="906">
        <f t="shared" si="42"/>
        <v>7</v>
      </c>
      <c r="G147" s="906">
        <f t="shared" si="42"/>
        <v>7</v>
      </c>
      <c r="H147" s="906">
        <f t="shared" si="42"/>
        <v>7</v>
      </c>
      <c r="I147" s="906">
        <f t="shared" si="42"/>
        <v>7</v>
      </c>
      <c r="J147" s="1548">
        <f t="shared" si="42"/>
        <v>7</v>
      </c>
      <c r="K147" s="1550"/>
      <c r="L147" s="1131"/>
      <c r="M147" s="1131"/>
      <c r="N147" s="1131"/>
      <c r="O147" s="1131"/>
      <c r="P147" s="1131"/>
      <c r="Q147" s="1131"/>
      <c r="R147" s="1131"/>
      <c r="S147" s="1131"/>
      <c r="T147" s="1131"/>
      <c r="U147" s="1131"/>
      <c r="V147" s="1131"/>
      <c r="W147" s="1131"/>
    </row>
    <row r="148">
      <c r="A148" s="622"/>
      <c r="B148" s="800" t="s">
        <v>74</v>
      </c>
      <c r="D148" s="907">
        <f t="shared" ref="D148:J148" si="43">D143+D144+D145</f>
        <v>7</v>
      </c>
      <c r="E148" s="907">
        <f t="shared" si="43"/>
        <v>7</v>
      </c>
      <c r="F148" s="907">
        <f t="shared" si="43"/>
        <v>5</v>
      </c>
      <c r="G148" s="907">
        <f t="shared" si="43"/>
        <v>5</v>
      </c>
      <c r="H148" s="907">
        <f t="shared" si="43"/>
        <v>5</v>
      </c>
      <c r="I148" s="907">
        <f t="shared" si="43"/>
        <v>6</v>
      </c>
      <c r="J148" s="1549">
        <f t="shared" si="43"/>
        <v>6</v>
      </c>
      <c r="K148" s="1550"/>
      <c r="L148" s="1131"/>
      <c r="M148" s="1131"/>
      <c r="N148" s="1131"/>
      <c r="O148" s="1131"/>
      <c r="P148" s="1131"/>
      <c r="Q148" s="1131"/>
      <c r="R148" s="1131"/>
      <c r="S148" s="1131"/>
      <c r="T148" s="1131"/>
      <c r="U148" s="1131"/>
      <c r="V148" s="1131"/>
      <c r="W148" s="1131"/>
    </row>
    <row r="149">
      <c r="A149" s="1576"/>
      <c r="B149" s="803" t="s">
        <v>75</v>
      </c>
      <c r="C149" s="65"/>
      <c r="D149" s="1536">
        <f t="shared" ref="D149:R149" si="44">IFERROR(D148/D147,"")</f>
        <v>1</v>
      </c>
      <c r="E149" s="1536">
        <f t="shared" si="44"/>
        <v>1</v>
      </c>
      <c r="F149" s="1536">
        <f t="shared" si="44"/>
        <v>0.7142857143</v>
      </c>
      <c r="G149" s="1536">
        <f t="shared" si="44"/>
        <v>0.7142857143</v>
      </c>
      <c r="H149" s="1536">
        <f t="shared" si="44"/>
        <v>0.7142857143</v>
      </c>
      <c r="I149" s="1536">
        <f t="shared" si="44"/>
        <v>0.8571428571</v>
      </c>
      <c r="J149" s="855">
        <f t="shared" si="44"/>
        <v>0.8571428571</v>
      </c>
      <c r="K149" s="1550" t="str">
        <f t="shared" si="44"/>
        <v/>
      </c>
      <c r="L149" s="1131" t="str">
        <f t="shared" si="44"/>
        <v/>
      </c>
      <c r="M149" s="1131" t="str">
        <f t="shared" si="44"/>
        <v/>
      </c>
      <c r="N149" s="1131" t="str">
        <f t="shared" si="44"/>
        <v/>
      </c>
      <c r="O149" s="1131" t="str">
        <f t="shared" si="44"/>
        <v/>
      </c>
      <c r="P149" s="1131" t="str">
        <f t="shared" si="44"/>
        <v/>
      </c>
      <c r="Q149" s="1131" t="str">
        <f t="shared" si="44"/>
        <v/>
      </c>
      <c r="R149" s="1131" t="str">
        <f t="shared" si="44"/>
        <v/>
      </c>
      <c r="S149" s="1131"/>
      <c r="T149" s="1131"/>
      <c r="U149" s="1131"/>
      <c r="V149" s="1131"/>
      <c r="W149" s="1131"/>
    </row>
    <row r="150" ht="14.25" customHeight="1">
      <c r="A150" s="1577"/>
      <c r="D150" s="1578"/>
      <c r="E150" s="1056"/>
      <c r="F150" s="1056"/>
      <c r="G150" s="1056"/>
      <c r="H150" s="1056"/>
      <c r="I150" s="1056"/>
      <c r="J150" s="1056"/>
      <c r="K150" s="1056"/>
      <c r="L150" s="1056"/>
      <c r="M150" s="1056"/>
      <c r="N150" s="1056"/>
      <c r="O150" s="1056"/>
      <c r="P150" s="1056"/>
      <c r="Q150" s="1056"/>
      <c r="R150" s="1056"/>
      <c r="S150" s="1056"/>
      <c r="T150" s="1056"/>
      <c r="U150" s="1056"/>
      <c r="V150" s="1056"/>
      <c r="W150" s="1058"/>
    </row>
    <row r="151">
      <c r="A151" s="1579"/>
      <c r="B151" s="1580" t="s">
        <v>1170</v>
      </c>
      <c r="C151" s="1580" t="s">
        <v>7</v>
      </c>
      <c r="D151" s="671"/>
      <c r="S151" s="71"/>
      <c r="T151" s="1131"/>
      <c r="U151" s="1131"/>
      <c r="V151" s="1131"/>
      <c r="W151" s="1131"/>
    </row>
    <row r="152">
      <c r="A152" s="1551" t="s">
        <v>359</v>
      </c>
      <c r="D152" s="406" t="s">
        <v>692</v>
      </c>
      <c r="E152" s="406" t="s">
        <v>695</v>
      </c>
      <c r="F152" s="406" t="s">
        <v>696</v>
      </c>
      <c r="G152" s="661" t="s">
        <v>698</v>
      </c>
      <c r="H152" s="661" t="s">
        <v>699</v>
      </c>
      <c r="I152" s="661" t="s">
        <v>701</v>
      </c>
      <c r="J152" s="406" t="s">
        <v>707</v>
      </c>
      <c r="K152" s="661" t="s">
        <v>712</v>
      </c>
      <c r="L152" s="1581" t="s">
        <v>715</v>
      </c>
      <c r="M152" s="661" t="s">
        <v>716</v>
      </c>
      <c r="N152" s="661" t="s">
        <v>717</v>
      </c>
      <c r="O152" s="406" t="s">
        <v>718</v>
      </c>
      <c r="P152" s="406" t="s">
        <v>720</v>
      </c>
      <c r="Q152" s="406" t="s">
        <v>721</v>
      </c>
      <c r="R152" s="623" t="s">
        <v>723</v>
      </c>
      <c r="S152" s="623" t="s">
        <v>724</v>
      </c>
      <c r="T152" s="1582"/>
      <c r="U152" s="1582"/>
      <c r="V152" s="1582"/>
      <c r="W152" s="1582"/>
    </row>
    <row r="153">
      <c r="A153" s="1583" t="s">
        <v>1333</v>
      </c>
      <c r="B153" s="1584" t="s">
        <v>1259</v>
      </c>
      <c r="C153" s="1584" t="s">
        <v>290</v>
      </c>
      <c r="D153" s="1541" t="s">
        <v>69</v>
      </c>
      <c r="E153" s="1541" t="s">
        <v>69</v>
      </c>
      <c r="F153" s="1541" t="s">
        <v>69</v>
      </c>
      <c r="G153" s="1541" t="s">
        <v>69</v>
      </c>
      <c r="H153" s="1541" t="s">
        <v>69</v>
      </c>
      <c r="I153" s="1541" t="s">
        <v>69</v>
      </c>
      <c r="J153" s="1541" t="s">
        <v>69</v>
      </c>
      <c r="K153" s="1541" t="s">
        <v>69</v>
      </c>
      <c r="L153" s="1541" t="s">
        <v>69</v>
      </c>
      <c r="M153" s="1541" t="s">
        <v>69</v>
      </c>
      <c r="N153" s="1541" t="s">
        <v>69</v>
      </c>
      <c r="O153" s="1541" t="s">
        <v>69</v>
      </c>
      <c r="P153" s="1541" t="s">
        <v>69</v>
      </c>
      <c r="Q153" s="1541" t="s">
        <v>69</v>
      </c>
      <c r="R153" s="1086" t="s">
        <v>69</v>
      </c>
      <c r="S153" s="1086" t="s">
        <v>69</v>
      </c>
      <c r="T153" s="1585"/>
      <c r="U153" s="1585"/>
      <c r="V153" s="1585"/>
      <c r="W153" s="1586"/>
    </row>
    <row r="154">
      <c r="B154" s="1557" t="s">
        <v>39</v>
      </c>
      <c r="C154" s="1557" t="s">
        <v>12</v>
      </c>
      <c r="D154" s="1587" t="s">
        <v>69</v>
      </c>
      <c r="E154" s="1587" t="s">
        <v>69</v>
      </c>
      <c r="F154" s="1587" t="s">
        <v>69</v>
      </c>
      <c r="G154" s="1587" t="s">
        <v>69</v>
      </c>
      <c r="H154" s="1587" t="s">
        <v>69</v>
      </c>
      <c r="I154" s="1587" t="s">
        <v>69</v>
      </c>
      <c r="J154" s="1587" t="s">
        <v>69</v>
      </c>
      <c r="K154" s="1587" t="s">
        <v>69</v>
      </c>
      <c r="L154" s="1587" t="s">
        <v>69</v>
      </c>
      <c r="M154" s="1587" t="s">
        <v>69</v>
      </c>
      <c r="N154" s="1587" t="s">
        <v>69</v>
      </c>
      <c r="O154" s="1588" t="s">
        <v>70</v>
      </c>
      <c r="P154" s="1588" t="s">
        <v>70</v>
      </c>
      <c r="Q154" s="1587" t="s">
        <v>69</v>
      </c>
      <c r="R154" s="1086" t="s">
        <v>69</v>
      </c>
      <c r="S154" s="1086" t="s">
        <v>69</v>
      </c>
      <c r="T154" s="1585"/>
      <c r="U154" s="1585"/>
      <c r="V154" s="1585"/>
      <c r="W154" s="1586"/>
    </row>
    <row r="155">
      <c r="B155" s="1589" t="s">
        <v>53</v>
      </c>
      <c r="C155" s="1589" t="s">
        <v>174</v>
      </c>
      <c r="D155" s="1541" t="s">
        <v>69</v>
      </c>
      <c r="E155" s="1541" t="s">
        <v>69</v>
      </c>
      <c r="F155" s="1541" t="s">
        <v>69</v>
      </c>
      <c r="G155" s="1541" t="s">
        <v>69</v>
      </c>
      <c r="H155" s="1541" t="s">
        <v>69</v>
      </c>
      <c r="I155" s="1541" t="s">
        <v>69</v>
      </c>
      <c r="J155" s="1541" t="s">
        <v>69</v>
      </c>
      <c r="K155" s="1541" t="s">
        <v>69</v>
      </c>
      <c r="L155" s="1541" t="s">
        <v>69</v>
      </c>
      <c r="M155" s="1541" t="s">
        <v>69</v>
      </c>
      <c r="N155" s="1541" t="s">
        <v>69</v>
      </c>
      <c r="O155" s="1541" t="s">
        <v>69</v>
      </c>
      <c r="P155" s="1541" t="s">
        <v>69</v>
      </c>
      <c r="Q155" s="1541" t="s">
        <v>69</v>
      </c>
      <c r="R155" s="1541" t="s">
        <v>70</v>
      </c>
      <c r="S155" s="1541" t="s">
        <v>69</v>
      </c>
      <c r="T155" s="1270"/>
      <c r="U155" s="1270"/>
      <c r="V155" s="1270"/>
      <c r="W155" s="1270"/>
    </row>
    <row r="156">
      <c r="A156" s="390"/>
      <c r="B156" s="1590" t="s">
        <v>1196</v>
      </c>
      <c r="C156" s="1590" t="s">
        <v>177</v>
      </c>
      <c r="D156" s="1541" t="s">
        <v>69</v>
      </c>
      <c r="E156" s="1541" t="s">
        <v>69</v>
      </c>
      <c r="F156" s="1541" t="s">
        <v>69</v>
      </c>
      <c r="G156" s="1541" t="s">
        <v>69</v>
      </c>
      <c r="H156" s="1541" t="s">
        <v>69</v>
      </c>
      <c r="I156" s="1541" t="s">
        <v>69</v>
      </c>
      <c r="J156" s="1541" t="s">
        <v>69</v>
      </c>
      <c r="K156" s="1541" t="s">
        <v>69</v>
      </c>
      <c r="L156" s="1541" t="s">
        <v>69</v>
      </c>
      <c r="M156" s="1541" t="s">
        <v>69</v>
      </c>
      <c r="N156" s="1541" t="s">
        <v>69</v>
      </c>
      <c r="O156" s="1541" t="s">
        <v>69</v>
      </c>
      <c r="P156" s="1541" t="s">
        <v>69</v>
      </c>
      <c r="Q156" s="1541" t="s">
        <v>69</v>
      </c>
      <c r="R156" s="1541" t="s">
        <v>69</v>
      </c>
      <c r="S156" s="1541" t="s">
        <v>69</v>
      </c>
      <c r="T156" s="1270"/>
      <c r="U156" s="1270"/>
      <c r="V156" s="1270"/>
      <c r="W156" s="1270"/>
    </row>
    <row r="157">
      <c r="A157" s="1591" t="s">
        <v>1335</v>
      </c>
      <c r="B157" s="1592" t="s">
        <v>1246</v>
      </c>
      <c r="C157" s="1593" t="s">
        <v>107</v>
      </c>
      <c r="D157" s="1541" t="s">
        <v>69</v>
      </c>
      <c r="E157" s="1541" t="s">
        <v>69</v>
      </c>
      <c r="F157" s="1541" t="s">
        <v>69</v>
      </c>
      <c r="G157" s="1541" t="s">
        <v>69</v>
      </c>
      <c r="H157" s="1541" t="s">
        <v>69</v>
      </c>
      <c r="I157" s="1541" t="s">
        <v>70</v>
      </c>
      <c r="J157" s="1541" t="s">
        <v>69</v>
      </c>
      <c r="K157" s="1541" t="s">
        <v>69</v>
      </c>
      <c r="L157" s="1541" t="s">
        <v>69</v>
      </c>
      <c r="M157" s="1541" t="s">
        <v>69</v>
      </c>
      <c r="N157" s="1541" t="s">
        <v>69</v>
      </c>
      <c r="O157" s="1541" t="s">
        <v>69</v>
      </c>
      <c r="P157" s="1541" t="s">
        <v>69</v>
      </c>
      <c r="Q157" s="1541" t="s">
        <v>69</v>
      </c>
      <c r="R157" s="1086" t="s">
        <v>69</v>
      </c>
      <c r="S157" s="1594" t="s">
        <v>69</v>
      </c>
      <c r="T157" s="1586"/>
      <c r="U157" s="1586"/>
      <c r="V157" s="1586"/>
      <c r="W157" s="1586"/>
    </row>
    <row r="158">
      <c r="A158" s="622"/>
      <c r="B158" s="1106" t="s">
        <v>1345</v>
      </c>
      <c r="C158" s="1595" t="s">
        <v>107</v>
      </c>
      <c r="D158" s="1541" t="s">
        <v>69</v>
      </c>
      <c r="E158" s="1541" t="s">
        <v>69</v>
      </c>
      <c r="F158" s="1541" t="s">
        <v>69</v>
      </c>
      <c r="G158" s="1541" t="s">
        <v>69</v>
      </c>
      <c r="H158" s="1541" t="s">
        <v>69</v>
      </c>
      <c r="I158" s="1541" t="s">
        <v>70</v>
      </c>
      <c r="J158" s="1541" t="s">
        <v>69</v>
      </c>
      <c r="K158" s="1541" t="s">
        <v>69</v>
      </c>
      <c r="L158" s="1541" t="s">
        <v>69</v>
      </c>
      <c r="M158" s="1541" t="s">
        <v>69</v>
      </c>
      <c r="N158" s="1541" t="s">
        <v>69</v>
      </c>
      <c r="O158" s="1541" t="s">
        <v>69</v>
      </c>
      <c r="P158" s="1541" t="s">
        <v>69</v>
      </c>
      <c r="Q158" s="1541" t="s">
        <v>69</v>
      </c>
      <c r="R158" s="1065"/>
      <c r="S158" s="1596"/>
      <c r="T158" s="1597"/>
      <c r="U158" s="1586"/>
      <c r="V158" s="1586"/>
      <c r="W158" s="1586"/>
    </row>
    <row r="159">
      <c r="A159" s="622"/>
      <c r="B159" s="1103" t="s">
        <v>1194</v>
      </c>
      <c r="C159" s="1101" t="s">
        <v>107</v>
      </c>
      <c r="D159" s="1065"/>
      <c r="E159" s="108"/>
      <c r="F159" s="108"/>
      <c r="G159" s="108"/>
      <c r="H159" s="108"/>
      <c r="I159" s="108"/>
      <c r="J159" s="108"/>
      <c r="K159" s="108"/>
      <c r="L159" s="108"/>
      <c r="M159" s="108"/>
      <c r="N159" s="108"/>
      <c r="O159" s="108"/>
      <c r="P159" s="108"/>
      <c r="Q159" s="109"/>
      <c r="R159" s="1086" t="s">
        <v>69</v>
      </c>
      <c r="S159" s="1598" t="s">
        <v>69</v>
      </c>
      <c r="T159" s="1586"/>
      <c r="U159" s="1586"/>
      <c r="V159" s="1586"/>
      <c r="W159" s="1586"/>
    </row>
    <row r="160">
      <c r="A160" s="622"/>
      <c r="B160" s="1599" t="s">
        <v>1239</v>
      </c>
      <c r="C160" s="1599" t="s">
        <v>21</v>
      </c>
      <c r="D160" s="1086" t="s">
        <v>69</v>
      </c>
      <c r="E160" s="1086" t="s">
        <v>69</v>
      </c>
      <c r="F160" s="1086" t="s">
        <v>69</v>
      </c>
      <c r="G160" s="1086" t="s">
        <v>69</v>
      </c>
      <c r="H160" s="1086" t="s">
        <v>69</v>
      </c>
      <c r="I160" s="1086" t="s">
        <v>70</v>
      </c>
      <c r="J160" s="1086" t="s">
        <v>69</v>
      </c>
      <c r="K160" s="1086" t="s">
        <v>69</v>
      </c>
      <c r="L160" s="1086" t="s">
        <v>69</v>
      </c>
      <c r="M160" s="1086" t="s">
        <v>69</v>
      </c>
      <c r="N160" s="1086" t="s">
        <v>69</v>
      </c>
      <c r="O160" s="1086" t="s">
        <v>70</v>
      </c>
      <c r="P160" s="1086" t="s">
        <v>70</v>
      </c>
      <c r="Q160" s="1086" t="s">
        <v>70</v>
      </c>
      <c r="R160" s="1086" t="s">
        <v>69</v>
      </c>
      <c r="S160" s="1086" t="s">
        <v>69</v>
      </c>
      <c r="T160" s="1585"/>
      <c r="U160" s="1585"/>
      <c r="V160" s="1585"/>
      <c r="W160" s="1586"/>
    </row>
    <row r="161">
      <c r="A161" s="622"/>
      <c r="B161" s="1599" t="s">
        <v>42</v>
      </c>
      <c r="C161" s="1599" t="s">
        <v>21</v>
      </c>
      <c r="D161" s="973" t="s">
        <v>69</v>
      </c>
      <c r="E161" s="973" t="s">
        <v>69</v>
      </c>
      <c r="F161" s="973" t="s">
        <v>69</v>
      </c>
      <c r="G161" s="973" t="s">
        <v>69</v>
      </c>
      <c r="H161" s="973" t="s">
        <v>69</v>
      </c>
      <c r="I161" s="1009" t="s">
        <v>70</v>
      </c>
      <c r="J161" s="973" t="s">
        <v>69</v>
      </c>
      <c r="K161" s="973" t="s">
        <v>69</v>
      </c>
      <c r="L161" s="973" t="s">
        <v>69</v>
      </c>
      <c r="M161" s="973" t="s">
        <v>69</v>
      </c>
      <c r="N161" s="973" t="s">
        <v>69</v>
      </c>
      <c r="O161" s="1009" t="s">
        <v>70</v>
      </c>
      <c r="P161" s="1009" t="s">
        <v>70</v>
      </c>
      <c r="Q161" s="1009" t="s">
        <v>70</v>
      </c>
      <c r="R161" s="1086" t="s">
        <v>69</v>
      </c>
      <c r="S161" s="1086" t="s">
        <v>69</v>
      </c>
      <c r="T161" s="1585"/>
      <c r="U161" s="1585"/>
      <c r="V161" s="1585"/>
      <c r="W161" s="1585"/>
    </row>
    <row r="162">
      <c r="A162" s="1600" t="s">
        <v>68</v>
      </c>
      <c r="B162" s="671"/>
      <c r="D162" s="1559"/>
      <c r="S162" s="71"/>
      <c r="T162" s="1601"/>
      <c r="U162" s="1601"/>
      <c r="V162" s="1601"/>
      <c r="W162" s="1601"/>
    </row>
    <row r="163">
      <c r="A163" s="622"/>
      <c r="B163" s="1602" t="s">
        <v>69</v>
      </c>
      <c r="D163" s="902">
        <f t="shared" ref="D163:S163" si="45">COUNTIF(D153:D161,"Voor")</f>
        <v>8</v>
      </c>
      <c r="E163" s="902">
        <f t="shared" si="45"/>
        <v>8</v>
      </c>
      <c r="F163" s="902">
        <f t="shared" si="45"/>
        <v>8</v>
      </c>
      <c r="G163" s="902">
        <f t="shared" si="45"/>
        <v>8</v>
      </c>
      <c r="H163" s="902">
        <f t="shared" si="45"/>
        <v>8</v>
      </c>
      <c r="I163" s="902">
        <f t="shared" si="45"/>
        <v>4</v>
      </c>
      <c r="J163" s="902">
        <f t="shared" si="45"/>
        <v>8</v>
      </c>
      <c r="K163" s="902">
        <f t="shared" si="45"/>
        <v>8</v>
      </c>
      <c r="L163" s="902">
        <f t="shared" si="45"/>
        <v>8</v>
      </c>
      <c r="M163" s="902">
        <f t="shared" si="45"/>
        <v>8</v>
      </c>
      <c r="N163" s="902">
        <f t="shared" si="45"/>
        <v>8</v>
      </c>
      <c r="O163" s="902">
        <f t="shared" si="45"/>
        <v>5</v>
      </c>
      <c r="P163" s="902">
        <f t="shared" si="45"/>
        <v>5</v>
      </c>
      <c r="Q163" s="902">
        <f t="shared" si="45"/>
        <v>6</v>
      </c>
      <c r="R163" s="902">
        <f t="shared" si="45"/>
        <v>7</v>
      </c>
      <c r="S163" s="1603">
        <f t="shared" si="45"/>
        <v>8</v>
      </c>
      <c r="T163" s="1175"/>
      <c r="U163" s="1175"/>
      <c r="V163" s="1175"/>
      <c r="W163" s="1175"/>
    </row>
    <row r="164" ht="19.5" customHeight="1">
      <c r="A164" s="622"/>
      <c r="B164" s="1604" t="s">
        <v>70</v>
      </c>
      <c r="D164" s="903">
        <f t="shared" ref="D164:S164" si="46">COUNTIF(D153:D161,"Tegen")</f>
        <v>0</v>
      </c>
      <c r="E164" s="903">
        <f t="shared" si="46"/>
        <v>0</v>
      </c>
      <c r="F164" s="903">
        <f t="shared" si="46"/>
        <v>0</v>
      </c>
      <c r="G164" s="903">
        <f t="shared" si="46"/>
        <v>0</v>
      </c>
      <c r="H164" s="903">
        <f t="shared" si="46"/>
        <v>0</v>
      </c>
      <c r="I164" s="903">
        <f t="shared" si="46"/>
        <v>4</v>
      </c>
      <c r="J164" s="903">
        <f t="shared" si="46"/>
        <v>0</v>
      </c>
      <c r="K164" s="903">
        <f t="shared" si="46"/>
        <v>0</v>
      </c>
      <c r="L164" s="903">
        <f t="shared" si="46"/>
        <v>0</v>
      </c>
      <c r="M164" s="903">
        <f t="shared" si="46"/>
        <v>0</v>
      </c>
      <c r="N164" s="903">
        <f t="shared" si="46"/>
        <v>0</v>
      </c>
      <c r="O164" s="903">
        <f t="shared" si="46"/>
        <v>3</v>
      </c>
      <c r="P164" s="903">
        <f t="shared" si="46"/>
        <v>3</v>
      </c>
      <c r="Q164" s="903">
        <f t="shared" si="46"/>
        <v>2</v>
      </c>
      <c r="R164" s="903">
        <f t="shared" si="46"/>
        <v>1</v>
      </c>
      <c r="S164" s="1605">
        <f t="shared" si="46"/>
        <v>0</v>
      </c>
      <c r="T164" s="1175"/>
      <c r="U164" s="1175"/>
      <c r="V164" s="1175"/>
      <c r="W164" s="1175"/>
    </row>
    <row r="165">
      <c r="A165" s="622"/>
      <c r="B165" s="1606" t="s">
        <v>71</v>
      </c>
      <c r="D165" s="904">
        <f t="shared" ref="D165:S165" si="47">COUNTIF(D153:D161,"SO")</f>
        <v>0</v>
      </c>
      <c r="E165" s="904">
        <f t="shared" si="47"/>
        <v>0</v>
      </c>
      <c r="F165" s="904">
        <f t="shared" si="47"/>
        <v>0</v>
      </c>
      <c r="G165" s="904">
        <f t="shared" si="47"/>
        <v>0</v>
      </c>
      <c r="H165" s="904">
        <f t="shared" si="47"/>
        <v>0</v>
      </c>
      <c r="I165" s="904">
        <f t="shared" si="47"/>
        <v>0</v>
      </c>
      <c r="J165" s="904">
        <f t="shared" si="47"/>
        <v>0</v>
      </c>
      <c r="K165" s="904">
        <f t="shared" si="47"/>
        <v>0</v>
      </c>
      <c r="L165" s="904">
        <f t="shared" si="47"/>
        <v>0</v>
      </c>
      <c r="M165" s="904">
        <f t="shared" si="47"/>
        <v>0</v>
      </c>
      <c r="N165" s="904">
        <f t="shared" si="47"/>
        <v>0</v>
      </c>
      <c r="O165" s="904">
        <f t="shared" si="47"/>
        <v>0</v>
      </c>
      <c r="P165" s="904">
        <f t="shared" si="47"/>
        <v>0</v>
      </c>
      <c r="Q165" s="904">
        <f t="shared" si="47"/>
        <v>0</v>
      </c>
      <c r="R165" s="904">
        <f t="shared" si="47"/>
        <v>0</v>
      </c>
      <c r="S165" s="1607">
        <f t="shared" si="47"/>
        <v>0</v>
      </c>
      <c r="T165" s="1175"/>
      <c r="U165" s="1175"/>
      <c r="V165" s="1175"/>
      <c r="W165" s="1175"/>
    </row>
    <row r="166">
      <c r="A166" s="622"/>
      <c r="B166" s="1608" t="s">
        <v>72</v>
      </c>
      <c r="D166" s="905">
        <f t="shared" ref="D166:S166" si="48">COUNTIF(D153:D161,"NG")</f>
        <v>0</v>
      </c>
      <c r="E166" s="905">
        <f t="shared" si="48"/>
        <v>0</v>
      </c>
      <c r="F166" s="905">
        <f t="shared" si="48"/>
        <v>0</v>
      </c>
      <c r="G166" s="905">
        <f t="shared" si="48"/>
        <v>0</v>
      </c>
      <c r="H166" s="905">
        <f t="shared" si="48"/>
        <v>0</v>
      </c>
      <c r="I166" s="905">
        <f t="shared" si="48"/>
        <v>0</v>
      </c>
      <c r="J166" s="905">
        <f t="shared" si="48"/>
        <v>0</v>
      </c>
      <c r="K166" s="905">
        <f t="shared" si="48"/>
        <v>0</v>
      </c>
      <c r="L166" s="905">
        <f t="shared" si="48"/>
        <v>0</v>
      </c>
      <c r="M166" s="905">
        <f t="shared" si="48"/>
        <v>0</v>
      </c>
      <c r="N166" s="905">
        <f t="shared" si="48"/>
        <v>0</v>
      </c>
      <c r="O166" s="905">
        <f t="shared" si="48"/>
        <v>0</v>
      </c>
      <c r="P166" s="905">
        <f t="shared" si="48"/>
        <v>0</v>
      </c>
      <c r="Q166" s="905">
        <f t="shared" si="48"/>
        <v>0</v>
      </c>
      <c r="R166" s="905">
        <f t="shared" si="48"/>
        <v>0</v>
      </c>
      <c r="S166" s="1609">
        <f t="shared" si="48"/>
        <v>0</v>
      </c>
      <c r="T166" s="1293"/>
      <c r="U166" s="1293"/>
      <c r="V166" s="1293"/>
      <c r="W166" s="1293"/>
    </row>
    <row r="167">
      <c r="A167" s="622"/>
      <c r="B167" s="1610" t="s">
        <v>73</v>
      </c>
      <c r="D167" s="1123">
        <f t="shared" ref="D167:S167" si="49">SUM(D163:D166)</f>
        <v>8</v>
      </c>
      <c r="E167" s="1123">
        <f t="shared" si="49"/>
        <v>8</v>
      </c>
      <c r="F167" s="1123">
        <f t="shared" si="49"/>
        <v>8</v>
      </c>
      <c r="G167" s="1123">
        <f t="shared" si="49"/>
        <v>8</v>
      </c>
      <c r="H167" s="1123">
        <f t="shared" si="49"/>
        <v>8</v>
      </c>
      <c r="I167" s="1123">
        <f t="shared" si="49"/>
        <v>8</v>
      </c>
      <c r="J167" s="1123">
        <f t="shared" si="49"/>
        <v>8</v>
      </c>
      <c r="K167" s="1123">
        <f t="shared" si="49"/>
        <v>8</v>
      </c>
      <c r="L167" s="1123">
        <f t="shared" si="49"/>
        <v>8</v>
      </c>
      <c r="M167" s="1123">
        <f t="shared" si="49"/>
        <v>8</v>
      </c>
      <c r="N167" s="1123">
        <f t="shared" si="49"/>
        <v>8</v>
      </c>
      <c r="O167" s="1123">
        <f t="shared" si="49"/>
        <v>8</v>
      </c>
      <c r="P167" s="1123">
        <f t="shared" si="49"/>
        <v>8</v>
      </c>
      <c r="Q167" s="1123">
        <f t="shared" si="49"/>
        <v>8</v>
      </c>
      <c r="R167" s="1123">
        <f t="shared" si="49"/>
        <v>8</v>
      </c>
      <c r="S167" s="1611">
        <f t="shared" si="49"/>
        <v>8</v>
      </c>
      <c r="T167" s="1175"/>
      <c r="U167" s="1175"/>
      <c r="V167" s="1175"/>
      <c r="W167" s="1175"/>
    </row>
    <row r="168">
      <c r="A168" s="622"/>
      <c r="B168" s="1612" t="s">
        <v>74</v>
      </c>
      <c r="D168" s="1125">
        <f t="shared" ref="D168:S168" si="50">D163+D164+D165</f>
        <v>8</v>
      </c>
      <c r="E168" s="1125">
        <f t="shared" si="50"/>
        <v>8</v>
      </c>
      <c r="F168" s="1125">
        <f t="shared" si="50"/>
        <v>8</v>
      </c>
      <c r="G168" s="1125">
        <f t="shared" si="50"/>
        <v>8</v>
      </c>
      <c r="H168" s="1125">
        <f t="shared" si="50"/>
        <v>8</v>
      </c>
      <c r="I168" s="1125">
        <f t="shared" si="50"/>
        <v>8</v>
      </c>
      <c r="J168" s="1125">
        <f t="shared" si="50"/>
        <v>8</v>
      </c>
      <c r="K168" s="1125">
        <f t="shared" si="50"/>
        <v>8</v>
      </c>
      <c r="L168" s="1125">
        <f t="shared" si="50"/>
        <v>8</v>
      </c>
      <c r="M168" s="1125">
        <f t="shared" si="50"/>
        <v>8</v>
      </c>
      <c r="N168" s="1125">
        <f t="shared" si="50"/>
        <v>8</v>
      </c>
      <c r="O168" s="1125">
        <f t="shared" si="50"/>
        <v>8</v>
      </c>
      <c r="P168" s="1125">
        <f t="shared" si="50"/>
        <v>8</v>
      </c>
      <c r="Q168" s="1125">
        <f t="shared" si="50"/>
        <v>8</v>
      </c>
      <c r="R168" s="1125">
        <f t="shared" si="50"/>
        <v>8</v>
      </c>
      <c r="S168" s="1613">
        <f t="shared" si="50"/>
        <v>8</v>
      </c>
      <c r="T168" s="1175"/>
      <c r="U168" s="1175"/>
      <c r="V168" s="1175"/>
      <c r="W168" s="1175"/>
    </row>
    <row r="169">
      <c r="A169" s="1576"/>
      <c r="B169" s="1245" t="s">
        <v>75</v>
      </c>
      <c r="C169" s="65"/>
      <c r="D169" s="1614">
        <f t="shared" ref="D169:S169" si="51">IFERROR(D168/D167,"")</f>
        <v>1</v>
      </c>
      <c r="E169" s="1614">
        <f t="shared" si="51"/>
        <v>1</v>
      </c>
      <c r="F169" s="1614">
        <f t="shared" si="51"/>
        <v>1</v>
      </c>
      <c r="G169" s="1614">
        <f t="shared" si="51"/>
        <v>1</v>
      </c>
      <c r="H169" s="1614">
        <f t="shared" si="51"/>
        <v>1</v>
      </c>
      <c r="I169" s="1614">
        <f t="shared" si="51"/>
        <v>1</v>
      </c>
      <c r="J169" s="1614">
        <f t="shared" si="51"/>
        <v>1</v>
      </c>
      <c r="K169" s="1614">
        <f t="shared" si="51"/>
        <v>1</v>
      </c>
      <c r="L169" s="1614">
        <f t="shared" si="51"/>
        <v>1</v>
      </c>
      <c r="M169" s="1614">
        <f t="shared" si="51"/>
        <v>1</v>
      </c>
      <c r="N169" s="1614">
        <f t="shared" si="51"/>
        <v>1</v>
      </c>
      <c r="O169" s="1614">
        <f t="shared" si="51"/>
        <v>1</v>
      </c>
      <c r="P169" s="1614">
        <f t="shared" si="51"/>
        <v>1</v>
      </c>
      <c r="Q169" s="1614">
        <f t="shared" si="51"/>
        <v>1</v>
      </c>
      <c r="R169" s="1614">
        <f t="shared" si="51"/>
        <v>1</v>
      </c>
      <c r="S169" s="1615">
        <f t="shared" si="51"/>
        <v>1</v>
      </c>
      <c r="T169" s="1616"/>
      <c r="U169" s="1616"/>
      <c r="V169" s="1616"/>
      <c r="W169" s="1616"/>
    </row>
    <row r="170" ht="14.25" customHeight="1">
      <c r="A170" s="1577"/>
      <c r="D170" s="1578"/>
      <c r="E170" s="1056"/>
      <c r="F170" s="1056"/>
      <c r="G170" s="1056"/>
      <c r="H170" s="1056"/>
      <c r="I170" s="1056"/>
      <c r="J170" s="1056"/>
      <c r="K170" s="1056"/>
      <c r="L170" s="1056"/>
      <c r="M170" s="1056"/>
      <c r="N170" s="1056"/>
      <c r="O170" s="1056"/>
      <c r="P170" s="1056"/>
      <c r="Q170" s="1056"/>
      <c r="R170" s="1056"/>
      <c r="S170" s="1056"/>
      <c r="T170" s="1056"/>
      <c r="U170" s="1056"/>
      <c r="V170" s="1056"/>
      <c r="W170" s="1058"/>
    </row>
    <row r="171">
      <c r="A171" s="683"/>
      <c r="B171" s="1580" t="s">
        <v>1170</v>
      </c>
      <c r="C171" s="1580" t="s">
        <v>7</v>
      </c>
      <c r="D171" s="671"/>
      <c r="F171" s="71"/>
      <c r="G171" s="1617"/>
      <c r="H171" s="1293"/>
      <c r="I171" s="1293"/>
      <c r="J171" s="1293"/>
      <c r="K171" s="1293"/>
      <c r="L171" s="1293"/>
      <c r="M171" s="1293"/>
      <c r="N171" s="1293"/>
      <c r="O171" s="1293"/>
      <c r="P171" s="1293"/>
      <c r="Q171" s="1293"/>
      <c r="R171" s="1293"/>
      <c r="S171" s="1293"/>
      <c r="T171" s="1293"/>
      <c r="U171" s="1293"/>
      <c r="V171" s="1293"/>
      <c r="W171" s="1293"/>
    </row>
    <row r="172">
      <c r="A172" s="1618" t="s">
        <v>327</v>
      </c>
      <c r="B172" s="390"/>
      <c r="C172" s="390"/>
      <c r="D172" s="406" t="s">
        <v>687</v>
      </c>
      <c r="E172" s="406" t="s">
        <v>688</v>
      </c>
      <c r="F172" s="623" t="s">
        <v>689</v>
      </c>
      <c r="G172" s="1617"/>
      <c r="H172" s="1293"/>
      <c r="I172" s="1293"/>
      <c r="J172" s="1293"/>
      <c r="K172" s="1293"/>
      <c r="L172" s="1293"/>
      <c r="M172" s="1293"/>
      <c r="N172" s="1293"/>
      <c r="O172" s="1293"/>
      <c r="P172" s="1293"/>
      <c r="Q172" s="1293"/>
      <c r="R172" s="1293"/>
      <c r="S172" s="1293"/>
      <c r="T172" s="1293"/>
      <c r="U172" s="1293"/>
      <c r="V172" s="1293"/>
      <c r="W172" s="1293"/>
    </row>
    <row r="173">
      <c r="A173" s="1591" t="s">
        <v>1333</v>
      </c>
      <c r="B173" s="1599" t="s">
        <v>927</v>
      </c>
      <c r="C173" s="1599" t="s">
        <v>21</v>
      </c>
      <c r="D173" s="1086" t="s">
        <v>69</v>
      </c>
      <c r="E173" s="1086" t="s">
        <v>69</v>
      </c>
      <c r="F173" s="1086" t="s">
        <v>69</v>
      </c>
      <c r="G173" s="1293"/>
      <c r="H173" s="1293"/>
      <c r="I173" s="1293"/>
      <c r="J173" s="1293"/>
      <c r="K173" s="1293"/>
      <c r="L173" s="1293"/>
      <c r="M173" s="1293"/>
      <c r="N173" s="1293"/>
      <c r="O173" s="1293"/>
      <c r="P173" s="1293"/>
      <c r="Q173" s="1293"/>
      <c r="R173" s="1293"/>
      <c r="S173" s="1293"/>
      <c r="T173" s="1293"/>
      <c r="U173" s="1293"/>
      <c r="V173" s="1293"/>
      <c r="W173" s="1293"/>
    </row>
    <row r="174">
      <c r="A174" s="622"/>
      <c r="B174" s="1557" t="s">
        <v>1346</v>
      </c>
      <c r="C174" s="1557" t="s">
        <v>12</v>
      </c>
      <c r="D174" s="1086" t="s">
        <v>69</v>
      </c>
      <c r="E174" s="1086" t="s">
        <v>69</v>
      </c>
      <c r="F174" s="1086" t="s">
        <v>69</v>
      </c>
      <c r="G174" s="1293"/>
      <c r="H174" s="1293"/>
      <c r="I174" s="1293"/>
      <c r="J174" s="1293"/>
      <c r="K174" s="1293"/>
      <c r="L174" s="1293"/>
      <c r="M174" s="1293"/>
      <c r="N174" s="1293"/>
      <c r="O174" s="1293"/>
      <c r="P174" s="1293"/>
      <c r="Q174" s="1293"/>
      <c r="R174" s="1293"/>
      <c r="S174" s="1293"/>
      <c r="T174" s="1293"/>
      <c r="U174" s="1293"/>
      <c r="V174" s="1293"/>
      <c r="W174" s="1293"/>
    </row>
    <row r="175">
      <c r="A175" s="622"/>
      <c r="B175" s="1589" t="s">
        <v>53</v>
      </c>
      <c r="C175" s="1589" t="s">
        <v>174</v>
      </c>
      <c r="D175" s="1086" t="s">
        <v>70</v>
      </c>
      <c r="E175" s="1086" t="s">
        <v>69</v>
      </c>
      <c r="F175" s="1086" t="s">
        <v>69</v>
      </c>
      <c r="G175" s="1293"/>
      <c r="H175" s="1293"/>
      <c r="I175" s="1293"/>
      <c r="J175" s="1293"/>
      <c r="K175" s="1293"/>
      <c r="L175" s="1293"/>
      <c r="M175" s="1293"/>
      <c r="N175" s="1293"/>
      <c r="O175" s="1293"/>
      <c r="P175" s="1293"/>
      <c r="Q175" s="1293"/>
      <c r="R175" s="1293"/>
      <c r="S175" s="1293"/>
      <c r="T175" s="1293"/>
      <c r="U175" s="1293"/>
      <c r="V175" s="1293"/>
      <c r="W175" s="1293"/>
    </row>
    <row r="176">
      <c r="A176" s="1619" t="s">
        <v>1347</v>
      </c>
      <c r="B176" s="1567" t="s">
        <v>1212</v>
      </c>
      <c r="C176" s="1567" t="s">
        <v>177</v>
      </c>
      <c r="D176" s="1086" t="s">
        <v>69</v>
      </c>
      <c r="E176" s="1086" t="s">
        <v>69</v>
      </c>
      <c r="F176" s="1086" t="s">
        <v>69</v>
      </c>
      <c r="G176" s="1293"/>
      <c r="H176" s="1293"/>
      <c r="I176" s="1293"/>
      <c r="J176" s="1293"/>
      <c r="K176" s="1293"/>
      <c r="L176" s="1293"/>
      <c r="M176" s="1293"/>
      <c r="N176" s="1293"/>
      <c r="O176" s="1293"/>
      <c r="P176" s="1293"/>
      <c r="Q176" s="1293"/>
      <c r="R176" s="1293"/>
      <c r="S176" s="1293"/>
      <c r="T176" s="1293"/>
      <c r="U176" s="1293"/>
      <c r="V176" s="1293"/>
      <c r="W176" s="1293"/>
    </row>
    <row r="177">
      <c r="A177" s="622"/>
      <c r="B177" s="1620" t="s">
        <v>1348</v>
      </c>
      <c r="C177" s="1620" t="s">
        <v>200</v>
      </c>
      <c r="D177" s="1086" t="s">
        <v>69</v>
      </c>
      <c r="E177" s="1086" t="s">
        <v>69</v>
      </c>
      <c r="F177" s="1086" t="s">
        <v>69</v>
      </c>
      <c r="G177" s="1293"/>
      <c r="H177" s="1293"/>
      <c r="I177" s="1293"/>
      <c r="J177" s="1293"/>
      <c r="K177" s="1293"/>
      <c r="L177" s="1293"/>
      <c r="M177" s="1293"/>
      <c r="N177" s="1293"/>
      <c r="O177" s="1293"/>
      <c r="P177" s="1293"/>
      <c r="Q177" s="1293"/>
      <c r="R177" s="1293"/>
      <c r="S177" s="1293"/>
      <c r="T177" s="1293"/>
      <c r="U177" s="1293"/>
      <c r="V177" s="1293"/>
      <c r="W177" s="1293"/>
    </row>
    <row r="178">
      <c r="A178" s="622"/>
      <c r="B178" s="1621" t="s">
        <v>1261</v>
      </c>
      <c r="C178" s="1621" t="s">
        <v>168</v>
      </c>
      <c r="D178" s="1086" t="s">
        <v>69</v>
      </c>
      <c r="E178" s="1086" t="s">
        <v>69</v>
      </c>
      <c r="F178" s="1086" t="s">
        <v>69</v>
      </c>
      <c r="G178" s="1293"/>
      <c r="H178" s="1293"/>
      <c r="I178" s="1293"/>
      <c r="J178" s="1293"/>
      <c r="K178" s="1293"/>
      <c r="L178" s="1293"/>
      <c r="M178" s="1293"/>
      <c r="N178" s="1293"/>
      <c r="O178" s="1293"/>
      <c r="P178" s="1293"/>
      <c r="Q178" s="1293"/>
      <c r="R178" s="1293"/>
      <c r="S178" s="1293"/>
      <c r="T178" s="1293"/>
      <c r="U178" s="1293"/>
      <c r="V178" s="1293"/>
      <c r="W178" s="1293"/>
    </row>
    <row r="179">
      <c r="A179" s="622"/>
      <c r="B179" s="1622" t="s">
        <v>1278</v>
      </c>
      <c r="C179" s="1622" t="s">
        <v>263</v>
      </c>
      <c r="D179" s="1086" t="s">
        <v>69</v>
      </c>
      <c r="E179" s="1086" t="s">
        <v>69</v>
      </c>
      <c r="F179" s="1086" t="s">
        <v>69</v>
      </c>
      <c r="G179" s="1293"/>
      <c r="H179" s="1293"/>
      <c r="I179" s="1293"/>
      <c r="J179" s="1293"/>
      <c r="K179" s="1293"/>
      <c r="L179" s="1293"/>
      <c r="M179" s="1293"/>
      <c r="N179" s="1293"/>
      <c r="O179" s="1293"/>
      <c r="P179" s="1293"/>
      <c r="Q179" s="1293"/>
      <c r="R179" s="1293"/>
      <c r="S179" s="1293"/>
      <c r="T179" s="1293"/>
      <c r="U179" s="1293"/>
      <c r="V179" s="1293"/>
      <c r="W179" s="1293"/>
    </row>
    <row r="180">
      <c r="A180" s="622"/>
      <c r="B180" s="1623" t="s">
        <v>1349</v>
      </c>
      <c r="C180" s="1623" t="s">
        <v>290</v>
      </c>
      <c r="D180" s="1086" t="s">
        <v>100</v>
      </c>
      <c r="E180" s="1086" t="s">
        <v>100</v>
      </c>
      <c r="F180" s="1086" t="s">
        <v>100</v>
      </c>
      <c r="G180" s="1293"/>
      <c r="H180" s="1293"/>
      <c r="I180" s="1293"/>
      <c r="J180" s="1293"/>
      <c r="K180" s="1293"/>
      <c r="L180" s="1293"/>
      <c r="M180" s="1293"/>
      <c r="N180" s="1293"/>
      <c r="O180" s="1293"/>
      <c r="P180" s="1293"/>
      <c r="Q180" s="1293"/>
      <c r="R180" s="1293"/>
      <c r="S180" s="1293"/>
      <c r="T180" s="1293"/>
      <c r="U180" s="1293"/>
      <c r="V180" s="1293"/>
      <c r="W180" s="1293"/>
    </row>
    <row r="181">
      <c r="A181" s="1619" t="s">
        <v>68</v>
      </c>
      <c r="B181" s="671"/>
      <c r="D181" s="1559"/>
      <c r="E181" s="1559"/>
      <c r="F181" s="1559"/>
      <c r="G181" s="1293"/>
      <c r="H181" s="1293"/>
      <c r="I181" s="1293"/>
      <c r="J181" s="1293"/>
      <c r="K181" s="1293"/>
      <c r="L181" s="1293"/>
      <c r="M181" s="1293"/>
      <c r="N181" s="1293"/>
      <c r="O181" s="1293"/>
      <c r="P181" s="1293"/>
      <c r="Q181" s="1293"/>
      <c r="R181" s="1293"/>
      <c r="S181" s="1293"/>
      <c r="T181" s="1293"/>
      <c r="U181" s="1293"/>
      <c r="V181" s="1293"/>
      <c r="W181" s="1293"/>
    </row>
    <row r="182">
      <c r="A182" s="622"/>
      <c r="B182" s="1624" t="s">
        <v>69</v>
      </c>
      <c r="D182" s="1625">
        <f t="shared" ref="D182:F182" si="52">COUNTIF(D173:D180,"Voor")</f>
        <v>6</v>
      </c>
      <c r="E182" s="1625">
        <f t="shared" si="52"/>
        <v>7</v>
      </c>
      <c r="F182" s="1625">
        <f t="shared" si="52"/>
        <v>7</v>
      </c>
      <c r="G182" s="1293"/>
      <c r="H182" s="1293"/>
      <c r="I182" s="1293"/>
      <c r="J182" s="1293"/>
      <c r="K182" s="1293"/>
      <c r="L182" s="1293"/>
      <c r="M182" s="1293"/>
      <c r="N182" s="1293"/>
      <c r="O182" s="1293"/>
      <c r="P182" s="1293"/>
      <c r="Q182" s="1293"/>
      <c r="R182" s="1293"/>
      <c r="S182" s="1293"/>
      <c r="T182" s="1293"/>
      <c r="U182" s="1293"/>
      <c r="V182" s="1293"/>
      <c r="W182" s="1293"/>
    </row>
    <row r="183">
      <c r="A183" s="622"/>
      <c r="B183" s="1626" t="s">
        <v>70</v>
      </c>
      <c r="D183" s="1627">
        <f t="shared" ref="D183:F183" si="53">COUNTIF(D173:D180,"Tegen")</f>
        <v>1</v>
      </c>
      <c r="E183" s="1627">
        <f t="shared" si="53"/>
        <v>0</v>
      </c>
      <c r="F183" s="1627">
        <f t="shared" si="53"/>
        <v>0</v>
      </c>
      <c r="G183" s="1293"/>
      <c r="H183" s="1293"/>
      <c r="I183" s="1293"/>
      <c r="J183" s="1293"/>
      <c r="K183" s="1293"/>
      <c r="L183" s="1293"/>
      <c r="M183" s="1293"/>
      <c r="N183" s="1293"/>
      <c r="O183" s="1293"/>
      <c r="P183" s="1293"/>
      <c r="Q183" s="1293"/>
      <c r="R183" s="1293"/>
      <c r="S183" s="1293"/>
      <c r="T183" s="1293"/>
      <c r="U183" s="1293"/>
      <c r="V183" s="1293"/>
      <c r="W183" s="1293"/>
    </row>
    <row r="184">
      <c r="A184" s="622"/>
      <c r="B184" s="1628" t="s">
        <v>71</v>
      </c>
      <c r="D184" s="1629">
        <f t="shared" ref="D184:F184" si="54">COUNTIF(D173:D180,"SO")</f>
        <v>0</v>
      </c>
      <c r="E184" s="1629">
        <f t="shared" si="54"/>
        <v>0</v>
      </c>
      <c r="F184" s="1629">
        <f t="shared" si="54"/>
        <v>0</v>
      </c>
      <c r="G184" s="1293"/>
      <c r="H184" s="1293"/>
      <c r="I184" s="1293"/>
      <c r="J184" s="1293"/>
      <c r="K184" s="1293"/>
      <c r="L184" s="1293"/>
      <c r="M184" s="1293"/>
      <c r="N184" s="1293"/>
      <c r="O184" s="1293"/>
      <c r="P184" s="1293"/>
      <c r="Q184" s="1293"/>
      <c r="R184" s="1293"/>
      <c r="S184" s="1293"/>
      <c r="T184" s="1293"/>
      <c r="U184" s="1293"/>
      <c r="V184" s="1293"/>
      <c r="W184" s="1293"/>
    </row>
    <row r="185">
      <c r="A185" s="622"/>
      <c r="B185" s="1630" t="s">
        <v>72</v>
      </c>
      <c r="D185" s="1631">
        <f t="shared" ref="D185:F185" si="55">COUNTIF(D173:D180,"NG")</f>
        <v>1</v>
      </c>
      <c r="E185" s="1631">
        <f t="shared" si="55"/>
        <v>1</v>
      </c>
      <c r="F185" s="1631">
        <f t="shared" si="55"/>
        <v>1</v>
      </c>
      <c r="G185" s="1293"/>
      <c r="H185" s="1293"/>
      <c r="I185" s="1293"/>
      <c r="J185" s="1293"/>
      <c r="K185" s="1293"/>
      <c r="L185" s="1293"/>
      <c r="M185" s="1293"/>
      <c r="N185" s="1293"/>
      <c r="O185" s="1293"/>
      <c r="P185" s="1293"/>
      <c r="Q185" s="1293"/>
      <c r="R185" s="1293"/>
      <c r="S185" s="1293"/>
      <c r="T185" s="1293"/>
      <c r="U185" s="1293"/>
      <c r="V185" s="1293"/>
      <c r="W185" s="1293"/>
    </row>
    <row r="186">
      <c r="A186" s="622"/>
      <c r="B186" s="1632" t="s">
        <v>73</v>
      </c>
      <c r="D186" s="1633">
        <f t="shared" ref="D186:F186" si="56">SUM(D182:D185)</f>
        <v>8</v>
      </c>
      <c r="E186" s="1633">
        <f t="shared" si="56"/>
        <v>8</v>
      </c>
      <c r="F186" s="1633">
        <f t="shared" si="56"/>
        <v>8</v>
      </c>
      <c r="G186" s="1293"/>
      <c r="H186" s="1293"/>
      <c r="I186" s="1293"/>
      <c r="J186" s="1293"/>
      <c r="K186" s="1293"/>
      <c r="L186" s="1293"/>
      <c r="M186" s="1293"/>
      <c r="N186" s="1293"/>
      <c r="O186" s="1293"/>
      <c r="P186" s="1293"/>
      <c r="Q186" s="1293"/>
      <c r="R186" s="1293"/>
      <c r="S186" s="1293"/>
      <c r="T186" s="1293"/>
      <c r="U186" s="1293"/>
      <c r="V186" s="1293"/>
      <c r="W186" s="1293"/>
    </row>
    <row r="187">
      <c r="A187" s="622"/>
      <c r="B187" s="1634" t="s">
        <v>74</v>
      </c>
      <c r="D187" s="1635">
        <f t="shared" ref="D187:F187" si="57">D182+D183+D184</f>
        <v>7</v>
      </c>
      <c r="E187" s="1635">
        <f t="shared" si="57"/>
        <v>7</v>
      </c>
      <c r="F187" s="1635">
        <f t="shared" si="57"/>
        <v>7</v>
      </c>
      <c r="G187" s="1293"/>
      <c r="H187" s="1293"/>
      <c r="I187" s="1293"/>
      <c r="J187" s="1293"/>
      <c r="K187" s="1293"/>
      <c r="L187" s="1293"/>
      <c r="M187" s="1293"/>
      <c r="N187" s="1293"/>
      <c r="O187" s="1293"/>
      <c r="P187" s="1293"/>
      <c r="Q187" s="1293"/>
      <c r="R187" s="1293"/>
      <c r="S187" s="1293"/>
      <c r="T187" s="1293"/>
      <c r="U187" s="1293"/>
      <c r="V187" s="1293"/>
      <c r="W187" s="1293"/>
    </row>
    <row r="188">
      <c r="A188" s="622"/>
      <c r="B188" s="1636" t="s">
        <v>75</v>
      </c>
      <c r="D188" s="1637">
        <f t="shared" ref="D188:F188" si="58">IFERROR(D187/D186,"")</f>
        <v>0.875</v>
      </c>
      <c r="E188" s="1637">
        <f t="shared" si="58"/>
        <v>0.875</v>
      </c>
      <c r="F188" s="1637">
        <f t="shared" si="58"/>
        <v>0.875</v>
      </c>
      <c r="G188" s="1293"/>
      <c r="H188" s="1293"/>
      <c r="I188" s="1293"/>
      <c r="J188" s="1293"/>
      <c r="K188" s="1293"/>
      <c r="L188" s="1293"/>
      <c r="M188" s="1293"/>
      <c r="N188" s="1293"/>
      <c r="O188" s="1293"/>
      <c r="P188" s="1293"/>
      <c r="Q188" s="1293"/>
      <c r="R188" s="1293"/>
      <c r="S188" s="1293"/>
      <c r="T188" s="1293"/>
      <c r="U188" s="1293"/>
      <c r="V188" s="1293"/>
      <c r="W188" s="1293"/>
    </row>
    <row r="189" ht="14.25" customHeight="1">
      <c r="A189" s="1577"/>
      <c r="D189" s="1335"/>
      <c r="E189" s="914"/>
      <c r="F189" s="914"/>
      <c r="G189" s="914"/>
      <c r="H189" s="914"/>
      <c r="I189" s="914"/>
      <c r="J189" s="914"/>
      <c r="K189" s="914"/>
      <c r="L189" s="914"/>
      <c r="M189" s="914"/>
      <c r="N189" s="914"/>
      <c r="O189" s="914"/>
      <c r="P189" s="914"/>
      <c r="Q189" s="914"/>
      <c r="R189" s="914"/>
      <c r="S189" s="914"/>
      <c r="T189" s="914"/>
      <c r="U189" s="914"/>
      <c r="V189" s="914"/>
      <c r="W189" s="915"/>
    </row>
    <row r="190">
      <c r="A190" s="1638"/>
      <c r="B190" s="1580" t="s">
        <v>1170</v>
      </c>
      <c r="C190" s="1580" t="s">
        <v>7</v>
      </c>
      <c r="D190" s="671"/>
      <c r="Q190" s="71"/>
      <c r="R190" s="1617"/>
      <c r="S190" s="1293"/>
      <c r="T190" s="1293"/>
      <c r="U190" s="1293"/>
      <c r="V190" s="1293"/>
      <c r="W190" s="1293"/>
    </row>
    <row r="191">
      <c r="A191" s="1618" t="s">
        <v>288</v>
      </c>
      <c r="B191" s="390"/>
      <c r="C191" s="390"/>
      <c r="D191" s="527" t="s">
        <v>1350</v>
      </c>
      <c r="E191" s="527" t="s">
        <v>256</v>
      </c>
      <c r="F191" s="527" t="s">
        <v>258</v>
      </c>
      <c r="G191" s="1639" t="s">
        <v>262</v>
      </c>
      <c r="H191" s="1639" t="s">
        <v>265</v>
      </c>
      <c r="I191" s="1639" t="s">
        <v>1291</v>
      </c>
      <c r="J191" s="527" t="s">
        <v>674</v>
      </c>
      <c r="K191" s="1639" t="s">
        <v>1279</v>
      </c>
      <c r="L191" s="1639" t="s">
        <v>677</v>
      </c>
      <c r="M191" s="1639" t="s">
        <v>680</v>
      </c>
      <c r="N191" s="1639" t="s">
        <v>681</v>
      </c>
      <c r="O191" s="527" t="s">
        <v>682</v>
      </c>
      <c r="P191" s="527" t="s">
        <v>684</v>
      </c>
      <c r="Q191" s="626" t="s">
        <v>685</v>
      </c>
      <c r="R191" s="1617"/>
      <c r="S191" s="1293"/>
      <c r="T191" s="1293"/>
      <c r="U191" s="1293"/>
      <c r="V191" s="1293"/>
      <c r="W191" s="1293"/>
    </row>
    <row r="192">
      <c r="A192" s="1591" t="s">
        <v>1333</v>
      </c>
      <c r="B192" s="1599" t="s">
        <v>1262</v>
      </c>
      <c r="C192" s="1599" t="s">
        <v>21</v>
      </c>
      <c r="D192" s="1086" t="s">
        <v>69</v>
      </c>
      <c r="E192" s="1086" t="s">
        <v>70</v>
      </c>
      <c r="F192" s="1086" t="s">
        <v>69</v>
      </c>
      <c r="G192" s="1086" t="s">
        <v>69</v>
      </c>
      <c r="H192" s="1086" t="s">
        <v>69</v>
      </c>
      <c r="I192" s="1086" t="s">
        <v>69</v>
      </c>
      <c r="J192" s="1086" t="s">
        <v>69</v>
      </c>
      <c r="K192" s="1086" t="s">
        <v>69</v>
      </c>
      <c r="L192" s="1086" t="s">
        <v>69</v>
      </c>
      <c r="M192" s="1086" t="s">
        <v>69</v>
      </c>
      <c r="N192" s="1086" t="s">
        <v>69</v>
      </c>
      <c r="O192" s="1086" t="s">
        <v>69</v>
      </c>
      <c r="P192" s="1086" t="s">
        <v>69</v>
      </c>
      <c r="Q192" s="1086" t="s">
        <v>69</v>
      </c>
      <c r="R192" s="1293"/>
      <c r="S192" s="1293"/>
      <c r="T192" s="1293"/>
      <c r="U192" s="1293"/>
      <c r="V192" s="1293"/>
      <c r="W192" s="1293"/>
    </row>
    <row r="193">
      <c r="A193" s="622"/>
      <c r="B193" s="1557" t="s">
        <v>1341</v>
      </c>
      <c r="C193" s="1557" t="s">
        <v>12</v>
      </c>
      <c r="D193" s="1086" t="s">
        <v>69</v>
      </c>
      <c r="E193" s="1086" t="s">
        <v>69</v>
      </c>
      <c r="F193" s="1086" t="s">
        <v>69</v>
      </c>
      <c r="G193" s="1086" t="s">
        <v>69</v>
      </c>
      <c r="H193" s="1086" t="s">
        <v>69</v>
      </c>
      <c r="I193" s="1086" t="s">
        <v>69</v>
      </c>
      <c r="J193" s="1086" t="s">
        <v>69</v>
      </c>
      <c r="K193" s="1086" t="s">
        <v>69</v>
      </c>
      <c r="L193" s="1086" t="s">
        <v>69</v>
      </c>
      <c r="M193" s="1086" t="s">
        <v>69</v>
      </c>
      <c r="N193" s="1086" t="s">
        <v>69</v>
      </c>
      <c r="O193" s="1086" t="s">
        <v>69</v>
      </c>
      <c r="P193" s="1086" t="s">
        <v>69</v>
      </c>
      <c r="Q193" s="1086" t="s">
        <v>69</v>
      </c>
      <c r="R193" s="1293"/>
      <c r="S193" s="1293"/>
      <c r="T193" s="1293"/>
      <c r="U193" s="1293"/>
      <c r="V193" s="1293"/>
      <c r="W193" s="1293"/>
    </row>
    <row r="194">
      <c r="A194" s="622"/>
      <c r="B194" s="1589" t="s">
        <v>53</v>
      </c>
      <c r="C194" s="1589" t="s">
        <v>174</v>
      </c>
      <c r="D194" s="1086" t="s">
        <v>100</v>
      </c>
      <c r="E194" s="1086" t="s">
        <v>100</v>
      </c>
      <c r="F194" s="1086" t="s">
        <v>100</v>
      </c>
      <c r="G194" s="1086" t="s">
        <v>100</v>
      </c>
      <c r="H194" s="1086" t="s">
        <v>100</v>
      </c>
      <c r="I194" s="1086" t="s">
        <v>100</v>
      </c>
      <c r="J194" s="1086" t="s">
        <v>69</v>
      </c>
      <c r="K194" s="1086" t="s">
        <v>69</v>
      </c>
      <c r="L194" s="1086" t="s">
        <v>69</v>
      </c>
      <c r="M194" s="1086" t="s">
        <v>69</v>
      </c>
      <c r="N194" s="1086" t="s">
        <v>69</v>
      </c>
      <c r="O194" s="1086" t="s">
        <v>69</v>
      </c>
      <c r="P194" s="1086" t="s">
        <v>69</v>
      </c>
      <c r="Q194" s="1086" t="s">
        <v>69</v>
      </c>
      <c r="R194" s="1293"/>
      <c r="S194" s="1293"/>
      <c r="T194" s="1293"/>
      <c r="U194" s="1293"/>
      <c r="V194" s="1293"/>
      <c r="W194" s="1293"/>
    </row>
    <row r="195">
      <c r="A195" s="622"/>
      <c r="B195" s="1640" t="s">
        <v>1218</v>
      </c>
      <c r="C195" s="1640" t="s">
        <v>187</v>
      </c>
      <c r="D195" s="1086" t="s">
        <v>69</v>
      </c>
      <c r="E195" s="1086" t="s">
        <v>69</v>
      </c>
      <c r="F195" s="1086" t="s">
        <v>69</v>
      </c>
      <c r="G195" s="1086" t="s">
        <v>70</v>
      </c>
      <c r="H195" s="1086" t="s">
        <v>69</v>
      </c>
      <c r="I195" s="1086" t="s">
        <v>69</v>
      </c>
      <c r="J195" s="1541" t="s">
        <v>70</v>
      </c>
      <c r="K195" s="1086" t="s">
        <v>70</v>
      </c>
      <c r="L195" s="1086" t="s">
        <v>69</v>
      </c>
      <c r="M195" s="1541" t="s">
        <v>69</v>
      </c>
      <c r="N195" s="1541" t="s">
        <v>69</v>
      </c>
      <c r="O195" s="1541" t="s">
        <v>70</v>
      </c>
      <c r="P195" s="1541" t="s">
        <v>100</v>
      </c>
      <c r="Q195" s="1541" t="s">
        <v>69</v>
      </c>
      <c r="R195" s="1293"/>
      <c r="S195" s="1293"/>
      <c r="T195" s="1293"/>
      <c r="U195" s="1293"/>
      <c r="V195" s="1293"/>
      <c r="W195" s="1293"/>
    </row>
    <row r="196">
      <c r="A196" s="1619" t="s">
        <v>1335</v>
      </c>
      <c r="B196" s="1567" t="s">
        <v>1257</v>
      </c>
      <c r="C196" s="1567" t="s">
        <v>177</v>
      </c>
      <c r="D196" s="1541" t="s">
        <v>69</v>
      </c>
      <c r="E196" s="1541" t="s">
        <v>69</v>
      </c>
      <c r="F196" s="1541" t="s">
        <v>70</v>
      </c>
      <c r="G196" s="1541" t="s">
        <v>70</v>
      </c>
      <c r="H196" s="1541" t="s">
        <v>69</v>
      </c>
      <c r="I196" s="1541" t="s">
        <v>69</v>
      </c>
      <c r="J196" s="1086" t="s">
        <v>69</v>
      </c>
      <c r="K196" s="1086" t="s">
        <v>69</v>
      </c>
      <c r="L196" s="1086" t="s">
        <v>69</v>
      </c>
      <c r="M196" s="1541" t="s">
        <v>69</v>
      </c>
      <c r="N196" s="1541" t="s">
        <v>69</v>
      </c>
      <c r="O196" s="1541" t="s">
        <v>69</v>
      </c>
      <c r="P196" s="1541" t="s">
        <v>100</v>
      </c>
      <c r="Q196" s="1541" t="s">
        <v>100</v>
      </c>
      <c r="R196" s="1293"/>
      <c r="S196" s="1293"/>
      <c r="T196" s="1293"/>
      <c r="U196" s="1293"/>
      <c r="V196" s="1293"/>
      <c r="W196" s="1293"/>
    </row>
    <row r="197">
      <c r="A197" s="622"/>
      <c r="B197" s="1620" t="s">
        <v>1348</v>
      </c>
      <c r="C197" s="1620" t="s">
        <v>200</v>
      </c>
      <c r="D197" s="1086" t="s">
        <v>69</v>
      </c>
      <c r="E197" s="1086" t="s">
        <v>69</v>
      </c>
      <c r="F197" s="1086" t="s">
        <v>70</v>
      </c>
      <c r="G197" s="1086" t="s">
        <v>69</v>
      </c>
      <c r="H197" s="1086" t="s">
        <v>69</v>
      </c>
      <c r="I197" s="1086" t="s">
        <v>69</v>
      </c>
      <c r="J197" s="1086" t="s">
        <v>69</v>
      </c>
      <c r="K197" s="1086" t="s">
        <v>69</v>
      </c>
      <c r="L197" s="1086" t="s">
        <v>69</v>
      </c>
      <c r="M197" s="1086" t="s">
        <v>69</v>
      </c>
      <c r="N197" s="1086" t="s">
        <v>69</v>
      </c>
      <c r="O197" s="1086" t="s">
        <v>69</v>
      </c>
      <c r="P197" s="1086" t="s">
        <v>69</v>
      </c>
      <c r="Q197" s="1086" t="s">
        <v>69</v>
      </c>
      <c r="R197" s="1293"/>
      <c r="S197" s="1293"/>
      <c r="T197" s="1293"/>
      <c r="U197" s="1293"/>
      <c r="V197" s="1293"/>
      <c r="W197" s="1293"/>
    </row>
    <row r="198">
      <c r="A198" s="622"/>
      <c r="B198" s="1621" t="s">
        <v>1243</v>
      </c>
      <c r="C198" s="1621" t="s">
        <v>168</v>
      </c>
      <c r="D198" s="1086" t="s">
        <v>100</v>
      </c>
      <c r="E198" s="1086" t="s">
        <v>100</v>
      </c>
      <c r="F198" s="1086" t="s">
        <v>100</v>
      </c>
      <c r="G198" s="1086" t="s">
        <v>100</v>
      </c>
      <c r="H198" s="1086" t="s">
        <v>100</v>
      </c>
      <c r="I198" s="1086" t="s">
        <v>100</v>
      </c>
      <c r="J198" s="1086" t="s">
        <v>69</v>
      </c>
      <c r="K198" s="1086" t="s">
        <v>69</v>
      </c>
      <c r="L198" s="1086" t="s">
        <v>69</v>
      </c>
      <c r="M198" s="1086" t="s">
        <v>69</v>
      </c>
      <c r="N198" s="1086" t="s">
        <v>69</v>
      </c>
      <c r="O198" s="1086" t="s">
        <v>69</v>
      </c>
      <c r="P198" s="1086" t="s">
        <v>69</v>
      </c>
      <c r="Q198" s="1086" t="s">
        <v>100</v>
      </c>
      <c r="R198" s="1293"/>
      <c r="S198" s="1293"/>
      <c r="T198" s="1293"/>
      <c r="U198" s="1293"/>
      <c r="V198" s="1293"/>
      <c r="W198" s="1293"/>
    </row>
    <row r="199">
      <c r="A199" s="622"/>
      <c r="B199" s="1622" t="s">
        <v>1345</v>
      </c>
      <c r="C199" s="1622" t="s">
        <v>263</v>
      </c>
      <c r="D199" s="1086" t="s">
        <v>69</v>
      </c>
      <c r="E199" s="1086" t="s">
        <v>69</v>
      </c>
      <c r="F199" s="1086" t="s">
        <v>69</v>
      </c>
      <c r="G199" s="1086" t="s">
        <v>69</v>
      </c>
      <c r="H199" s="1086" t="s">
        <v>69</v>
      </c>
      <c r="I199" s="1086" t="s">
        <v>69</v>
      </c>
      <c r="J199" s="1541" t="s">
        <v>69</v>
      </c>
      <c r="K199" s="1541" t="s">
        <v>69</v>
      </c>
      <c r="L199" s="1541" t="s">
        <v>69</v>
      </c>
      <c r="M199" s="1561" t="s">
        <v>69</v>
      </c>
      <c r="N199" s="1561" t="s">
        <v>69</v>
      </c>
      <c r="O199" s="1541" t="s">
        <v>69</v>
      </c>
      <c r="P199" s="1541" t="s">
        <v>69</v>
      </c>
      <c r="Q199" s="1086" t="s">
        <v>69</v>
      </c>
      <c r="R199" s="1293"/>
      <c r="S199" s="1293"/>
      <c r="T199" s="1293"/>
      <c r="U199" s="1293"/>
      <c r="V199" s="1293"/>
      <c r="W199" s="1293"/>
    </row>
    <row r="200">
      <c r="A200" s="1619" t="s">
        <v>68</v>
      </c>
      <c r="B200" s="671"/>
      <c r="D200" s="1559"/>
      <c r="R200" s="1293"/>
      <c r="S200" s="1293"/>
      <c r="T200" s="1293"/>
      <c r="U200" s="1293"/>
      <c r="V200" s="1293"/>
      <c r="W200" s="1293"/>
    </row>
    <row r="201">
      <c r="A201" s="622"/>
      <c r="B201" s="1624" t="s">
        <v>69</v>
      </c>
      <c r="D201" s="1625">
        <f t="shared" ref="D201:Q201" si="59">COUNTIF(D192:D199,"Voor")</f>
        <v>6</v>
      </c>
      <c r="E201" s="1625">
        <f t="shared" si="59"/>
        <v>5</v>
      </c>
      <c r="F201" s="1625">
        <f t="shared" si="59"/>
        <v>4</v>
      </c>
      <c r="G201" s="1625">
        <f t="shared" si="59"/>
        <v>4</v>
      </c>
      <c r="H201" s="1625">
        <f t="shared" si="59"/>
        <v>6</v>
      </c>
      <c r="I201" s="1625">
        <f t="shared" si="59"/>
        <v>6</v>
      </c>
      <c r="J201" s="1625">
        <f t="shared" si="59"/>
        <v>7</v>
      </c>
      <c r="K201" s="1625">
        <f t="shared" si="59"/>
        <v>7</v>
      </c>
      <c r="L201" s="1625">
        <f t="shared" si="59"/>
        <v>8</v>
      </c>
      <c r="M201" s="1625">
        <f t="shared" si="59"/>
        <v>8</v>
      </c>
      <c r="N201" s="1625">
        <f t="shared" si="59"/>
        <v>8</v>
      </c>
      <c r="O201" s="1625">
        <f t="shared" si="59"/>
        <v>7</v>
      </c>
      <c r="P201" s="1625">
        <f t="shared" si="59"/>
        <v>6</v>
      </c>
      <c r="Q201" s="1625">
        <f t="shared" si="59"/>
        <v>6</v>
      </c>
      <c r="R201" s="1293"/>
      <c r="S201" s="1293"/>
      <c r="T201" s="1293"/>
      <c r="U201" s="1293"/>
      <c r="V201" s="1293"/>
      <c r="W201" s="1293"/>
    </row>
    <row r="202">
      <c r="A202" s="622"/>
      <c r="B202" s="1626" t="s">
        <v>70</v>
      </c>
      <c r="D202" s="1627">
        <f t="shared" ref="D202:Q202" si="60">COUNTIF(D192:D199,"Tegen")</f>
        <v>0</v>
      </c>
      <c r="E202" s="1627">
        <f t="shared" si="60"/>
        <v>1</v>
      </c>
      <c r="F202" s="1627">
        <f t="shared" si="60"/>
        <v>2</v>
      </c>
      <c r="G202" s="1627">
        <f t="shared" si="60"/>
        <v>2</v>
      </c>
      <c r="H202" s="1627">
        <f t="shared" si="60"/>
        <v>0</v>
      </c>
      <c r="I202" s="1627">
        <f t="shared" si="60"/>
        <v>0</v>
      </c>
      <c r="J202" s="1627">
        <f t="shared" si="60"/>
        <v>1</v>
      </c>
      <c r="K202" s="1627">
        <f t="shared" si="60"/>
        <v>1</v>
      </c>
      <c r="L202" s="1627">
        <f t="shared" si="60"/>
        <v>0</v>
      </c>
      <c r="M202" s="1627">
        <f t="shared" si="60"/>
        <v>0</v>
      </c>
      <c r="N202" s="1627">
        <f t="shared" si="60"/>
        <v>0</v>
      </c>
      <c r="O202" s="1627">
        <f t="shared" si="60"/>
        <v>1</v>
      </c>
      <c r="P202" s="1627">
        <f t="shared" si="60"/>
        <v>0</v>
      </c>
      <c r="Q202" s="1627">
        <f t="shared" si="60"/>
        <v>0</v>
      </c>
      <c r="R202" s="1293"/>
      <c r="S202" s="1293"/>
      <c r="T202" s="1293"/>
      <c r="U202" s="1293"/>
      <c r="V202" s="1293"/>
      <c r="W202" s="1293"/>
    </row>
    <row r="203">
      <c r="A203" s="622"/>
      <c r="B203" s="1628" t="s">
        <v>71</v>
      </c>
      <c r="D203" s="1629">
        <f t="shared" ref="D203:Q203" si="61">COUNTIF(D192:D199,"SO")</f>
        <v>0</v>
      </c>
      <c r="E203" s="1629">
        <f t="shared" si="61"/>
        <v>0</v>
      </c>
      <c r="F203" s="1629">
        <f t="shared" si="61"/>
        <v>0</v>
      </c>
      <c r="G203" s="1629">
        <f t="shared" si="61"/>
        <v>0</v>
      </c>
      <c r="H203" s="1629">
        <f t="shared" si="61"/>
        <v>0</v>
      </c>
      <c r="I203" s="1629">
        <f t="shared" si="61"/>
        <v>0</v>
      </c>
      <c r="J203" s="1629">
        <f t="shared" si="61"/>
        <v>0</v>
      </c>
      <c r="K203" s="1629">
        <f t="shared" si="61"/>
        <v>0</v>
      </c>
      <c r="L203" s="1629">
        <f t="shared" si="61"/>
        <v>0</v>
      </c>
      <c r="M203" s="1629">
        <f t="shared" si="61"/>
        <v>0</v>
      </c>
      <c r="N203" s="1629">
        <f t="shared" si="61"/>
        <v>0</v>
      </c>
      <c r="O203" s="1629">
        <f t="shared" si="61"/>
        <v>0</v>
      </c>
      <c r="P203" s="1629">
        <f t="shared" si="61"/>
        <v>0</v>
      </c>
      <c r="Q203" s="1629">
        <f t="shared" si="61"/>
        <v>0</v>
      </c>
      <c r="R203" s="1293"/>
      <c r="S203" s="1293"/>
      <c r="T203" s="1293"/>
      <c r="U203" s="1293"/>
      <c r="V203" s="1293"/>
      <c r="W203" s="1293"/>
    </row>
    <row r="204">
      <c r="A204" s="622"/>
      <c r="B204" s="1630" t="s">
        <v>72</v>
      </c>
      <c r="D204" s="1631">
        <f t="shared" ref="D204:Q204" si="62">COUNTIF(D192:D199,"NG")</f>
        <v>2</v>
      </c>
      <c r="E204" s="1631">
        <f t="shared" si="62"/>
        <v>2</v>
      </c>
      <c r="F204" s="1631">
        <f t="shared" si="62"/>
        <v>2</v>
      </c>
      <c r="G204" s="1631">
        <f t="shared" si="62"/>
        <v>2</v>
      </c>
      <c r="H204" s="1631">
        <f t="shared" si="62"/>
        <v>2</v>
      </c>
      <c r="I204" s="1631">
        <f t="shared" si="62"/>
        <v>2</v>
      </c>
      <c r="J204" s="1631">
        <f t="shared" si="62"/>
        <v>0</v>
      </c>
      <c r="K204" s="1631">
        <f t="shared" si="62"/>
        <v>0</v>
      </c>
      <c r="L204" s="1631">
        <f t="shared" si="62"/>
        <v>0</v>
      </c>
      <c r="M204" s="1631">
        <f t="shared" si="62"/>
        <v>0</v>
      </c>
      <c r="N204" s="1631">
        <f t="shared" si="62"/>
        <v>0</v>
      </c>
      <c r="O204" s="1631">
        <f t="shared" si="62"/>
        <v>0</v>
      </c>
      <c r="P204" s="1631">
        <f t="shared" si="62"/>
        <v>2</v>
      </c>
      <c r="Q204" s="1631">
        <f t="shared" si="62"/>
        <v>2</v>
      </c>
      <c r="R204" s="1293"/>
      <c r="S204" s="1293"/>
      <c r="T204" s="1293"/>
      <c r="U204" s="1293"/>
      <c r="V204" s="1293"/>
      <c r="W204" s="1293"/>
    </row>
    <row r="205">
      <c r="A205" s="622"/>
      <c r="B205" s="1632" t="s">
        <v>73</v>
      </c>
      <c r="D205" s="1633">
        <f t="shared" ref="D205:Q205" si="63">SUM(D201:D204)</f>
        <v>8</v>
      </c>
      <c r="E205" s="1633">
        <f t="shared" si="63"/>
        <v>8</v>
      </c>
      <c r="F205" s="1633">
        <f t="shared" si="63"/>
        <v>8</v>
      </c>
      <c r="G205" s="1633">
        <f t="shared" si="63"/>
        <v>8</v>
      </c>
      <c r="H205" s="1633">
        <f t="shared" si="63"/>
        <v>8</v>
      </c>
      <c r="I205" s="1633">
        <f t="shared" si="63"/>
        <v>8</v>
      </c>
      <c r="J205" s="1633">
        <f t="shared" si="63"/>
        <v>8</v>
      </c>
      <c r="K205" s="1633">
        <f t="shared" si="63"/>
        <v>8</v>
      </c>
      <c r="L205" s="1633">
        <f t="shared" si="63"/>
        <v>8</v>
      </c>
      <c r="M205" s="1633">
        <f t="shared" si="63"/>
        <v>8</v>
      </c>
      <c r="N205" s="1633">
        <f t="shared" si="63"/>
        <v>8</v>
      </c>
      <c r="O205" s="1633">
        <f t="shared" si="63"/>
        <v>8</v>
      </c>
      <c r="P205" s="1633">
        <f t="shared" si="63"/>
        <v>8</v>
      </c>
      <c r="Q205" s="1633">
        <f t="shared" si="63"/>
        <v>8</v>
      </c>
      <c r="R205" s="1293"/>
      <c r="S205" s="1293"/>
      <c r="T205" s="1293"/>
      <c r="U205" s="1293"/>
      <c r="V205" s="1293"/>
      <c r="W205" s="1293"/>
    </row>
    <row r="206">
      <c r="A206" s="622"/>
      <c r="B206" s="1634" t="s">
        <v>74</v>
      </c>
      <c r="D206" s="1635">
        <f t="shared" ref="D206:Q206" si="64">D201+D202+D203</f>
        <v>6</v>
      </c>
      <c r="E206" s="1635">
        <f t="shared" si="64"/>
        <v>6</v>
      </c>
      <c r="F206" s="1635">
        <f t="shared" si="64"/>
        <v>6</v>
      </c>
      <c r="G206" s="1635">
        <f t="shared" si="64"/>
        <v>6</v>
      </c>
      <c r="H206" s="1635">
        <f t="shared" si="64"/>
        <v>6</v>
      </c>
      <c r="I206" s="1635">
        <f t="shared" si="64"/>
        <v>6</v>
      </c>
      <c r="J206" s="1635">
        <f t="shared" si="64"/>
        <v>8</v>
      </c>
      <c r="K206" s="1635">
        <f t="shared" si="64"/>
        <v>8</v>
      </c>
      <c r="L206" s="1635">
        <f t="shared" si="64"/>
        <v>8</v>
      </c>
      <c r="M206" s="1635">
        <f t="shared" si="64"/>
        <v>8</v>
      </c>
      <c r="N206" s="1635">
        <f t="shared" si="64"/>
        <v>8</v>
      </c>
      <c r="O206" s="1635">
        <f t="shared" si="64"/>
        <v>8</v>
      </c>
      <c r="P206" s="1635">
        <f t="shared" si="64"/>
        <v>6</v>
      </c>
      <c r="Q206" s="1635">
        <f t="shared" si="64"/>
        <v>6</v>
      </c>
      <c r="R206" s="1293"/>
      <c r="S206" s="1293"/>
      <c r="T206" s="1293"/>
      <c r="U206" s="1293"/>
      <c r="V206" s="1293"/>
      <c r="W206" s="1293"/>
    </row>
    <row r="207">
      <c r="A207" s="622"/>
      <c r="B207" s="1636" t="s">
        <v>75</v>
      </c>
      <c r="D207" s="1637">
        <f t="shared" ref="D207:Q207" si="65">IFERROR(D206/D205,"")</f>
        <v>0.75</v>
      </c>
      <c r="E207" s="1637">
        <f t="shared" si="65"/>
        <v>0.75</v>
      </c>
      <c r="F207" s="1637">
        <f t="shared" si="65"/>
        <v>0.75</v>
      </c>
      <c r="G207" s="1637">
        <f t="shared" si="65"/>
        <v>0.75</v>
      </c>
      <c r="H207" s="1637">
        <f t="shared" si="65"/>
        <v>0.75</v>
      </c>
      <c r="I207" s="1637">
        <f t="shared" si="65"/>
        <v>0.75</v>
      </c>
      <c r="J207" s="1637">
        <f t="shared" si="65"/>
        <v>1</v>
      </c>
      <c r="K207" s="1637">
        <f t="shared" si="65"/>
        <v>1</v>
      </c>
      <c r="L207" s="1637">
        <f t="shared" si="65"/>
        <v>1</v>
      </c>
      <c r="M207" s="1637">
        <f t="shared" si="65"/>
        <v>1</v>
      </c>
      <c r="N207" s="1637">
        <f t="shared" si="65"/>
        <v>1</v>
      </c>
      <c r="O207" s="1637">
        <f t="shared" si="65"/>
        <v>1</v>
      </c>
      <c r="P207" s="1637">
        <f t="shared" si="65"/>
        <v>0.75</v>
      </c>
      <c r="Q207" s="1637">
        <f t="shared" si="65"/>
        <v>0.75</v>
      </c>
      <c r="R207" s="1293"/>
      <c r="S207" s="1293"/>
      <c r="T207" s="1293"/>
      <c r="U207" s="1293"/>
      <c r="V207" s="1293"/>
      <c r="W207" s="1293"/>
    </row>
    <row r="208">
      <c r="A208" s="1577"/>
      <c r="D208" s="1335"/>
      <c r="E208" s="914"/>
      <c r="F208" s="914"/>
      <c r="G208" s="914"/>
      <c r="H208" s="914"/>
      <c r="I208" s="914"/>
      <c r="J208" s="914"/>
      <c r="K208" s="914"/>
      <c r="L208" s="914"/>
      <c r="M208" s="914"/>
      <c r="N208" s="914"/>
      <c r="O208" s="914"/>
      <c r="P208" s="914"/>
      <c r="Q208" s="914"/>
      <c r="R208" s="914"/>
      <c r="S208" s="914"/>
      <c r="T208" s="914"/>
      <c r="U208" s="914"/>
      <c r="V208" s="914"/>
      <c r="W208" s="915"/>
    </row>
    <row r="209">
      <c r="A209" s="1638"/>
      <c r="B209" s="1580" t="s">
        <v>1170</v>
      </c>
      <c r="C209" s="1580" t="s">
        <v>7</v>
      </c>
      <c r="D209" s="671"/>
      <c r="Q209" s="1641"/>
      <c r="W209" s="1052"/>
    </row>
    <row r="210">
      <c r="A210" s="1642" t="s">
        <v>243</v>
      </c>
      <c r="B210" s="390"/>
      <c r="C210" s="390"/>
      <c r="D210" s="527" t="s">
        <v>661</v>
      </c>
      <c r="E210" s="527" t="s">
        <v>235</v>
      </c>
      <c r="F210" s="527" t="s">
        <v>236</v>
      </c>
      <c r="G210" s="527" t="s">
        <v>238</v>
      </c>
      <c r="H210" s="527" t="s">
        <v>239</v>
      </c>
      <c r="I210" s="527" t="s">
        <v>662</v>
      </c>
      <c r="J210" s="527" t="s">
        <v>663</v>
      </c>
      <c r="K210" s="1639" t="s">
        <v>665</v>
      </c>
      <c r="L210" s="1639" t="s">
        <v>667</v>
      </c>
      <c r="M210" s="1639" t="s">
        <v>670</v>
      </c>
      <c r="N210" s="1639" t="s">
        <v>247</v>
      </c>
      <c r="O210" s="527" t="s">
        <v>248</v>
      </c>
      <c r="P210" s="527" t="s">
        <v>252</v>
      </c>
      <c r="Q210" s="114"/>
      <c r="W210" s="1052"/>
    </row>
    <row r="211">
      <c r="A211" s="1619" t="s">
        <v>1333</v>
      </c>
      <c r="B211" s="1599" t="s">
        <v>927</v>
      </c>
      <c r="C211" s="1599" t="s">
        <v>21</v>
      </c>
      <c r="D211" s="1086" t="s">
        <v>69</v>
      </c>
      <c r="E211" s="1086" t="s">
        <v>99</v>
      </c>
      <c r="F211" s="1086" t="s">
        <v>69</v>
      </c>
      <c r="G211" s="1086" t="s">
        <v>69</v>
      </c>
      <c r="H211" s="1086" t="s">
        <v>69</v>
      </c>
      <c r="I211" s="1086" t="s">
        <v>69</v>
      </c>
      <c r="J211" s="1086" t="s">
        <v>69</v>
      </c>
      <c r="K211" s="1086" t="s">
        <v>69</v>
      </c>
      <c r="L211" s="1086" t="s">
        <v>69</v>
      </c>
      <c r="M211" s="1086" t="s">
        <v>69</v>
      </c>
      <c r="N211" s="1086" t="s">
        <v>69</v>
      </c>
      <c r="O211" s="1086" t="s">
        <v>69</v>
      </c>
      <c r="P211" s="1086" t="s">
        <v>69</v>
      </c>
      <c r="Q211" s="114"/>
      <c r="W211" s="1052"/>
    </row>
    <row r="212">
      <c r="A212" s="622"/>
      <c r="B212" s="1620" t="s">
        <v>1293</v>
      </c>
      <c r="C212" s="1620" t="s">
        <v>200</v>
      </c>
      <c r="D212" s="1541" t="s">
        <v>69</v>
      </c>
      <c r="E212" s="1561" t="s">
        <v>69</v>
      </c>
      <c r="F212" s="1561" t="s">
        <v>69</v>
      </c>
      <c r="G212" s="1561" t="s">
        <v>69</v>
      </c>
      <c r="H212" s="1086" t="s">
        <v>69</v>
      </c>
      <c r="I212" s="1086" t="s">
        <v>70</v>
      </c>
      <c r="J212" s="1086" t="s">
        <v>69</v>
      </c>
      <c r="K212" s="1086" t="s">
        <v>69</v>
      </c>
      <c r="L212" s="1086" t="s">
        <v>69</v>
      </c>
      <c r="M212" s="1086" t="s">
        <v>69</v>
      </c>
      <c r="N212" s="1086" t="s">
        <v>69</v>
      </c>
      <c r="O212" s="1086" t="s">
        <v>69</v>
      </c>
      <c r="P212" s="1086" t="s">
        <v>69</v>
      </c>
      <c r="Q212" s="114"/>
      <c r="W212" s="1052"/>
    </row>
    <row r="213">
      <c r="A213" s="622"/>
      <c r="B213" s="1622" t="s">
        <v>1345</v>
      </c>
      <c r="C213" s="1622" t="s">
        <v>263</v>
      </c>
      <c r="D213" s="1541" t="s">
        <v>69</v>
      </c>
      <c r="E213" s="1561" t="s">
        <v>69</v>
      </c>
      <c r="F213" s="1561" t="s">
        <v>69</v>
      </c>
      <c r="G213" s="1561" t="s">
        <v>69</v>
      </c>
      <c r="H213" s="1086" t="s">
        <v>69</v>
      </c>
      <c r="I213" s="1086" t="s">
        <v>69</v>
      </c>
      <c r="J213" s="1086" t="s">
        <v>69</v>
      </c>
      <c r="K213" s="1086" t="s">
        <v>69</v>
      </c>
      <c r="L213" s="1086" t="s">
        <v>69</v>
      </c>
      <c r="M213" s="1086" t="s">
        <v>70</v>
      </c>
      <c r="N213" s="1086" t="s">
        <v>69</v>
      </c>
      <c r="O213" s="1086" t="s">
        <v>69</v>
      </c>
      <c r="P213" s="1086" t="s">
        <v>99</v>
      </c>
      <c r="Q213" s="114"/>
      <c r="W213" s="1052"/>
    </row>
    <row r="214">
      <c r="A214" s="622"/>
      <c r="B214" s="1621" t="s">
        <v>1243</v>
      </c>
      <c r="C214" s="1621" t="s">
        <v>227</v>
      </c>
      <c r="D214" s="1541" t="s">
        <v>69</v>
      </c>
      <c r="E214" s="1541" t="s">
        <v>70</v>
      </c>
      <c r="F214" s="1541" t="s">
        <v>69</v>
      </c>
      <c r="G214" s="1541" t="s">
        <v>69</v>
      </c>
      <c r="H214" s="1541" t="s">
        <v>69</v>
      </c>
      <c r="I214" s="1541" t="s">
        <v>70</v>
      </c>
      <c r="J214" s="1541" t="s">
        <v>69</v>
      </c>
      <c r="K214" s="1086" t="s">
        <v>69</v>
      </c>
      <c r="L214" s="1086" t="s">
        <v>70</v>
      </c>
      <c r="M214" s="1541" t="s">
        <v>70</v>
      </c>
      <c r="N214" s="1541" t="s">
        <v>99</v>
      </c>
      <c r="O214" s="1541" t="s">
        <v>69</v>
      </c>
      <c r="P214" s="1541" t="s">
        <v>70</v>
      </c>
      <c r="Q214" s="114"/>
      <c r="W214" s="1052"/>
    </row>
    <row r="215">
      <c r="A215" s="1619" t="s">
        <v>1335</v>
      </c>
      <c r="B215" s="1567" t="s">
        <v>1257</v>
      </c>
      <c r="C215" s="1567" t="s">
        <v>177</v>
      </c>
      <c r="D215" s="1643"/>
      <c r="E215" s="108"/>
      <c r="F215" s="108"/>
      <c r="G215" s="108"/>
      <c r="H215" s="108"/>
      <c r="I215" s="108"/>
      <c r="J215" s="109"/>
      <c r="K215" s="1086" t="s">
        <v>69</v>
      </c>
      <c r="L215" s="1086" t="s">
        <v>69</v>
      </c>
      <c r="M215" s="1541" t="s">
        <v>69</v>
      </c>
      <c r="N215" s="1541" t="s">
        <v>69</v>
      </c>
      <c r="O215" s="1541" t="s">
        <v>69</v>
      </c>
      <c r="P215" s="1541" t="s">
        <v>70</v>
      </c>
      <c r="Q215" s="114"/>
      <c r="W215" s="1052"/>
    </row>
    <row r="216">
      <c r="A216" s="622"/>
      <c r="B216" s="1644" t="s">
        <v>61</v>
      </c>
      <c r="C216" s="1644" t="s">
        <v>177</v>
      </c>
      <c r="D216" s="1541" t="s">
        <v>69</v>
      </c>
      <c r="E216" s="1561" t="s">
        <v>69</v>
      </c>
      <c r="F216" s="1561" t="s">
        <v>69</v>
      </c>
      <c r="G216" s="1561" t="s">
        <v>69</v>
      </c>
      <c r="H216" s="1541" t="s">
        <v>70</v>
      </c>
      <c r="I216" s="1541" t="s">
        <v>69</v>
      </c>
      <c r="J216" s="1541" t="s">
        <v>70</v>
      </c>
      <c r="K216" s="1643"/>
      <c r="L216" s="108"/>
      <c r="M216" s="108"/>
      <c r="N216" s="108"/>
      <c r="O216" s="108"/>
      <c r="P216" s="1213"/>
      <c r="Q216" s="114"/>
      <c r="W216" s="1052"/>
    </row>
    <row r="217">
      <c r="A217" s="622"/>
      <c r="B217" s="1589" t="s">
        <v>53</v>
      </c>
      <c r="C217" s="1589" t="s">
        <v>174</v>
      </c>
      <c r="D217" s="1086" t="s">
        <v>69</v>
      </c>
      <c r="E217" s="1086" t="s">
        <v>69</v>
      </c>
      <c r="F217" s="1086" t="s">
        <v>70</v>
      </c>
      <c r="G217" s="1086" t="s">
        <v>99</v>
      </c>
      <c r="H217" s="1086" t="s">
        <v>70</v>
      </c>
      <c r="I217" s="1086" t="s">
        <v>70</v>
      </c>
      <c r="J217" s="1086" t="s">
        <v>70</v>
      </c>
      <c r="K217" s="1086" t="s">
        <v>69</v>
      </c>
      <c r="L217" s="1086" t="s">
        <v>70</v>
      </c>
      <c r="M217" s="1086" t="s">
        <v>70</v>
      </c>
      <c r="N217" s="1086" t="s">
        <v>69</v>
      </c>
      <c r="O217" s="1086" t="s">
        <v>70</v>
      </c>
      <c r="P217" s="1086" t="s">
        <v>69</v>
      </c>
      <c r="Q217" s="114"/>
      <c r="W217" s="1052"/>
    </row>
    <row r="218">
      <c r="A218" s="622"/>
      <c r="B218" s="1557" t="s">
        <v>1341</v>
      </c>
      <c r="C218" s="1557" t="s">
        <v>12</v>
      </c>
      <c r="D218" s="1086" t="s">
        <v>69</v>
      </c>
      <c r="E218" s="1086" t="s">
        <v>70</v>
      </c>
      <c r="F218" s="1086" t="s">
        <v>70</v>
      </c>
      <c r="G218" s="1086" t="s">
        <v>70</v>
      </c>
      <c r="H218" s="1086" t="s">
        <v>70</v>
      </c>
      <c r="I218" s="1086" t="s">
        <v>69</v>
      </c>
      <c r="J218" s="1086" t="s">
        <v>70</v>
      </c>
      <c r="K218" s="1086" t="s">
        <v>70</v>
      </c>
      <c r="L218" s="1086" t="s">
        <v>69</v>
      </c>
      <c r="M218" s="1086" t="s">
        <v>70</v>
      </c>
      <c r="N218" s="1086" t="s">
        <v>99</v>
      </c>
      <c r="O218" s="1086" t="s">
        <v>99</v>
      </c>
      <c r="P218" s="1086" t="s">
        <v>69</v>
      </c>
      <c r="Q218" s="114"/>
      <c r="W218" s="1052"/>
    </row>
    <row r="219">
      <c r="A219" s="622"/>
      <c r="B219" s="1640" t="s">
        <v>1260</v>
      </c>
      <c r="C219" s="1640" t="s">
        <v>187</v>
      </c>
      <c r="D219" s="1561" t="s">
        <v>69</v>
      </c>
      <c r="E219" s="1561" t="s">
        <v>69</v>
      </c>
      <c r="F219" s="1541" t="s">
        <v>70</v>
      </c>
      <c r="G219" s="1561" t="s">
        <v>69</v>
      </c>
      <c r="H219" s="1541" t="s">
        <v>70</v>
      </c>
      <c r="I219" s="1561" t="s">
        <v>69</v>
      </c>
      <c r="J219" s="1541" t="s">
        <v>70</v>
      </c>
      <c r="K219" s="1541" t="s">
        <v>70</v>
      </c>
      <c r="L219" s="1541" t="s">
        <v>69</v>
      </c>
      <c r="M219" s="1561" t="s">
        <v>70</v>
      </c>
      <c r="N219" s="1561" t="s">
        <v>69</v>
      </c>
      <c r="O219" s="1541" t="s">
        <v>70</v>
      </c>
      <c r="P219" s="1541" t="s">
        <v>69</v>
      </c>
      <c r="Q219" s="114"/>
      <c r="W219" s="1052"/>
    </row>
    <row r="220">
      <c r="A220" s="1645" t="s">
        <v>68</v>
      </c>
      <c r="B220" s="671"/>
      <c r="D220" s="1559"/>
      <c r="Q220" s="114"/>
      <c r="W220" s="1052"/>
    </row>
    <row r="221">
      <c r="A221" s="901"/>
      <c r="B221" s="1624" t="s">
        <v>69</v>
      </c>
      <c r="D221" s="1625">
        <f t="shared" ref="D221:P221" si="66">COUNTIF(D211:D219,"Voor")</f>
        <v>8</v>
      </c>
      <c r="E221" s="1625">
        <f t="shared" si="66"/>
        <v>5</v>
      </c>
      <c r="F221" s="1625">
        <f t="shared" si="66"/>
        <v>5</v>
      </c>
      <c r="G221" s="1625">
        <f t="shared" si="66"/>
        <v>6</v>
      </c>
      <c r="H221" s="1625">
        <f t="shared" si="66"/>
        <v>4</v>
      </c>
      <c r="I221" s="1625">
        <f t="shared" si="66"/>
        <v>5</v>
      </c>
      <c r="J221" s="1625">
        <f t="shared" si="66"/>
        <v>4</v>
      </c>
      <c r="K221" s="1625">
        <f t="shared" si="66"/>
        <v>6</v>
      </c>
      <c r="L221" s="1625">
        <f t="shared" si="66"/>
        <v>6</v>
      </c>
      <c r="M221" s="1625">
        <f t="shared" si="66"/>
        <v>3</v>
      </c>
      <c r="N221" s="1625">
        <f t="shared" si="66"/>
        <v>6</v>
      </c>
      <c r="O221" s="1625">
        <f t="shared" si="66"/>
        <v>5</v>
      </c>
      <c r="P221" s="1625">
        <f t="shared" si="66"/>
        <v>5</v>
      </c>
      <c r="Q221" s="114"/>
      <c r="W221" s="1052"/>
    </row>
    <row r="222">
      <c r="A222" s="901"/>
      <c r="B222" s="1626" t="s">
        <v>70</v>
      </c>
      <c r="D222" s="1627">
        <f t="shared" ref="D222:P222" si="67">COUNTIF(D211:D219,"Tegen")</f>
        <v>0</v>
      </c>
      <c r="E222" s="1627">
        <f t="shared" si="67"/>
        <v>2</v>
      </c>
      <c r="F222" s="1627">
        <f t="shared" si="67"/>
        <v>3</v>
      </c>
      <c r="G222" s="1627">
        <f t="shared" si="67"/>
        <v>1</v>
      </c>
      <c r="H222" s="1627">
        <f t="shared" si="67"/>
        <v>4</v>
      </c>
      <c r="I222" s="1627">
        <f t="shared" si="67"/>
        <v>3</v>
      </c>
      <c r="J222" s="1627">
        <f t="shared" si="67"/>
        <v>4</v>
      </c>
      <c r="K222" s="1627">
        <f t="shared" si="67"/>
        <v>2</v>
      </c>
      <c r="L222" s="1627">
        <f t="shared" si="67"/>
        <v>2</v>
      </c>
      <c r="M222" s="1627">
        <f t="shared" si="67"/>
        <v>5</v>
      </c>
      <c r="N222" s="1627">
        <f t="shared" si="67"/>
        <v>0</v>
      </c>
      <c r="O222" s="1627">
        <f t="shared" si="67"/>
        <v>2</v>
      </c>
      <c r="P222" s="1627">
        <f t="shared" si="67"/>
        <v>2</v>
      </c>
      <c r="Q222" s="114"/>
      <c r="W222" s="1052"/>
    </row>
    <row r="223">
      <c r="A223" s="901"/>
      <c r="B223" s="1628" t="s">
        <v>71</v>
      </c>
      <c r="D223" s="1629">
        <f t="shared" ref="D223:P223" si="68">COUNTIF(D211:D219,"SO")</f>
        <v>0</v>
      </c>
      <c r="E223" s="1629">
        <f t="shared" si="68"/>
        <v>1</v>
      </c>
      <c r="F223" s="1629">
        <f t="shared" si="68"/>
        <v>0</v>
      </c>
      <c r="G223" s="1629">
        <f t="shared" si="68"/>
        <v>1</v>
      </c>
      <c r="H223" s="1629">
        <f t="shared" si="68"/>
        <v>0</v>
      </c>
      <c r="I223" s="1629">
        <f t="shared" si="68"/>
        <v>0</v>
      </c>
      <c r="J223" s="1629">
        <f t="shared" si="68"/>
        <v>0</v>
      </c>
      <c r="K223" s="1629">
        <f t="shared" si="68"/>
        <v>0</v>
      </c>
      <c r="L223" s="1629">
        <f t="shared" si="68"/>
        <v>0</v>
      </c>
      <c r="M223" s="1629">
        <f t="shared" si="68"/>
        <v>0</v>
      </c>
      <c r="N223" s="1629">
        <f t="shared" si="68"/>
        <v>2</v>
      </c>
      <c r="O223" s="1629">
        <f t="shared" si="68"/>
        <v>1</v>
      </c>
      <c r="P223" s="1629">
        <f t="shared" si="68"/>
        <v>1</v>
      </c>
      <c r="Q223" s="114"/>
      <c r="W223" s="1052"/>
    </row>
    <row r="224">
      <c r="A224" s="901"/>
      <c r="B224" s="1630" t="s">
        <v>72</v>
      </c>
      <c r="D224" s="1631">
        <f t="shared" ref="D224:P224" si="69">COUNTIF(D211:D219,"NG")</f>
        <v>0</v>
      </c>
      <c r="E224" s="1631">
        <f t="shared" si="69"/>
        <v>0</v>
      </c>
      <c r="F224" s="1631">
        <f t="shared" si="69"/>
        <v>0</v>
      </c>
      <c r="G224" s="1631">
        <f t="shared" si="69"/>
        <v>0</v>
      </c>
      <c r="H224" s="1631">
        <f t="shared" si="69"/>
        <v>0</v>
      </c>
      <c r="I224" s="1631">
        <f t="shared" si="69"/>
        <v>0</v>
      </c>
      <c r="J224" s="1631">
        <f t="shared" si="69"/>
        <v>0</v>
      </c>
      <c r="K224" s="1631">
        <f t="shared" si="69"/>
        <v>0</v>
      </c>
      <c r="L224" s="1631">
        <f t="shared" si="69"/>
        <v>0</v>
      </c>
      <c r="M224" s="1631">
        <f t="shared" si="69"/>
        <v>0</v>
      </c>
      <c r="N224" s="1631">
        <f t="shared" si="69"/>
        <v>0</v>
      </c>
      <c r="O224" s="1631">
        <f t="shared" si="69"/>
        <v>0</v>
      </c>
      <c r="P224" s="1631">
        <f t="shared" si="69"/>
        <v>0</v>
      </c>
      <c r="Q224" s="114"/>
      <c r="W224" s="1052"/>
    </row>
    <row r="225">
      <c r="A225" s="901"/>
      <c r="B225" s="1632" t="s">
        <v>73</v>
      </c>
      <c r="D225" s="1633">
        <f t="shared" ref="D225:P225" si="70">SUM(D221:D224)</f>
        <v>8</v>
      </c>
      <c r="E225" s="1633">
        <f t="shared" si="70"/>
        <v>8</v>
      </c>
      <c r="F225" s="1633">
        <f t="shared" si="70"/>
        <v>8</v>
      </c>
      <c r="G225" s="1633">
        <f t="shared" si="70"/>
        <v>8</v>
      </c>
      <c r="H225" s="1633">
        <f t="shared" si="70"/>
        <v>8</v>
      </c>
      <c r="I225" s="1633">
        <f t="shared" si="70"/>
        <v>8</v>
      </c>
      <c r="J225" s="1633">
        <f t="shared" si="70"/>
        <v>8</v>
      </c>
      <c r="K225" s="1633">
        <f t="shared" si="70"/>
        <v>8</v>
      </c>
      <c r="L225" s="1633">
        <f t="shared" si="70"/>
        <v>8</v>
      </c>
      <c r="M225" s="1633">
        <f t="shared" si="70"/>
        <v>8</v>
      </c>
      <c r="N225" s="1633">
        <f t="shared" si="70"/>
        <v>8</v>
      </c>
      <c r="O225" s="1633">
        <f t="shared" si="70"/>
        <v>8</v>
      </c>
      <c r="P225" s="1633">
        <f t="shared" si="70"/>
        <v>8</v>
      </c>
      <c r="Q225" s="114"/>
      <c r="W225" s="1052"/>
    </row>
    <row r="226">
      <c r="A226" s="901"/>
      <c r="B226" s="1634" t="s">
        <v>74</v>
      </c>
      <c r="D226" s="1635">
        <f t="shared" ref="D226:P226" si="71">D221+D222+D223</f>
        <v>8</v>
      </c>
      <c r="E226" s="1635">
        <f t="shared" si="71"/>
        <v>8</v>
      </c>
      <c r="F226" s="1635">
        <f t="shared" si="71"/>
        <v>8</v>
      </c>
      <c r="G226" s="1635">
        <f t="shared" si="71"/>
        <v>8</v>
      </c>
      <c r="H226" s="1635">
        <f t="shared" si="71"/>
        <v>8</v>
      </c>
      <c r="I226" s="1635">
        <f t="shared" si="71"/>
        <v>8</v>
      </c>
      <c r="J226" s="1635">
        <f t="shared" si="71"/>
        <v>8</v>
      </c>
      <c r="K226" s="1635">
        <f t="shared" si="71"/>
        <v>8</v>
      </c>
      <c r="L226" s="1635">
        <f t="shared" si="71"/>
        <v>8</v>
      </c>
      <c r="M226" s="1635">
        <f t="shared" si="71"/>
        <v>8</v>
      </c>
      <c r="N226" s="1635">
        <f t="shared" si="71"/>
        <v>8</v>
      </c>
      <c r="O226" s="1635">
        <f t="shared" si="71"/>
        <v>8</v>
      </c>
      <c r="P226" s="1635">
        <f t="shared" si="71"/>
        <v>8</v>
      </c>
      <c r="Q226" s="114"/>
      <c r="W226" s="1052"/>
    </row>
    <row r="227">
      <c r="A227" s="901"/>
      <c r="B227" s="1636" t="s">
        <v>75</v>
      </c>
      <c r="D227" s="1646">
        <f t="shared" ref="D227:P227" si="72">IFERROR(D226/D225,"")</f>
        <v>1</v>
      </c>
      <c r="E227" s="1646">
        <f t="shared" si="72"/>
        <v>1</v>
      </c>
      <c r="F227" s="1646">
        <f t="shared" si="72"/>
        <v>1</v>
      </c>
      <c r="G227" s="1646">
        <f t="shared" si="72"/>
        <v>1</v>
      </c>
      <c r="H227" s="1646">
        <f t="shared" si="72"/>
        <v>1</v>
      </c>
      <c r="I227" s="1646">
        <f t="shared" si="72"/>
        <v>1</v>
      </c>
      <c r="J227" s="1646">
        <f t="shared" si="72"/>
        <v>1</v>
      </c>
      <c r="K227" s="1646">
        <f t="shared" si="72"/>
        <v>1</v>
      </c>
      <c r="L227" s="1646">
        <f t="shared" si="72"/>
        <v>1</v>
      </c>
      <c r="M227" s="1646">
        <f t="shared" si="72"/>
        <v>1</v>
      </c>
      <c r="N227" s="1646">
        <f t="shared" si="72"/>
        <v>1</v>
      </c>
      <c r="O227" s="1646">
        <f t="shared" si="72"/>
        <v>1</v>
      </c>
      <c r="P227" s="1646">
        <f t="shared" si="72"/>
        <v>1</v>
      </c>
      <c r="Q227" s="1647"/>
      <c r="R227" s="1056"/>
      <c r="S227" s="1056"/>
      <c r="T227" s="1056"/>
      <c r="U227" s="1056"/>
      <c r="V227" s="1056"/>
      <c r="W227" s="1058"/>
    </row>
    <row r="228">
      <c r="A228" s="1577"/>
      <c r="D228" s="1578"/>
      <c r="E228" s="1056"/>
      <c r="F228" s="1056"/>
      <c r="G228" s="1056"/>
      <c r="H228" s="1056"/>
      <c r="I228" s="1056"/>
      <c r="J228" s="1056"/>
      <c r="K228" s="1056"/>
      <c r="L228" s="1056"/>
      <c r="M228" s="1056"/>
      <c r="N228" s="1056"/>
      <c r="O228" s="1056"/>
      <c r="P228" s="1056"/>
      <c r="Q228" s="1056"/>
      <c r="R228" s="1056"/>
      <c r="S228" s="1056"/>
      <c r="T228" s="1056"/>
      <c r="U228" s="1056"/>
      <c r="V228" s="1056"/>
      <c r="W228" s="1058"/>
    </row>
    <row r="229">
      <c r="A229" s="1638"/>
      <c r="B229" s="1580" t="s">
        <v>1170</v>
      </c>
      <c r="C229" s="1580" t="s">
        <v>7</v>
      </c>
      <c r="D229" s="671"/>
      <c r="O229" s="1648"/>
      <c r="P229" s="1045"/>
      <c r="Q229" s="1045"/>
      <c r="R229" s="1045"/>
      <c r="S229" s="1045"/>
      <c r="T229" s="1045"/>
      <c r="U229" s="1045"/>
      <c r="V229" s="1045"/>
      <c r="W229" s="1046"/>
    </row>
    <row r="230">
      <c r="A230" s="1642" t="s">
        <v>240</v>
      </c>
      <c r="B230" s="390"/>
      <c r="C230" s="390"/>
      <c r="D230" s="1649" t="s">
        <v>1351</v>
      </c>
      <c r="E230" s="108"/>
      <c r="F230" s="108"/>
      <c r="G230" s="108"/>
      <c r="H230" s="108"/>
      <c r="I230" s="108"/>
      <c r="J230" s="108"/>
      <c r="K230" s="108"/>
      <c r="L230" s="108"/>
      <c r="M230" s="108"/>
      <c r="N230" s="108"/>
      <c r="O230" s="1056"/>
      <c r="P230" s="1056"/>
      <c r="Q230" s="1056"/>
      <c r="R230" s="1056"/>
      <c r="S230" s="1056"/>
      <c r="T230" s="1056"/>
      <c r="U230" s="1056"/>
      <c r="V230" s="1056"/>
      <c r="W230" s="1058"/>
    </row>
    <row r="231">
      <c r="A231" s="1577"/>
      <c r="D231" s="1335"/>
      <c r="E231" s="914"/>
      <c r="F231" s="914"/>
      <c r="G231" s="914"/>
      <c r="H231" s="914"/>
      <c r="I231" s="914"/>
      <c r="J231" s="914"/>
      <c r="K231" s="914"/>
      <c r="L231" s="914"/>
      <c r="M231" s="914"/>
      <c r="N231" s="914"/>
      <c r="O231" s="914"/>
      <c r="P231" s="914"/>
      <c r="Q231" s="914"/>
      <c r="R231" s="914"/>
      <c r="S231" s="914"/>
      <c r="T231" s="914"/>
      <c r="U231" s="914"/>
      <c r="V231" s="914"/>
      <c r="W231" s="915"/>
    </row>
    <row r="232">
      <c r="A232" s="1638"/>
      <c r="B232" s="1580" t="s">
        <v>1170</v>
      </c>
      <c r="C232" s="1580" t="s">
        <v>7</v>
      </c>
      <c r="D232" s="671"/>
      <c r="W232" s="671"/>
    </row>
    <row r="233">
      <c r="A233" s="1642" t="s">
        <v>202</v>
      </c>
      <c r="B233" s="390"/>
      <c r="C233" s="390"/>
      <c r="D233" s="661" t="s">
        <v>205</v>
      </c>
      <c r="E233" s="661" t="s">
        <v>206</v>
      </c>
      <c r="F233" s="661" t="s">
        <v>638</v>
      </c>
      <c r="G233" s="661" t="s">
        <v>207</v>
      </c>
      <c r="H233" s="661" t="s">
        <v>209</v>
      </c>
      <c r="I233" s="661" t="s">
        <v>210</v>
      </c>
      <c r="J233" s="661" t="s">
        <v>639</v>
      </c>
      <c r="K233" s="661" t="s">
        <v>641</v>
      </c>
      <c r="L233" s="661" t="s">
        <v>643</v>
      </c>
      <c r="M233" s="661" t="s">
        <v>214</v>
      </c>
      <c r="N233" s="661" t="s">
        <v>218</v>
      </c>
      <c r="O233" s="527" t="s">
        <v>647</v>
      </c>
      <c r="P233" s="527" t="s">
        <v>648</v>
      </c>
      <c r="Q233" s="527" t="s">
        <v>649</v>
      </c>
      <c r="R233" s="527" t="s">
        <v>651</v>
      </c>
      <c r="S233" s="527" t="s">
        <v>221</v>
      </c>
      <c r="T233" s="1639" t="s">
        <v>656</v>
      </c>
      <c r="U233" s="1650" t="s">
        <v>657</v>
      </c>
      <c r="V233" s="1650" t="s">
        <v>658</v>
      </c>
      <c r="W233" s="1650" t="s">
        <v>654</v>
      </c>
    </row>
    <row r="234">
      <c r="A234" s="1651" t="s">
        <v>1338</v>
      </c>
      <c r="B234" s="1620" t="s">
        <v>1293</v>
      </c>
      <c r="C234" s="1620" t="s">
        <v>200</v>
      </c>
      <c r="D234" s="1652"/>
      <c r="E234" s="108"/>
      <c r="F234" s="108"/>
      <c r="G234" s="108"/>
      <c r="H234" s="108"/>
      <c r="I234" s="108"/>
      <c r="J234" s="108"/>
      <c r="K234" s="108"/>
      <c r="L234" s="108"/>
      <c r="M234" s="108"/>
      <c r="N234" s="109"/>
      <c r="O234" s="1653" t="s">
        <v>69</v>
      </c>
      <c r="P234" s="1654" t="s">
        <v>69</v>
      </c>
      <c r="Q234" s="1654" t="s">
        <v>69</v>
      </c>
      <c r="R234" s="1654" t="s">
        <v>69</v>
      </c>
      <c r="S234" s="1655" t="s">
        <v>70</v>
      </c>
      <c r="T234" s="1654" t="s">
        <v>69</v>
      </c>
      <c r="U234" s="1654" t="s">
        <v>69</v>
      </c>
      <c r="V234" s="1654" t="s">
        <v>69</v>
      </c>
      <c r="W234" s="1654" t="s">
        <v>69</v>
      </c>
    </row>
    <row r="235">
      <c r="A235" s="901"/>
      <c r="B235" s="1656" t="s">
        <v>1188</v>
      </c>
      <c r="C235" s="1656" t="s">
        <v>200</v>
      </c>
      <c r="D235" s="1657" t="s">
        <v>69</v>
      </c>
      <c r="E235" s="1657" t="s">
        <v>69</v>
      </c>
      <c r="F235" s="1658" t="s">
        <v>70</v>
      </c>
      <c r="G235" s="1658" t="s">
        <v>70</v>
      </c>
      <c r="H235" s="1658" t="s">
        <v>70</v>
      </c>
      <c r="I235" s="1657" t="s">
        <v>69</v>
      </c>
      <c r="J235" s="1657" t="s">
        <v>100</v>
      </c>
      <c r="K235" s="1657" t="s">
        <v>100</v>
      </c>
      <c r="L235" s="1657" t="s">
        <v>100</v>
      </c>
      <c r="M235" s="1657" t="s">
        <v>100</v>
      </c>
      <c r="N235" s="1659" t="s">
        <v>100</v>
      </c>
      <c r="O235" s="1643"/>
      <c r="P235" s="108"/>
      <c r="Q235" s="108"/>
      <c r="R235" s="108"/>
      <c r="S235" s="108"/>
      <c r="T235" s="108"/>
      <c r="U235" s="108"/>
      <c r="V235" s="108"/>
      <c r="W235" s="1213"/>
    </row>
    <row r="236">
      <c r="A236" s="901"/>
      <c r="B236" s="1660" t="s">
        <v>61</v>
      </c>
      <c r="C236" s="1660" t="s">
        <v>177</v>
      </c>
      <c r="D236" s="1657" t="s">
        <v>69</v>
      </c>
      <c r="E236" s="1658" t="s">
        <v>70</v>
      </c>
      <c r="F236" s="1658" t="s">
        <v>70</v>
      </c>
      <c r="G236" s="1658" t="s">
        <v>70</v>
      </c>
      <c r="H236" s="1657" t="s">
        <v>69</v>
      </c>
      <c r="I236" s="1657" t="s">
        <v>69</v>
      </c>
      <c r="J236" s="1657" t="s">
        <v>69</v>
      </c>
      <c r="K236" s="1657" t="s">
        <v>69</v>
      </c>
      <c r="L236" s="1657" t="s">
        <v>69</v>
      </c>
      <c r="M236" s="1657" t="s">
        <v>69</v>
      </c>
      <c r="N236" s="1657" t="s">
        <v>69</v>
      </c>
      <c r="O236" s="1657" t="s">
        <v>69</v>
      </c>
      <c r="P236" s="1657" t="s">
        <v>69</v>
      </c>
      <c r="Q236" s="1657" t="s">
        <v>69</v>
      </c>
      <c r="R236" s="1657" t="s">
        <v>69</v>
      </c>
      <c r="S236" s="1657" t="s">
        <v>69</v>
      </c>
      <c r="T236" s="1657" t="s">
        <v>69</v>
      </c>
      <c r="U236" s="1657" t="s">
        <v>69</v>
      </c>
      <c r="V236" s="1657" t="s">
        <v>69</v>
      </c>
      <c r="W236" s="1657" t="s">
        <v>69</v>
      </c>
    </row>
    <row r="237">
      <c r="A237" s="901"/>
      <c r="B237" s="1661" t="s">
        <v>1303</v>
      </c>
      <c r="C237" s="1621" t="s">
        <v>227</v>
      </c>
      <c r="D237" s="1662" t="s">
        <v>69</v>
      </c>
      <c r="E237" s="1663" t="s">
        <v>99</v>
      </c>
      <c r="F237" s="1664" t="s">
        <v>70</v>
      </c>
      <c r="G237" s="1664" t="s">
        <v>70</v>
      </c>
      <c r="H237" s="1664" t="s">
        <v>70</v>
      </c>
      <c r="I237" s="1664" t="s">
        <v>70</v>
      </c>
      <c r="J237" s="1662" t="s">
        <v>69</v>
      </c>
      <c r="K237" s="1662" t="s">
        <v>69</v>
      </c>
      <c r="L237" s="1662" t="s">
        <v>69</v>
      </c>
      <c r="M237" s="1664" t="s">
        <v>70</v>
      </c>
      <c r="N237" s="1664" t="s">
        <v>70</v>
      </c>
      <c r="O237" s="1662" t="s">
        <v>69</v>
      </c>
      <c r="P237" s="1662" t="s">
        <v>69</v>
      </c>
      <c r="Q237" s="1662" t="s">
        <v>69</v>
      </c>
      <c r="R237" s="1662" t="s">
        <v>69</v>
      </c>
      <c r="S237" s="1662" t="s">
        <v>69</v>
      </c>
      <c r="T237" s="1662" t="s">
        <v>69</v>
      </c>
      <c r="U237" s="1662" t="s">
        <v>69</v>
      </c>
      <c r="V237" s="1541" t="s">
        <v>70</v>
      </c>
      <c r="W237" s="1541" t="s">
        <v>69</v>
      </c>
    </row>
    <row r="238">
      <c r="A238" s="1619" t="s">
        <v>1347</v>
      </c>
      <c r="B238" s="1665" t="s">
        <v>927</v>
      </c>
      <c r="C238" s="1665" t="s">
        <v>21</v>
      </c>
      <c r="D238" s="1653" t="s">
        <v>69</v>
      </c>
      <c r="E238" s="1654" t="s">
        <v>69</v>
      </c>
      <c r="F238" s="1654" t="s">
        <v>69</v>
      </c>
      <c r="G238" s="1654" t="s">
        <v>69</v>
      </c>
      <c r="H238" s="1666" t="s">
        <v>70</v>
      </c>
      <c r="I238" s="1654" t="s">
        <v>69</v>
      </c>
      <c r="J238" s="1654" t="s">
        <v>69</v>
      </c>
      <c r="K238" s="1667" t="s">
        <v>69</v>
      </c>
      <c r="L238" s="1654" t="s">
        <v>69</v>
      </c>
      <c r="M238" s="1666" t="s">
        <v>70</v>
      </c>
      <c r="N238" s="1654" t="s">
        <v>69</v>
      </c>
      <c r="O238" s="1662" t="s">
        <v>69</v>
      </c>
      <c r="P238" s="1664" t="s">
        <v>70</v>
      </c>
      <c r="Q238" s="1662" t="s">
        <v>69</v>
      </c>
      <c r="R238" s="1662" t="s">
        <v>69</v>
      </c>
      <c r="S238" s="1662" t="s">
        <v>69</v>
      </c>
      <c r="T238" s="1662" t="s">
        <v>69</v>
      </c>
      <c r="U238" s="1662" t="s">
        <v>69</v>
      </c>
      <c r="V238" s="1541" t="s">
        <v>69</v>
      </c>
      <c r="W238" s="1541" t="s">
        <v>69</v>
      </c>
    </row>
    <row r="239">
      <c r="A239" s="622"/>
      <c r="B239" s="1599" t="s">
        <v>1352</v>
      </c>
      <c r="C239" s="1599" t="s">
        <v>21</v>
      </c>
      <c r="D239" s="1652"/>
      <c r="E239" s="108"/>
      <c r="F239" s="108"/>
      <c r="G239" s="108"/>
      <c r="H239" s="108"/>
      <c r="I239" s="108"/>
      <c r="J239" s="108"/>
      <c r="K239" s="108"/>
      <c r="L239" s="108"/>
      <c r="M239" s="108"/>
      <c r="N239" s="109"/>
      <c r="O239" s="1653" t="s">
        <v>69</v>
      </c>
      <c r="P239" s="1666" t="s">
        <v>70</v>
      </c>
      <c r="Q239" s="1654" t="s">
        <v>69</v>
      </c>
      <c r="R239" s="1654" t="s">
        <v>69</v>
      </c>
      <c r="S239" s="1654" t="s">
        <v>69</v>
      </c>
      <c r="T239" s="1654" t="s">
        <v>69</v>
      </c>
      <c r="U239" s="1654" t="s">
        <v>69</v>
      </c>
      <c r="V239" s="1541" t="s">
        <v>70</v>
      </c>
      <c r="W239" s="1541" t="s">
        <v>69</v>
      </c>
    </row>
    <row r="240">
      <c r="A240" s="622"/>
      <c r="B240" s="1668" t="s">
        <v>1353</v>
      </c>
      <c r="C240" s="1668" t="s">
        <v>187</v>
      </c>
      <c r="D240" s="1669" t="s">
        <v>69</v>
      </c>
      <c r="E240" s="1670" t="s">
        <v>69</v>
      </c>
      <c r="F240" s="1671" t="s">
        <v>99</v>
      </c>
      <c r="G240" s="1670" t="s">
        <v>69</v>
      </c>
      <c r="H240" s="1670" t="s">
        <v>69</v>
      </c>
      <c r="I240" s="1672" t="s">
        <v>70</v>
      </c>
      <c r="J240" s="1672" t="s">
        <v>70</v>
      </c>
      <c r="K240" s="1670" t="s">
        <v>69</v>
      </c>
      <c r="L240" s="1670" t="s">
        <v>69</v>
      </c>
      <c r="M240" s="1672" t="s">
        <v>70</v>
      </c>
      <c r="N240" s="1673" t="s">
        <v>70</v>
      </c>
      <c r="O240" s="1652"/>
      <c r="P240" s="108"/>
      <c r="Q240" s="108"/>
      <c r="R240" s="108"/>
      <c r="S240" s="108"/>
      <c r="T240" s="108"/>
      <c r="U240" s="108"/>
      <c r="V240" s="108"/>
      <c r="W240" s="1213"/>
    </row>
    <row r="241">
      <c r="A241" s="622"/>
      <c r="B241" s="1674" t="s">
        <v>39</v>
      </c>
      <c r="C241" s="1674" t="s">
        <v>233</v>
      </c>
      <c r="D241" s="1652"/>
      <c r="E241" s="108"/>
      <c r="F241" s="108"/>
      <c r="G241" s="108"/>
      <c r="H241" s="108"/>
      <c r="I241" s="108"/>
      <c r="J241" s="108"/>
      <c r="K241" s="108"/>
      <c r="L241" s="108"/>
      <c r="M241" s="108"/>
      <c r="N241" s="109"/>
      <c r="O241" s="1669" t="s">
        <v>69</v>
      </c>
      <c r="P241" s="1670" t="s">
        <v>69</v>
      </c>
      <c r="Q241" s="1672" t="s">
        <v>70</v>
      </c>
      <c r="R241" s="1670" t="s">
        <v>69</v>
      </c>
      <c r="S241" s="1670" t="s">
        <v>69</v>
      </c>
      <c r="T241" s="1670" t="s">
        <v>69</v>
      </c>
      <c r="U241" s="1670" t="s">
        <v>69</v>
      </c>
      <c r="V241" s="1541" t="s">
        <v>69</v>
      </c>
      <c r="W241" s="1541" t="s">
        <v>70</v>
      </c>
    </row>
    <row r="242">
      <c r="A242" s="622"/>
      <c r="B242" s="1675" t="s">
        <v>1313</v>
      </c>
      <c r="C242" s="1675" t="s">
        <v>942</v>
      </c>
      <c r="D242" s="1676" t="s">
        <v>69</v>
      </c>
      <c r="E242" s="1658" t="s">
        <v>70</v>
      </c>
      <c r="F242" s="1657" t="s">
        <v>69</v>
      </c>
      <c r="G242" s="1657" t="s">
        <v>69</v>
      </c>
      <c r="H242" s="1657" t="s">
        <v>69</v>
      </c>
      <c r="I242" s="1658" t="s">
        <v>70</v>
      </c>
      <c r="J242" s="1658" t="s">
        <v>70</v>
      </c>
      <c r="K242" s="1657" t="s">
        <v>69</v>
      </c>
      <c r="L242" s="1657" t="s">
        <v>69</v>
      </c>
      <c r="M242" s="1658" t="s">
        <v>70</v>
      </c>
      <c r="N242" s="1677" t="s">
        <v>70</v>
      </c>
      <c r="O242" s="1652"/>
      <c r="P242" s="108"/>
      <c r="Q242" s="108"/>
      <c r="R242" s="108"/>
      <c r="S242" s="108"/>
      <c r="T242" s="108"/>
      <c r="U242" s="108"/>
      <c r="V242" s="108"/>
      <c r="W242" s="1213"/>
    </row>
    <row r="243">
      <c r="A243" s="622"/>
      <c r="B243" s="1589" t="s">
        <v>1190</v>
      </c>
      <c r="C243" s="1589" t="s">
        <v>174</v>
      </c>
      <c r="D243" s="1678" t="s">
        <v>69</v>
      </c>
      <c r="E243" s="1662" t="s">
        <v>69</v>
      </c>
      <c r="F243" s="1664" t="s">
        <v>70</v>
      </c>
      <c r="G243" s="1664" t="s">
        <v>70</v>
      </c>
      <c r="H243" s="1662" t="s">
        <v>69</v>
      </c>
      <c r="I243" s="1664" t="s">
        <v>70</v>
      </c>
      <c r="J243" s="1662" t="s">
        <v>69</v>
      </c>
      <c r="K243" s="1664" t="s">
        <v>70</v>
      </c>
      <c r="L243" s="1662" t="s">
        <v>69</v>
      </c>
      <c r="M243" s="1663" t="s">
        <v>99</v>
      </c>
      <c r="N243" s="1664" t="s">
        <v>70</v>
      </c>
      <c r="O243" s="1657" t="s">
        <v>69</v>
      </c>
      <c r="P243" s="1657" t="s">
        <v>69</v>
      </c>
      <c r="Q243" s="1657" t="s">
        <v>69</v>
      </c>
      <c r="R243" s="1657" t="s">
        <v>69</v>
      </c>
      <c r="S243" s="1657" t="s">
        <v>69</v>
      </c>
      <c r="T243" s="1657" t="s">
        <v>69</v>
      </c>
      <c r="U243" s="1657" t="s">
        <v>69</v>
      </c>
      <c r="V243" s="1679" t="s">
        <v>69</v>
      </c>
      <c r="W243" s="1680" t="s">
        <v>70</v>
      </c>
    </row>
    <row r="244">
      <c r="A244" s="622"/>
      <c r="B244" s="1557" t="s">
        <v>1341</v>
      </c>
      <c r="C244" s="1557" t="s">
        <v>12</v>
      </c>
      <c r="D244" s="1662" t="s">
        <v>69</v>
      </c>
      <c r="E244" s="1662" t="s">
        <v>69</v>
      </c>
      <c r="F244" s="1662" t="s">
        <v>69</v>
      </c>
      <c r="G244" s="1662" t="s">
        <v>69</v>
      </c>
      <c r="H244" s="1662" t="s">
        <v>69</v>
      </c>
      <c r="I244" s="1664" t="s">
        <v>70</v>
      </c>
      <c r="J244" s="1663" t="s">
        <v>69</v>
      </c>
      <c r="K244" s="1662" t="s">
        <v>69</v>
      </c>
      <c r="L244" s="1662" t="s">
        <v>69</v>
      </c>
      <c r="M244" s="1664" t="s">
        <v>70</v>
      </c>
      <c r="N244" s="1664" t="s">
        <v>70</v>
      </c>
      <c r="O244" s="1662" t="s">
        <v>69</v>
      </c>
      <c r="P244" s="1662" t="s">
        <v>69</v>
      </c>
      <c r="Q244" s="1664" t="s">
        <v>70</v>
      </c>
      <c r="R244" s="1662" t="s">
        <v>69</v>
      </c>
      <c r="S244" s="1662" t="s">
        <v>69</v>
      </c>
      <c r="T244" s="1662" t="s">
        <v>69</v>
      </c>
      <c r="U244" s="1662" t="s">
        <v>69</v>
      </c>
      <c r="V244" s="1541" t="s">
        <v>69</v>
      </c>
      <c r="W244" s="1541" t="s">
        <v>69</v>
      </c>
    </row>
    <row r="245">
      <c r="A245" s="1645" t="s">
        <v>68</v>
      </c>
      <c r="B245" s="671"/>
      <c r="D245" s="1559"/>
    </row>
    <row r="246">
      <c r="A246" s="901"/>
      <c r="B246" s="1624" t="s">
        <v>69</v>
      </c>
      <c r="D246" s="1625">
        <f t="shared" ref="D246:W246" si="73">COUNTIF(D234:D244,"Voor")</f>
        <v>8</v>
      </c>
      <c r="E246" s="1625">
        <f t="shared" si="73"/>
        <v>5</v>
      </c>
      <c r="F246" s="1625">
        <f t="shared" si="73"/>
        <v>3</v>
      </c>
      <c r="G246" s="1625">
        <f t="shared" si="73"/>
        <v>4</v>
      </c>
      <c r="H246" s="1625">
        <f t="shared" si="73"/>
        <v>5</v>
      </c>
      <c r="I246" s="1625">
        <f t="shared" si="73"/>
        <v>3</v>
      </c>
      <c r="J246" s="1625">
        <f t="shared" si="73"/>
        <v>5</v>
      </c>
      <c r="K246" s="1625">
        <f t="shared" si="73"/>
        <v>6</v>
      </c>
      <c r="L246" s="1625">
        <f t="shared" si="73"/>
        <v>7</v>
      </c>
      <c r="M246" s="1625">
        <f t="shared" si="73"/>
        <v>1</v>
      </c>
      <c r="N246" s="1625">
        <f t="shared" si="73"/>
        <v>2</v>
      </c>
      <c r="O246" s="1625">
        <f t="shared" si="73"/>
        <v>8</v>
      </c>
      <c r="P246" s="1625">
        <f t="shared" si="73"/>
        <v>6</v>
      </c>
      <c r="Q246" s="1625">
        <f t="shared" si="73"/>
        <v>6</v>
      </c>
      <c r="R246" s="1625">
        <f t="shared" si="73"/>
        <v>8</v>
      </c>
      <c r="S246" s="1625">
        <f t="shared" si="73"/>
        <v>7</v>
      </c>
      <c r="T246" s="1625">
        <f t="shared" si="73"/>
        <v>8</v>
      </c>
      <c r="U246" s="1625">
        <f t="shared" si="73"/>
        <v>8</v>
      </c>
      <c r="V246" s="1625">
        <f t="shared" si="73"/>
        <v>6</v>
      </c>
      <c r="W246" s="1625">
        <f t="shared" si="73"/>
        <v>6</v>
      </c>
    </row>
    <row r="247">
      <c r="A247" s="901"/>
      <c r="B247" s="1626" t="s">
        <v>70</v>
      </c>
      <c r="D247" s="1627">
        <f t="shared" ref="D247:W247" si="74">COUNTIF(D234:D244,"Tegen")</f>
        <v>0</v>
      </c>
      <c r="E247" s="1627">
        <f t="shared" si="74"/>
        <v>2</v>
      </c>
      <c r="F247" s="1627">
        <f t="shared" si="74"/>
        <v>4</v>
      </c>
      <c r="G247" s="1627">
        <f t="shared" si="74"/>
        <v>4</v>
      </c>
      <c r="H247" s="1627">
        <f t="shared" si="74"/>
        <v>3</v>
      </c>
      <c r="I247" s="1627">
        <f t="shared" si="74"/>
        <v>5</v>
      </c>
      <c r="J247" s="1627">
        <f t="shared" si="74"/>
        <v>2</v>
      </c>
      <c r="K247" s="1627">
        <f t="shared" si="74"/>
        <v>1</v>
      </c>
      <c r="L247" s="1627">
        <f t="shared" si="74"/>
        <v>0</v>
      </c>
      <c r="M247" s="1627">
        <f t="shared" si="74"/>
        <v>5</v>
      </c>
      <c r="N247" s="1627">
        <f t="shared" si="74"/>
        <v>5</v>
      </c>
      <c r="O247" s="1627">
        <f t="shared" si="74"/>
        <v>0</v>
      </c>
      <c r="P247" s="1627">
        <f t="shared" si="74"/>
        <v>2</v>
      </c>
      <c r="Q247" s="1627">
        <f t="shared" si="74"/>
        <v>2</v>
      </c>
      <c r="R247" s="1627">
        <f t="shared" si="74"/>
        <v>0</v>
      </c>
      <c r="S247" s="1627">
        <f t="shared" si="74"/>
        <v>1</v>
      </c>
      <c r="T247" s="1627">
        <f t="shared" si="74"/>
        <v>0</v>
      </c>
      <c r="U247" s="1627">
        <f t="shared" si="74"/>
        <v>0</v>
      </c>
      <c r="V247" s="1627">
        <f t="shared" si="74"/>
        <v>2</v>
      </c>
      <c r="W247" s="1627">
        <f t="shared" si="74"/>
        <v>2</v>
      </c>
    </row>
    <row r="248">
      <c r="A248" s="901"/>
      <c r="B248" s="1628" t="s">
        <v>71</v>
      </c>
      <c r="D248" s="1629">
        <f t="shared" ref="D248:W248" si="75">COUNTIF(D234:D244,"SO")</f>
        <v>0</v>
      </c>
      <c r="E248" s="1629">
        <f t="shared" si="75"/>
        <v>1</v>
      </c>
      <c r="F248" s="1629">
        <f t="shared" si="75"/>
        <v>1</v>
      </c>
      <c r="G248" s="1629">
        <f t="shared" si="75"/>
        <v>0</v>
      </c>
      <c r="H248" s="1629">
        <f t="shared" si="75"/>
        <v>0</v>
      </c>
      <c r="I248" s="1629">
        <f t="shared" si="75"/>
        <v>0</v>
      </c>
      <c r="J248" s="1629">
        <f t="shared" si="75"/>
        <v>0</v>
      </c>
      <c r="K248" s="1629">
        <f t="shared" si="75"/>
        <v>0</v>
      </c>
      <c r="L248" s="1629">
        <f t="shared" si="75"/>
        <v>0</v>
      </c>
      <c r="M248" s="1629">
        <f t="shared" si="75"/>
        <v>1</v>
      </c>
      <c r="N248" s="1629">
        <f t="shared" si="75"/>
        <v>0</v>
      </c>
      <c r="O248" s="1629">
        <f t="shared" si="75"/>
        <v>0</v>
      </c>
      <c r="P248" s="1629">
        <f t="shared" si="75"/>
        <v>0</v>
      </c>
      <c r="Q248" s="1629">
        <f t="shared" si="75"/>
        <v>0</v>
      </c>
      <c r="R248" s="1629">
        <f t="shared" si="75"/>
        <v>0</v>
      </c>
      <c r="S248" s="1629">
        <f t="shared" si="75"/>
        <v>0</v>
      </c>
      <c r="T248" s="1629">
        <f t="shared" si="75"/>
        <v>0</v>
      </c>
      <c r="U248" s="1629">
        <f t="shared" si="75"/>
        <v>0</v>
      </c>
      <c r="V248" s="1629">
        <f t="shared" si="75"/>
        <v>0</v>
      </c>
      <c r="W248" s="1629">
        <f t="shared" si="75"/>
        <v>0</v>
      </c>
    </row>
    <row r="249">
      <c r="A249" s="901"/>
      <c r="B249" s="1630" t="s">
        <v>72</v>
      </c>
      <c r="D249" s="1631">
        <f t="shared" ref="D249:W249" si="76">COUNTIF(D234:D244,"NG")</f>
        <v>0</v>
      </c>
      <c r="E249" s="1631">
        <f t="shared" si="76"/>
        <v>0</v>
      </c>
      <c r="F249" s="1631">
        <f t="shared" si="76"/>
        <v>0</v>
      </c>
      <c r="G249" s="1631">
        <f t="shared" si="76"/>
        <v>0</v>
      </c>
      <c r="H249" s="1631">
        <f t="shared" si="76"/>
        <v>0</v>
      </c>
      <c r="I249" s="1631">
        <f t="shared" si="76"/>
        <v>0</v>
      </c>
      <c r="J249" s="1631">
        <f t="shared" si="76"/>
        <v>1</v>
      </c>
      <c r="K249" s="1631">
        <f t="shared" si="76"/>
        <v>1</v>
      </c>
      <c r="L249" s="1631">
        <f t="shared" si="76"/>
        <v>1</v>
      </c>
      <c r="M249" s="1631">
        <f t="shared" si="76"/>
        <v>1</v>
      </c>
      <c r="N249" s="1631">
        <f t="shared" si="76"/>
        <v>1</v>
      </c>
      <c r="O249" s="1631">
        <f t="shared" si="76"/>
        <v>0</v>
      </c>
      <c r="P249" s="1631">
        <f t="shared" si="76"/>
        <v>0</v>
      </c>
      <c r="Q249" s="1631">
        <f t="shared" si="76"/>
        <v>0</v>
      </c>
      <c r="R249" s="1631">
        <f t="shared" si="76"/>
        <v>0</v>
      </c>
      <c r="S249" s="1631">
        <f t="shared" si="76"/>
        <v>0</v>
      </c>
      <c r="T249" s="1631">
        <f t="shared" si="76"/>
        <v>0</v>
      </c>
      <c r="U249" s="1631">
        <f t="shared" si="76"/>
        <v>0</v>
      </c>
      <c r="V249" s="1631">
        <f t="shared" si="76"/>
        <v>0</v>
      </c>
      <c r="W249" s="1631">
        <f t="shared" si="76"/>
        <v>0</v>
      </c>
    </row>
    <row r="250">
      <c r="A250" s="901"/>
      <c r="B250" s="1632" t="s">
        <v>73</v>
      </c>
      <c r="D250" s="1633">
        <f t="shared" ref="D250:W250" si="77">SUM(D246:D249)</f>
        <v>8</v>
      </c>
      <c r="E250" s="1633">
        <f t="shared" si="77"/>
        <v>8</v>
      </c>
      <c r="F250" s="1633">
        <f t="shared" si="77"/>
        <v>8</v>
      </c>
      <c r="G250" s="1633">
        <f t="shared" si="77"/>
        <v>8</v>
      </c>
      <c r="H250" s="1633">
        <f t="shared" si="77"/>
        <v>8</v>
      </c>
      <c r="I250" s="1633">
        <f t="shared" si="77"/>
        <v>8</v>
      </c>
      <c r="J250" s="1633">
        <f t="shared" si="77"/>
        <v>8</v>
      </c>
      <c r="K250" s="1633">
        <f t="shared" si="77"/>
        <v>8</v>
      </c>
      <c r="L250" s="1633">
        <f t="shared" si="77"/>
        <v>8</v>
      </c>
      <c r="M250" s="1633">
        <f t="shared" si="77"/>
        <v>8</v>
      </c>
      <c r="N250" s="1633">
        <f t="shared" si="77"/>
        <v>8</v>
      </c>
      <c r="O250" s="1633">
        <f t="shared" si="77"/>
        <v>8</v>
      </c>
      <c r="P250" s="1633">
        <f t="shared" si="77"/>
        <v>8</v>
      </c>
      <c r="Q250" s="1633">
        <f t="shared" si="77"/>
        <v>8</v>
      </c>
      <c r="R250" s="1633">
        <f t="shared" si="77"/>
        <v>8</v>
      </c>
      <c r="S250" s="1633">
        <f t="shared" si="77"/>
        <v>8</v>
      </c>
      <c r="T250" s="1633">
        <f t="shared" si="77"/>
        <v>8</v>
      </c>
      <c r="U250" s="1633">
        <f t="shared" si="77"/>
        <v>8</v>
      </c>
      <c r="V250" s="1633">
        <f t="shared" si="77"/>
        <v>8</v>
      </c>
      <c r="W250" s="1633">
        <f t="shared" si="77"/>
        <v>8</v>
      </c>
    </row>
    <row r="251">
      <c r="A251" s="901"/>
      <c r="B251" s="1634" t="s">
        <v>74</v>
      </c>
      <c r="D251" s="1635">
        <f t="shared" ref="D251:W251" si="78">D246+D247+D248</f>
        <v>8</v>
      </c>
      <c r="E251" s="1635">
        <f t="shared" si="78"/>
        <v>8</v>
      </c>
      <c r="F251" s="1635">
        <f t="shared" si="78"/>
        <v>8</v>
      </c>
      <c r="G251" s="1635">
        <f t="shared" si="78"/>
        <v>8</v>
      </c>
      <c r="H251" s="1635">
        <f t="shared" si="78"/>
        <v>8</v>
      </c>
      <c r="I251" s="1635">
        <f t="shared" si="78"/>
        <v>8</v>
      </c>
      <c r="J251" s="1635">
        <f t="shared" si="78"/>
        <v>7</v>
      </c>
      <c r="K251" s="1635">
        <f t="shared" si="78"/>
        <v>7</v>
      </c>
      <c r="L251" s="1635">
        <f t="shared" si="78"/>
        <v>7</v>
      </c>
      <c r="M251" s="1635">
        <f t="shared" si="78"/>
        <v>7</v>
      </c>
      <c r="N251" s="1635">
        <f t="shared" si="78"/>
        <v>7</v>
      </c>
      <c r="O251" s="1635">
        <f t="shared" si="78"/>
        <v>8</v>
      </c>
      <c r="P251" s="1635">
        <f t="shared" si="78"/>
        <v>8</v>
      </c>
      <c r="Q251" s="1635">
        <f t="shared" si="78"/>
        <v>8</v>
      </c>
      <c r="R251" s="1635">
        <f t="shared" si="78"/>
        <v>8</v>
      </c>
      <c r="S251" s="1635">
        <f t="shared" si="78"/>
        <v>8</v>
      </c>
      <c r="T251" s="1635">
        <f t="shared" si="78"/>
        <v>8</v>
      </c>
      <c r="U251" s="1635">
        <f t="shared" si="78"/>
        <v>8</v>
      </c>
      <c r="V251" s="1635">
        <f t="shared" si="78"/>
        <v>8</v>
      </c>
      <c r="W251" s="1635">
        <f t="shared" si="78"/>
        <v>8</v>
      </c>
    </row>
    <row r="252">
      <c r="A252" s="901"/>
      <c r="B252" s="1636" t="s">
        <v>75</v>
      </c>
      <c r="D252" s="1637">
        <f t="shared" ref="D252:W252" si="79">IFERROR(D251/D250,"")</f>
        <v>1</v>
      </c>
      <c r="E252" s="1637">
        <f t="shared" si="79"/>
        <v>1</v>
      </c>
      <c r="F252" s="1637">
        <f t="shared" si="79"/>
        <v>1</v>
      </c>
      <c r="G252" s="1637">
        <f t="shared" si="79"/>
        <v>1</v>
      </c>
      <c r="H252" s="1637">
        <f t="shared" si="79"/>
        <v>1</v>
      </c>
      <c r="I252" s="1637">
        <f t="shared" si="79"/>
        <v>1</v>
      </c>
      <c r="J252" s="1637">
        <f t="shared" si="79"/>
        <v>0.875</v>
      </c>
      <c r="K252" s="1637">
        <f t="shared" si="79"/>
        <v>0.875</v>
      </c>
      <c r="L252" s="1637">
        <f t="shared" si="79"/>
        <v>0.875</v>
      </c>
      <c r="M252" s="1637">
        <f t="shared" si="79"/>
        <v>0.875</v>
      </c>
      <c r="N252" s="1637">
        <f t="shared" si="79"/>
        <v>0.875</v>
      </c>
      <c r="O252" s="1637">
        <f t="shared" si="79"/>
        <v>1</v>
      </c>
      <c r="P252" s="1637">
        <f t="shared" si="79"/>
        <v>1</v>
      </c>
      <c r="Q252" s="1637">
        <f t="shared" si="79"/>
        <v>1</v>
      </c>
      <c r="R252" s="1637">
        <f t="shared" si="79"/>
        <v>1</v>
      </c>
      <c r="S252" s="1637">
        <f t="shared" si="79"/>
        <v>1</v>
      </c>
      <c r="T252" s="1637">
        <f t="shared" si="79"/>
        <v>1</v>
      </c>
      <c r="U252" s="1637">
        <f t="shared" si="79"/>
        <v>1</v>
      </c>
      <c r="V252" s="1637">
        <f t="shared" si="79"/>
        <v>1</v>
      </c>
      <c r="W252" s="1637">
        <f t="shared" si="79"/>
        <v>1</v>
      </c>
    </row>
    <row r="253">
      <c r="A253" s="1577"/>
      <c r="D253" s="1335"/>
      <c r="E253" s="914"/>
      <c r="F253" s="914"/>
      <c r="G253" s="914"/>
      <c r="H253" s="914"/>
      <c r="I253" s="914"/>
      <c r="J253" s="914"/>
      <c r="K253" s="914"/>
      <c r="L253" s="914"/>
      <c r="M253" s="914"/>
      <c r="N253" s="914"/>
      <c r="O253" s="914"/>
      <c r="P253" s="914"/>
      <c r="Q253" s="914"/>
      <c r="R253" s="914"/>
      <c r="S253" s="914"/>
      <c r="T253" s="914"/>
      <c r="U253" s="914"/>
      <c r="V253" s="914"/>
      <c r="W253" s="915"/>
    </row>
    <row r="254">
      <c r="A254" s="900"/>
      <c r="B254" s="900" t="s">
        <v>1170</v>
      </c>
      <c r="C254" s="900" t="s">
        <v>7</v>
      </c>
      <c r="D254" s="671"/>
      <c r="O254" s="1681"/>
      <c r="W254" s="1052"/>
    </row>
    <row r="255">
      <c r="A255" s="1682" t="s">
        <v>1315</v>
      </c>
      <c r="B255" s="390"/>
      <c r="C255" s="390"/>
      <c r="D255" s="406" t="s">
        <v>1354</v>
      </c>
      <c r="O255" s="1057"/>
      <c r="P255" s="1056"/>
      <c r="Q255" s="1056"/>
      <c r="R255" s="1056"/>
      <c r="S255" s="1056"/>
      <c r="T255" s="1056"/>
      <c r="U255" s="1056"/>
      <c r="V255" s="1056"/>
      <c r="W255" s="1058"/>
    </row>
    <row r="256">
      <c r="A256" s="1577"/>
      <c r="D256" s="1335"/>
      <c r="E256" s="914"/>
      <c r="F256" s="914"/>
      <c r="G256" s="914"/>
      <c r="H256" s="914"/>
      <c r="I256" s="914"/>
      <c r="J256" s="914"/>
      <c r="K256" s="914"/>
      <c r="L256" s="914"/>
      <c r="M256" s="914"/>
      <c r="N256" s="914"/>
      <c r="O256" s="914"/>
      <c r="P256" s="914"/>
      <c r="Q256" s="914"/>
      <c r="R256" s="914"/>
      <c r="S256" s="914"/>
      <c r="T256" s="914"/>
      <c r="U256" s="914"/>
      <c r="V256" s="914"/>
      <c r="W256" s="915"/>
    </row>
    <row r="257">
      <c r="A257" s="900"/>
      <c r="B257" s="900" t="s">
        <v>1170</v>
      </c>
      <c r="C257" s="900" t="s">
        <v>7</v>
      </c>
      <c r="D257" s="671"/>
      <c r="O257" s="1681"/>
      <c r="W257" s="1052"/>
    </row>
    <row r="258">
      <c r="A258" s="1682" t="s">
        <v>159</v>
      </c>
      <c r="B258" s="390"/>
      <c r="C258" s="390"/>
      <c r="D258" s="406" t="s">
        <v>1354</v>
      </c>
      <c r="O258" s="1057"/>
      <c r="P258" s="1056"/>
      <c r="Q258" s="1056"/>
      <c r="R258" s="1056"/>
      <c r="S258" s="1056"/>
      <c r="T258" s="1056"/>
      <c r="U258" s="1056"/>
      <c r="V258" s="1056"/>
      <c r="W258" s="1058"/>
    </row>
  </sheetData>
  <mergeCells count="220">
    <mergeCell ref="A152:C152"/>
    <mergeCell ref="A153:A156"/>
    <mergeCell ref="K216:P216"/>
    <mergeCell ref="D220:P220"/>
    <mergeCell ref="B148:C148"/>
    <mergeCell ref="B221:C221"/>
    <mergeCell ref="B222:C222"/>
    <mergeCell ref="D171:F171"/>
    <mergeCell ref="D159:Q159"/>
    <mergeCell ref="B200:C200"/>
    <mergeCell ref="A210:C210"/>
    <mergeCell ref="A200:A207"/>
    <mergeCell ref="A208:C208"/>
    <mergeCell ref="A211:A214"/>
    <mergeCell ref="A215:A219"/>
    <mergeCell ref="B220:C220"/>
    <mergeCell ref="A196:A199"/>
    <mergeCell ref="A192:A195"/>
    <mergeCell ref="A181:A188"/>
    <mergeCell ref="B182:C182"/>
    <mergeCell ref="A191:C191"/>
    <mergeCell ref="B185:C185"/>
    <mergeCell ref="A256:C256"/>
    <mergeCell ref="B250:C250"/>
    <mergeCell ref="B249:C249"/>
    <mergeCell ref="B252:C252"/>
    <mergeCell ref="B251:C251"/>
    <mergeCell ref="A253:C253"/>
    <mergeCell ref="A245:A252"/>
    <mergeCell ref="D257:N257"/>
    <mergeCell ref="D255:N255"/>
    <mergeCell ref="D253:W253"/>
    <mergeCell ref="O254:W255"/>
    <mergeCell ref="D256:W256"/>
    <mergeCell ref="O257:W258"/>
    <mergeCell ref="D254:N254"/>
    <mergeCell ref="O229:W230"/>
    <mergeCell ref="D228:W228"/>
    <mergeCell ref="D229:N229"/>
    <mergeCell ref="B187:C187"/>
    <mergeCell ref="B188:C188"/>
    <mergeCell ref="D189:W189"/>
    <mergeCell ref="A189:C189"/>
    <mergeCell ref="D190:Q190"/>
    <mergeCell ref="B183:C183"/>
    <mergeCell ref="B184:C184"/>
    <mergeCell ref="D209:P209"/>
    <mergeCell ref="D208:W208"/>
    <mergeCell ref="B166:C166"/>
    <mergeCell ref="B168:C168"/>
    <mergeCell ref="D239:N239"/>
    <mergeCell ref="D241:N241"/>
    <mergeCell ref="O240:W240"/>
    <mergeCell ref="O242:W242"/>
    <mergeCell ref="D245:W245"/>
    <mergeCell ref="O235:W235"/>
    <mergeCell ref="Q209:W227"/>
    <mergeCell ref="D231:W231"/>
    <mergeCell ref="D234:N234"/>
    <mergeCell ref="D232:V232"/>
    <mergeCell ref="D215:J215"/>
    <mergeCell ref="D200:Q200"/>
    <mergeCell ref="B109:C109"/>
    <mergeCell ref="B108:C108"/>
    <mergeCell ref="A113:C113"/>
    <mergeCell ref="A118:A120"/>
    <mergeCell ref="A114:A117"/>
    <mergeCell ref="A121:A128"/>
    <mergeCell ref="A103:A110"/>
    <mergeCell ref="B126:C126"/>
    <mergeCell ref="B107:C107"/>
    <mergeCell ref="B104:C104"/>
    <mergeCell ref="B106:C106"/>
    <mergeCell ref="B105:C105"/>
    <mergeCell ref="B103:C103"/>
    <mergeCell ref="D103:H103"/>
    <mergeCell ref="D112:F112"/>
    <mergeCell ref="D139:E139"/>
    <mergeCell ref="D138:H138"/>
    <mergeCell ref="D150:W150"/>
    <mergeCell ref="D151:S151"/>
    <mergeCell ref="B144:C144"/>
    <mergeCell ref="B145:C145"/>
    <mergeCell ref="A132:A135"/>
    <mergeCell ref="A136:A141"/>
    <mergeCell ref="A142:A149"/>
    <mergeCell ref="B147:C147"/>
    <mergeCell ref="B146:C146"/>
    <mergeCell ref="D130:J130"/>
    <mergeCell ref="A131:C131"/>
    <mergeCell ref="A31:A38"/>
    <mergeCell ref="D67:N67"/>
    <mergeCell ref="H75:N75"/>
    <mergeCell ref="D76:I76"/>
    <mergeCell ref="D59:N59"/>
    <mergeCell ref="B31:C31"/>
    <mergeCell ref="B32:C32"/>
    <mergeCell ref="B110:C110"/>
    <mergeCell ref="E115:F115"/>
    <mergeCell ref="D93:H93"/>
    <mergeCell ref="D84:I84"/>
    <mergeCell ref="A99:A102"/>
    <mergeCell ref="A27:A30"/>
    <mergeCell ref="A23:A26"/>
    <mergeCell ref="B125:C125"/>
    <mergeCell ref="B121:C121"/>
    <mergeCell ref="B128:C128"/>
    <mergeCell ref="B127:C127"/>
    <mergeCell ref="B142:C142"/>
    <mergeCell ref="B143:C143"/>
    <mergeCell ref="D134:E134"/>
    <mergeCell ref="D142:J142"/>
    <mergeCell ref="B122:C122"/>
    <mergeCell ref="B123:C123"/>
    <mergeCell ref="B124:C124"/>
    <mergeCell ref="D121:F121"/>
    <mergeCell ref="A84:A91"/>
    <mergeCell ref="A67:A74"/>
    <mergeCell ref="A78:A80"/>
    <mergeCell ref="A81:A83"/>
    <mergeCell ref="A64:A66"/>
    <mergeCell ref="B71:C71"/>
    <mergeCell ref="B68:C68"/>
    <mergeCell ref="B70:C70"/>
    <mergeCell ref="B69:C69"/>
    <mergeCell ref="B67:C67"/>
    <mergeCell ref="B73:C73"/>
    <mergeCell ref="B74:C74"/>
    <mergeCell ref="A77:C77"/>
    <mergeCell ref="B72:C72"/>
    <mergeCell ref="B84:C84"/>
    <mergeCell ref="B85:C85"/>
    <mergeCell ref="B90:C90"/>
    <mergeCell ref="B89:C89"/>
    <mergeCell ref="B86:C86"/>
    <mergeCell ref="B88:C88"/>
    <mergeCell ref="B87:C87"/>
    <mergeCell ref="B91:C91"/>
    <mergeCell ref="B56:C56"/>
    <mergeCell ref="A60:C60"/>
    <mergeCell ref="B57:C57"/>
    <mergeCell ref="A95:A98"/>
    <mergeCell ref="A61:A63"/>
    <mergeCell ref="A94:C94"/>
    <mergeCell ref="B50:C50"/>
    <mergeCell ref="A50:A57"/>
    <mergeCell ref="B54:C54"/>
    <mergeCell ref="B53:C53"/>
    <mergeCell ref="B52:C52"/>
    <mergeCell ref="B38:C38"/>
    <mergeCell ref="B37:C37"/>
    <mergeCell ref="D40:E40"/>
    <mergeCell ref="A41:C41"/>
    <mergeCell ref="A42:A45"/>
    <mergeCell ref="A46:A49"/>
    <mergeCell ref="B55:C55"/>
    <mergeCell ref="B51:C51"/>
    <mergeCell ref="D50:E50"/>
    <mergeCell ref="B33:C33"/>
    <mergeCell ref="B34:C34"/>
    <mergeCell ref="B36:C36"/>
    <mergeCell ref="B35:C35"/>
    <mergeCell ref="B149:C149"/>
    <mergeCell ref="B162:C162"/>
    <mergeCell ref="A150:C150"/>
    <mergeCell ref="A157:A161"/>
    <mergeCell ref="B201:C201"/>
    <mergeCell ref="B202:C202"/>
    <mergeCell ref="B205:C205"/>
    <mergeCell ref="B204:C204"/>
    <mergeCell ref="B203:C203"/>
    <mergeCell ref="B186:C186"/>
    <mergeCell ref="B164:C164"/>
    <mergeCell ref="B165:C165"/>
    <mergeCell ref="B169:C169"/>
    <mergeCell ref="B167:C167"/>
    <mergeCell ref="B245:C245"/>
    <mergeCell ref="A238:A244"/>
    <mergeCell ref="A234:A237"/>
    <mergeCell ref="A231:C231"/>
    <mergeCell ref="A233:C233"/>
    <mergeCell ref="A230:C230"/>
    <mergeCell ref="B207:C207"/>
    <mergeCell ref="B206:C206"/>
    <mergeCell ref="B248:C248"/>
    <mergeCell ref="B246:C246"/>
    <mergeCell ref="B247:C247"/>
    <mergeCell ref="B226:C226"/>
    <mergeCell ref="B225:C225"/>
    <mergeCell ref="A162:A169"/>
    <mergeCell ref="B163:C163"/>
    <mergeCell ref="B181:C181"/>
    <mergeCell ref="A176:A180"/>
    <mergeCell ref="D170:W170"/>
    <mergeCell ref="A172:C172"/>
    <mergeCell ref="A173:A175"/>
    <mergeCell ref="A170:C170"/>
    <mergeCell ref="D162:S162"/>
    <mergeCell ref="D258:N258"/>
    <mergeCell ref="A258:C258"/>
    <mergeCell ref="D230:N230"/>
    <mergeCell ref="B224:C224"/>
    <mergeCell ref="B223:C223"/>
    <mergeCell ref="A220:A227"/>
    <mergeCell ref="A228:C228"/>
    <mergeCell ref="B227:C227"/>
    <mergeCell ref="A255:C255"/>
    <mergeCell ref="B13:C13"/>
    <mergeCell ref="B12:C12"/>
    <mergeCell ref="A8:A11"/>
    <mergeCell ref="A4:A7"/>
    <mergeCell ref="A3:C3"/>
    <mergeCell ref="B14:C14"/>
    <mergeCell ref="B19:C19"/>
    <mergeCell ref="B18:C18"/>
    <mergeCell ref="A22:C22"/>
    <mergeCell ref="B17:C17"/>
    <mergeCell ref="B15:C15"/>
    <mergeCell ref="B16:C16"/>
    <mergeCell ref="A12:A19"/>
  </mergeCells>
  <conditionalFormatting sqref="A1:C1 D1:I102 J1:L118 M1:O102 P1:P75 Q1:S161 T1:T91 U1:U75 V1:W91 A20:C20 A39:C39 A58:C58 A75:C75 A92:C92 P93 P95:P100 P102 D104:F161 G104:H117 I104:I161 M104:O111 A111:C111 P111 T111:W111 G119:H161 J139 J152:L161 M152:N153 O153:P161 T153:W161 M155:N161 D170:F180 G170:I170 Q170:S170 D191:H197 I191:I193 Q191 J192:N192 O193:Q199 I195:I197 J195 K195:K196 L195:L197 N196 J197 M197 D199:N199 D210:H214 I210:I211 J211:N211 O212:P219 J214 K214:K216 L214:L217 N215:N216 D216:H217 I216 J216:J217 M216:M217 D219:N219 D230:I230 Q233:S234 O234:P234 T234:W234 D235:D238 E235:E236 F235:G238 H235:I235 J235:J238 K235:K236 L235:L238 M235:N235 O236:W239 H237:H238 I237 M237:M238 N237 E238 D240:E240 G240:N240 O241:W241 D242:G244 H242 I242:I244 J242:J243 K242:L244 M242 N242:N244 O243:W244 H244 M244">
    <cfRule type="containsText" dxfId="0" priority="1" operator="containsText" text="SO">
      <formula>NOT(ISERROR(SEARCH(("SO"),(A1))))</formula>
    </cfRule>
  </conditionalFormatting>
  <conditionalFormatting sqref="A1:C1 D1:I102 J1:L118 M1:O102 P1:P75 Q1:S161 T1:T91 U1:U75 V1:W91 A20:C20 A39:C39 A58:C58 A75:C75 A92:C92 P93 P95:P100 P102 D104:F161 G104:H117 I104:I161 M104:O111 A111:C111 P111 T111:W111 G119:H161 J139 J152:L161 M152:N153 O153:P161 T153:W161 M155:N161 D170:F180 G170:I170 Q170:S170 D191:H197 I191:I193 Q191 J192:N192 O193:Q199 I195:I197 J195 K195:K196 L195:L197 N196 J197 M197 D199:N199 D210:H214 I210:I211 J211:N211 O212:P219 J214 K214:K216 L214:L217 N215:N216 D216:H217 I216 J216:J217 M216:M217 D219:N219 D230:I230 Q233:S234 O234:P234 T234:W234 D235:D238 E235:E236 F235:G238 H235:I235 J235:J238 K235:K236 L235:L238 M235:N235 O236:W239 H237:H238 I237 M237:M238 N237 E238 D240:E240 G240:N240 O241:W241 D242:G244 H242 I242:I244 J242:J243 K242:L244 M242 N242:N244 O243:W244 H244 M244">
    <cfRule type="containsText" dxfId="1" priority="2" operator="containsText" text="N.v.t.">
      <formula>NOT(ISERROR(SEARCH(("N.v.t."),(A1))))</formula>
    </cfRule>
  </conditionalFormatting>
  <conditionalFormatting sqref="A1:C1 D1:H102 I1:W162 A20:C20 A39:C39 A58:C58 A75:C75 A92:C92 D104:H162 A111:C111 A129:C129 D170:F258 G170:W170 G189:I258 J189:J209 K189:Q258 R189:W189 R208:W258 J211:J258">
    <cfRule type="containsText" dxfId="2" priority="3" operator="containsText" text="Voor">
      <formula>NOT(ISERROR(SEARCH(("Voor"),(A1))))</formula>
    </cfRule>
  </conditionalFormatting>
  <conditionalFormatting sqref="A1:C1 D1:H102 I1:W162 A20:C20 A39:C39 A58:C58 A75:C75 A92:C92 D104:H162 A111:C111 A129:C129 D170:F258 G170:W170 G189:I258 J189:J209 K189:Q258 R189:W189 R208:W258 J211:J258">
    <cfRule type="containsText" dxfId="3" priority="4" operator="containsText" text="Tegen">
      <formula>NOT(ISERROR(SEARCH(("Tegen"),(A1))))</formula>
    </cfRule>
  </conditionalFormatting>
  <conditionalFormatting sqref="A1:C1 D1:H102 I1:W162 A20:C20 A39:C39 A58:C58 A75:C75 A92:C92 D104:H162 A111:C111 A129:C129 D170:D258 E170:F254 G170:W170 G189:I254 J189:J209 K189:Q254 R189:W189 R208:W254 J211:J254 E256:W258">
    <cfRule type="containsText" dxfId="4" priority="5" operator="containsText" text="N.v.t.">
      <formula>NOT(ISERROR(SEARCH(("N.v.t."),(A1))))</formula>
    </cfRule>
  </conditionalFormatting>
  <conditionalFormatting sqref="A1:C1 D1:H102 I1:W162 A20:C20 A39:C39 A58:C58 A75:C75 A92:C92 D104:H162 A111:C111 A129:C129 D170:F258 G170:W170 G189:I258 J189:J209 K189:Q258 R189:W189 R208:W258 J211:J258">
    <cfRule type="cellIs" dxfId="0" priority="6" operator="equal">
      <formula>"SO"</formula>
    </cfRule>
  </conditionalFormatting>
  <conditionalFormatting sqref="A1:C1 D1:H102 I1:W162 A20:C20 A39:C39 A58:C58 A75:C75 A92:C92 D104:H162 A111:C111 A129:C129 D170:F258 G170:W170 G189:I258 J189:J209 K189:Q258 R189:W189 R208:W258 J211:J258">
    <cfRule type="cellIs" dxfId="5" priority="7" operator="equal">
      <formula>"NG"</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1" max="1" width="11.43"/>
    <col customWidth="1" min="2" max="2" width="9.57"/>
    <col customWidth="1" min="3" max="3" width="8.86"/>
    <col customWidth="1" min="4" max="4" width="9.29"/>
    <col customWidth="1" min="5" max="5" width="9.14"/>
    <col customWidth="1" min="6" max="6" width="10.86"/>
    <col customWidth="1" min="7" max="7" width="13.71"/>
    <col customWidth="1" min="8" max="8" width="10.86"/>
    <col customWidth="1" min="9" max="9" width="12.0"/>
    <col customWidth="1" min="10" max="10" width="12.43"/>
    <col customWidth="1" min="11" max="11" width="11.29"/>
    <col customWidth="1" min="12" max="12" width="14.14"/>
    <col customWidth="1" min="13" max="13" width="10.57"/>
    <col customWidth="1" min="14" max="14" width="10.14"/>
    <col customWidth="1" min="15" max="15" width="12.0"/>
    <col customWidth="1" min="16" max="16" width="14.71"/>
    <col customWidth="1" min="17" max="17" width="2.57"/>
  </cols>
  <sheetData>
    <row r="1">
      <c r="A1" s="1683" t="s">
        <v>152</v>
      </c>
      <c r="B1" s="1684" t="s">
        <v>7</v>
      </c>
      <c r="C1" s="72"/>
      <c r="D1" s="72"/>
      <c r="E1" s="1685"/>
      <c r="F1" s="1686" t="s">
        <v>1355</v>
      </c>
      <c r="G1" s="1685"/>
      <c r="H1" s="1686" t="s">
        <v>1356</v>
      </c>
      <c r="I1" s="72"/>
      <c r="J1" s="1685"/>
      <c r="K1" s="1686" t="s">
        <v>1357</v>
      </c>
      <c r="L1" s="1685"/>
      <c r="M1" s="1687" t="s">
        <v>1358</v>
      </c>
      <c r="N1" s="1686" t="s">
        <v>1359</v>
      </c>
      <c r="O1" s="1685"/>
      <c r="P1" s="1688" t="s">
        <v>16</v>
      </c>
      <c r="Q1" s="1689"/>
      <c r="R1" s="1690"/>
      <c r="S1" s="1690"/>
      <c r="T1" s="1690"/>
      <c r="U1" s="1690"/>
      <c r="V1" s="1690"/>
      <c r="W1" s="1690"/>
      <c r="X1" s="1690"/>
      <c r="Y1" s="1690"/>
      <c r="Z1" s="1690"/>
      <c r="AA1" s="1690"/>
    </row>
    <row r="2">
      <c r="A2" s="1691" t="s">
        <v>1360</v>
      </c>
      <c r="B2" s="1692" t="s">
        <v>7</v>
      </c>
      <c r="C2" s="1692" t="s">
        <v>1361</v>
      </c>
      <c r="D2" s="1692" t="s">
        <v>1362</v>
      </c>
      <c r="E2" s="1693" t="s">
        <v>1363</v>
      </c>
      <c r="F2" s="1694" t="s">
        <v>1364</v>
      </c>
      <c r="G2" s="1693" t="s">
        <v>166</v>
      </c>
      <c r="H2" s="1694" t="s">
        <v>1364</v>
      </c>
      <c r="I2" s="1692" t="s">
        <v>1365</v>
      </c>
      <c r="J2" s="1692" t="s">
        <v>1366</v>
      </c>
      <c r="K2" s="1694" t="s">
        <v>1364</v>
      </c>
      <c r="L2" s="1693" t="s">
        <v>166</v>
      </c>
      <c r="M2" s="1695" t="s">
        <v>1364</v>
      </c>
      <c r="N2" s="1694" t="s">
        <v>1364</v>
      </c>
      <c r="O2" s="66"/>
      <c r="P2" s="1696" t="s">
        <v>1364</v>
      </c>
      <c r="Q2" s="1697"/>
      <c r="R2" s="1698"/>
      <c r="S2" s="1698"/>
      <c r="T2" s="1698"/>
      <c r="U2" s="1698"/>
      <c r="V2" s="1698"/>
      <c r="W2" s="1698"/>
      <c r="X2" s="1698"/>
      <c r="Y2" s="1698"/>
      <c r="Z2" s="1698"/>
      <c r="AA2" s="1698"/>
    </row>
    <row r="3">
      <c r="A3" s="71"/>
      <c r="B3" s="1699" t="s">
        <v>152</v>
      </c>
      <c r="C3" s="515">
        <v>8.0</v>
      </c>
      <c r="D3" s="515">
        <v>15.0</v>
      </c>
      <c r="E3" s="515">
        <v>4.0</v>
      </c>
      <c r="F3" s="1700" t="s">
        <v>101</v>
      </c>
      <c r="H3" s="405" t="s">
        <v>29</v>
      </c>
      <c r="I3" s="515" t="s">
        <v>29</v>
      </c>
      <c r="J3" s="1701" t="s">
        <v>29</v>
      </c>
      <c r="K3" s="1702" t="s">
        <v>29</v>
      </c>
      <c r="L3" s="1702" t="s">
        <v>29</v>
      </c>
      <c r="M3" s="1703" t="s">
        <v>29</v>
      </c>
      <c r="N3" s="405" t="s">
        <v>29</v>
      </c>
      <c r="O3" s="71"/>
      <c r="P3" s="1704" t="s">
        <v>29</v>
      </c>
      <c r="Q3" s="1705"/>
      <c r="R3" s="1706"/>
      <c r="S3" s="1706"/>
      <c r="T3" s="1706"/>
      <c r="U3" s="1706"/>
      <c r="V3" s="1706"/>
      <c r="W3" s="1706"/>
      <c r="X3" s="1706"/>
      <c r="Y3" s="1706"/>
      <c r="Z3" s="1706"/>
      <c r="AA3" s="1706"/>
    </row>
    <row r="4">
      <c r="A4" s="71"/>
      <c r="B4" s="1699" t="s">
        <v>21</v>
      </c>
      <c r="C4" s="515">
        <v>2.0</v>
      </c>
      <c r="D4" s="515">
        <v>5.0</v>
      </c>
      <c r="E4" s="515">
        <v>1.0</v>
      </c>
      <c r="F4" s="405">
        <v>1.0</v>
      </c>
      <c r="G4" s="1701" t="s">
        <v>1339</v>
      </c>
      <c r="H4" s="405" t="s">
        <v>29</v>
      </c>
      <c r="I4" s="515" t="s">
        <v>29</v>
      </c>
      <c r="J4" s="1701" t="s">
        <v>29</v>
      </c>
      <c r="K4" s="405" t="s">
        <v>29</v>
      </c>
      <c r="L4" s="1701" t="s">
        <v>29</v>
      </c>
      <c r="M4" s="1707" t="s">
        <v>101</v>
      </c>
      <c r="N4" s="1708" t="s">
        <v>29</v>
      </c>
      <c r="P4" s="1709" t="s">
        <v>101</v>
      </c>
      <c r="Q4" s="1705"/>
      <c r="R4" s="1706"/>
      <c r="S4" s="1706"/>
      <c r="T4" s="1706"/>
      <c r="U4" s="1706"/>
      <c r="V4" s="1706"/>
      <c r="W4" s="1706"/>
      <c r="X4" s="1706"/>
      <c r="Y4" s="1706"/>
      <c r="Z4" s="1706"/>
      <c r="AA4" s="1706"/>
    </row>
    <row r="5">
      <c r="A5" s="71"/>
      <c r="B5" s="1710" t="s">
        <v>107</v>
      </c>
      <c r="C5" s="515">
        <v>1.0</v>
      </c>
      <c r="D5" s="515">
        <v>5.0</v>
      </c>
      <c r="E5" s="515">
        <v>1.0</v>
      </c>
      <c r="F5" s="405">
        <v>1.0</v>
      </c>
      <c r="G5" s="1701" t="s">
        <v>1339</v>
      </c>
      <c r="H5" s="405" t="s">
        <v>29</v>
      </c>
      <c r="I5" s="515" t="s">
        <v>29</v>
      </c>
      <c r="J5" s="1701" t="s">
        <v>29</v>
      </c>
      <c r="K5" s="405" t="s">
        <v>29</v>
      </c>
      <c r="L5" s="1701" t="s">
        <v>29</v>
      </c>
      <c r="N5" s="1708" t="s">
        <v>29</v>
      </c>
      <c r="P5" s="6"/>
      <c r="Q5" s="1705"/>
      <c r="R5" s="1706"/>
      <c r="S5" s="1706"/>
      <c r="T5" s="1706"/>
      <c r="U5" s="1706"/>
      <c r="V5" s="1706"/>
      <c r="W5" s="1706"/>
      <c r="X5" s="1706"/>
      <c r="Y5" s="1706"/>
      <c r="Z5" s="1706"/>
      <c r="AA5" s="1706"/>
    </row>
    <row r="6">
      <c r="A6" s="71"/>
      <c r="B6" s="1711" t="s">
        <v>15</v>
      </c>
      <c r="C6" s="1700" t="s">
        <v>101</v>
      </c>
      <c r="D6" s="515">
        <v>5.0</v>
      </c>
      <c r="E6" s="515">
        <v>2.0</v>
      </c>
      <c r="F6" s="405">
        <v>2.0</v>
      </c>
      <c r="G6" s="1701" t="s">
        <v>1339</v>
      </c>
      <c r="H6" s="405" t="s">
        <v>29</v>
      </c>
      <c r="I6" s="515" t="s">
        <v>29</v>
      </c>
      <c r="J6" s="1701" t="s">
        <v>29</v>
      </c>
      <c r="K6" s="405" t="s">
        <v>29</v>
      </c>
      <c r="L6" s="1701" t="s">
        <v>29</v>
      </c>
      <c r="N6" s="1708">
        <v>1.0</v>
      </c>
      <c r="P6" s="6"/>
      <c r="Q6" s="1705"/>
      <c r="R6" s="1706"/>
      <c r="S6" s="1706"/>
      <c r="T6" s="1706"/>
      <c r="U6" s="1706"/>
      <c r="V6" s="1706"/>
      <c r="W6" s="1706"/>
      <c r="X6" s="1706"/>
      <c r="Y6" s="1706"/>
      <c r="Z6" s="1706"/>
      <c r="AA6" s="1706"/>
    </row>
    <row r="7">
      <c r="A7" s="71"/>
      <c r="B7" s="1710" t="s">
        <v>23</v>
      </c>
      <c r="C7" s="1700" t="s">
        <v>101</v>
      </c>
      <c r="D7" s="515">
        <v>4.0</v>
      </c>
      <c r="E7" s="515">
        <v>2.0</v>
      </c>
      <c r="F7" s="405">
        <v>1.0</v>
      </c>
      <c r="G7" s="1701" t="s">
        <v>1339</v>
      </c>
      <c r="H7" s="405">
        <v>1.0</v>
      </c>
      <c r="I7" s="515" t="s">
        <v>1339</v>
      </c>
      <c r="J7" s="515" t="s">
        <v>1339</v>
      </c>
      <c r="K7" s="405" t="s">
        <v>29</v>
      </c>
      <c r="L7" s="1701" t="s">
        <v>29</v>
      </c>
      <c r="N7" s="1708" t="s">
        <v>29</v>
      </c>
      <c r="P7" s="6"/>
      <c r="Q7" s="1705"/>
      <c r="R7" s="1706"/>
      <c r="S7" s="1706"/>
      <c r="T7" s="1706"/>
      <c r="U7" s="1706"/>
      <c r="V7" s="1706"/>
      <c r="W7" s="1706"/>
      <c r="X7" s="1706"/>
      <c r="Y7" s="1706"/>
      <c r="Z7" s="1706"/>
      <c r="AA7" s="1706"/>
    </row>
    <row r="8">
      <c r="A8" s="71"/>
      <c r="B8" s="1710" t="s">
        <v>12</v>
      </c>
      <c r="C8" s="515">
        <v>3.0</v>
      </c>
      <c r="D8" s="515">
        <v>3.0</v>
      </c>
      <c r="E8" s="515">
        <v>1.0</v>
      </c>
      <c r="F8" s="405">
        <v>1.0</v>
      </c>
      <c r="G8" s="1701" t="s">
        <v>1339</v>
      </c>
      <c r="H8" s="405">
        <v>3.0</v>
      </c>
      <c r="I8" s="515" t="s">
        <v>1339</v>
      </c>
      <c r="J8" s="515" t="s">
        <v>1339</v>
      </c>
      <c r="K8" s="405" t="s">
        <v>29</v>
      </c>
      <c r="L8" s="1701" t="s">
        <v>29</v>
      </c>
      <c r="N8" s="1708" t="s">
        <v>29</v>
      </c>
      <c r="P8" s="6"/>
      <c r="Q8" s="1705"/>
      <c r="R8" s="1706"/>
      <c r="S8" s="1706"/>
      <c r="T8" s="1706"/>
      <c r="U8" s="1706"/>
      <c r="V8" s="1706"/>
      <c r="W8" s="1706"/>
      <c r="X8" s="1706"/>
      <c r="Y8" s="1706"/>
      <c r="Z8" s="1706"/>
      <c r="AA8" s="1706"/>
    </row>
    <row r="9">
      <c r="A9" s="71"/>
      <c r="B9" s="1712" t="s">
        <v>25</v>
      </c>
      <c r="C9" s="515">
        <v>2.0</v>
      </c>
      <c r="D9" s="515">
        <v>2.0</v>
      </c>
      <c r="E9" s="515">
        <v>1.0</v>
      </c>
      <c r="F9" s="405" t="s">
        <v>29</v>
      </c>
      <c r="G9" s="1701" t="s">
        <v>29</v>
      </c>
      <c r="H9" s="405" t="s">
        <v>29</v>
      </c>
      <c r="I9" s="515" t="s">
        <v>29</v>
      </c>
      <c r="J9" s="1701" t="s">
        <v>29</v>
      </c>
      <c r="K9" s="405" t="s">
        <v>29</v>
      </c>
      <c r="L9" s="1701" t="s">
        <v>29</v>
      </c>
      <c r="N9" s="1708" t="s">
        <v>29</v>
      </c>
      <c r="P9" s="6"/>
      <c r="Q9" s="1705"/>
      <c r="R9" s="1706"/>
      <c r="S9" s="1706"/>
      <c r="T9" s="1706"/>
      <c r="U9" s="1706"/>
      <c r="V9" s="1706"/>
      <c r="W9" s="1706"/>
      <c r="X9" s="1706"/>
      <c r="Y9" s="1706"/>
      <c r="Z9" s="1706"/>
      <c r="AA9" s="1706"/>
    </row>
    <row r="10">
      <c r="A10" s="71"/>
      <c r="B10" s="1713" t="s">
        <v>1189</v>
      </c>
      <c r="C10" s="1700" t="s">
        <v>101</v>
      </c>
      <c r="D10" s="515">
        <v>1.0</v>
      </c>
      <c r="E10" s="515" t="s">
        <v>29</v>
      </c>
      <c r="F10" s="405" t="s">
        <v>29</v>
      </c>
      <c r="G10" s="1701" t="s">
        <v>29</v>
      </c>
      <c r="H10" s="405" t="s">
        <v>29</v>
      </c>
      <c r="I10" s="515" t="s">
        <v>29</v>
      </c>
      <c r="J10" s="1701" t="s">
        <v>29</v>
      </c>
      <c r="K10" s="405" t="s">
        <v>29</v>
      </c>
      <c r="L10" s="1701" t="s">
        <v>29</v>
      </c>
      <c r="N10" s="1708" t="s">
        <v>29</v>
      </c>
      <c r="P10" s="6"/>
      <c r="Q10" s="1705"/>
      <c r="R10" s="1706"/>
      <c r="S10" s="1706"/>
      <c r="T10" s="1706"/>
      <c r="U10" s="1706"/>
      <c r="V10" s="1706"/>
      <c r="W10" s="1706"/>
      <c r="X10" s="1706"/>
      <c r="Y10" s="1706"/>
      <c r="Z10" s="1706"/>
      <c r="AA10" s="1706"/>
    </row>
    <row r="11">
      <c r="A11" s="1714"/>
      <c r="B11" s="1715" t="s">
        <v>1084</v>
      </c>
      <c r="C11" s="1716" t="s">
        <v>101</v>
      </c>
      <c r="D11" s="9"/>
      <c r="E11" s="1714"/>
      <c r="F11" s="1716" t="s">
        <v>101</v>
      </c>
      <c r="G11" s="9"/>
      <c r="H11" s="1717" t="s">
        <v>101</v>
      </c>
      <c r="I11" s="9"/>
      <c r="J11" s="1714"/>
      <c r="K11" s="1716" t="s">
        <v>101</v>
      </c>
      <c r="L11" s="1714"/>
      <c r="M11" s="9"/>
      <c r="N11" s="1716" t="s">
        <v>101</v>
      </c>
      <c r="O11" s="1714"/>
      <c r="P11" s="1718">
        <v>1.0</v>
      </c>
      <c r="Q11" s="1719"/>
      <c r="R11" s="1720"/>
      <c r="S11" s="1720"/>
      <c r="T11" s="1720"/>
      <c r="U11" s="1720"/>
      <c r="V11" s="1720"/>
      <c r="W11" s="1720"/>
      <c r="X11" s="1720"/>
      <c r="Y11" s="1720"/>
      <c r="Z11" s="1720"/>
      <c r="AA11" s="1720"/>
    </row>
    <row r="12">
      <c r="A12" s="1691" t="s">
        <v>1367</v>
      </c>
      <c r="B12" s="1699" t="s">
        <v>152</v>
      </c>
      <c r="C12" s="515">
        <v>10.0</v>
      </c>
      <c r="D12" s="515">
        <v>16.0</v>
      </c>
      <c r="E12" s="515">
        <v>3.0</v>
      </c>
      <c r="F12" s="1700" t="s">
        <v>101</v>
      </c>
      <c r="H12" s="405">
        <v>1.0</v>
      </c>
      <c r="I12" s="515" t="s">
        <v>1368</v>
      </c>
      <c r="J12" s="1701" t="s">
        <v>29</v>
      </c>
      <c r="K12" s="405" t="s">
        <v>29</v>
      </c>
      <c r="L12" s="1701" t="s">
        <v>29</v>
      </c>
      <c r="M12" s="1703">
        <v>5.0</v>
      </c>
      <c r="N12" s="1702" t="s">
        <v>29</v>
      </c>
      <c r="P12" s="1704">
        <v>6.0</v>
      </c>
      <c r="Q12" s="1721"/>
      <c r="R12" s="359"/>
      <c r="S12" s="359"/>
      <c r="T12" s="359"/>
      <c r="U12" s="359"/>
      <c r="V12" s="359"/>
      <c r="W12" s="359"/>
      <c r="X12" s="359"/>
      <c r="Y12" s="359"/>
      <c r="Z12" s="359"/>
      <c r="AA12" s="359"/>
    </row>
    <row r="13">
      <c r="A13" s="71"/>
      <c r="B13" s="1699" t="s">
        <v>21</v>
      </c>
      <c r="C13" s="515">
        <v>4.0</v>
      </c>
      <c r="D13" s="515">
        <v>5.0</v>
      </c>
      <c r="E13" s="515">
        <v>1.0</v>
      </c>
      <c r="F13" s="405" t="s">
        <v>29</v>
      </c>
      <c r="G13" s="1701" t="s">
        <v>29</v>
      </c>
      <c r="H13" s="405" t="s">
        <v>29</v>
      </c>
      <c r="I13" s="515" t="s">
        <v>29</v>
      </c>
      <c r="J13" s="1701" t="s">
        <v>29</v>
      </c>
      <c r="K13" s="405" t="s">
        <v>29</v>
      </c>
      <c r="L13" s="1701" t="s">
        <v>29</v>
      </c>
      <c r="M13" s="1707" t="s">
        <v>101</v>
      </c>
      <c r="N13" s="405">
        <v>1.0</v>
      </c>
      <c r="O13" s="71"/>
      <c r="P13" s="1709" t="s">
        <v>101</v>
      </c>
      <c r="Q13" s="1722"/>
    </row>
    <row r="14">
      <c r="A14" s="71"/>
      <c r="B14" s="1710" t="s">
        <v>107</v>
      </c>
      <c r="C14" s="515">
        <v>2.0</v>
      </c>
      <c r="D14" s="515">
        <v>5.0</v>
      </c>
      <c r="E14" s="515">
        <v>1.0</v>
      </c>
      <c r="F14" s="405">
        <v>1.0</v>
      </c>
      <c r="G14" s="1723">
        <v>43101.0</v>
      </c>
      <c r="H14" s="405" t="s">
        <v>29</v>
      </c>
      <c r="I14" s="515" t="s">
        <v>29</v>
      </c>
      <c r="J14" s="1701" t="s">
        <v>29</v>
      </c>
      <c r="K14" s="405" t="s">
        <v>29</v>
      </c>
      <c r="L14" s="1701" t="s">
        <v>29</v>
      </c>
      <c r="N14" s="405" t="s">
        <v>29</v>
      </c>
      <c r="O14" s="71"/>
      <c r="P14" s="6"/>
      <c r="Q14" s="1722"/>
    </row>
    <row r="15">
      <c r="A15" s="71"/>
      <c r="B15" s="1724" t="s">
        <v>437</v>
      </c>
      <c r="C15" s="515">
        <v>3.0</v>
      </c>
      <c r="D15" s="515">
        <v>5.0</v>
      </c>
      <c r="E15" s="515">
        <v>1.0</v>
      </c>
      <c r="F15" s="405">
        <v>1.0</v>
      </c>
      <c r="G15" s="1723">
        <v>43101.0</v>
      </c>
      <c r="H15" s="405" t="s">
        <v>29</v>
      </c>
      <c r="I15" s="515" t="s">
        <v>29</v>
      </c>
      <c r="J15" s="1701" t="s">
        <v>29</v>
      </c>
      <c r="K15" s="405" t="s">
        <v>29</v>
      </c>
      <c r="L15" s="1701" t="s">
        <v>29</v>
      </c>
      <c r="N15" s="405" t="s">
        <v>29</v>
      </c>
      <c r="O15" s="71"/>
      <c r="P15" s="6"/>
      <c r="Q15" s="1722"/>
    </row>
    <row r="16">
      <c r="A16" s="71"/>
      <c r="B16" s="1710" t="s">
        <v>23</v>
      </c>
      <c r="C16" s="1700" t="s">
        <v>101</v>
      </c>
      <c r="D16" s="515">
        <v>4.0</v>
      </c>
      <c r="E16" s="515">
        <v>1.0</v>
      </c>
      <c r="F16" s="405">
        <v>8.0</v>
      </c>
      <c r="G16" s="1723">
        <v>43316.0</v>
      </c>
      <c r="H16" s="405" t="s">
        <v>29</v>
      </c>
      <c r="I16" s="515" t="s">
        <v>29</v>
      </c>
      <c r="J16" s="1701" t="s">
        <v>29</v>
      </c>
      <c r="K16" s="405" t="s">
        <v>29</v>
      </c>
      <c r="L16" s="1701" t="s">
        <v>29</v>
      </c>
      <c r="N16" s="405" t="s">
        <v>29</v>
      </c>
      <c r="O16" s="71"/>
      <c r="P16" s="6"/>
      <c r="Q16" s="1722"/>
    </row>
    <row r="17">
      <c r="A17" s="71"/>
      <c r="B17" s="1710" t="s">
        <v>12</v>
      </c>
      <c r="C17" s="1700" t="s">
        <v>101</v>
      </c>
      <c r="D17" s="515">
        <v>3.0</v>
      </c>
      <c r="E17" s="515">
        <v>1.0</v>
      </c>
      <c r="F17" s="405">
        <v>6.0</v>
      </c>
      <c r="G17" s="1723">
        <v>43254.0</v>
      </c>
      <c r="H17" s="405" t="s">
        <v>29</v>
      </c>
      <c r="I17" s="515" t="s">
        <v>29</v>
      </c>
      <c r="J17" s="1701" t="s">
        <v>29</v>
      </c>
      <c r="K17" s="405" t="s">
        <v>29</v>
      </c>
      <c r="L17" s="1701" t="s">
        <v>29</v>
      </c>
      <c r="N17" s="405">
        <v>2.0</v>
      </c>
      <c r="O17" s="71"/>
      <c r="P17" s="6"/>
      <c r="Q17" s="1722"/>
    </row>
    <row r="18">
      <c r="A18" s="71"/>
      <c r="B18" s="1712" t="s">
        <v>25</v>
      </c>
      <c r="C18" s="1700" t="s">
        <v>101</v>
      </c>
      <c r="D18" s="515">
        <v>2.0</v>
      </c>
      <c r="E18" s="515">
        <v>1.0</v>
      </c>
      <c r="F18" s="405">
        <v>1.0</v>
      </c>
      <c r="G18" s="1723">
        <v>43101.0</v>
      </c>
      <c r="H18" s="405" t="s">
        <v>29</v>
      </c>
      <c r="I18" s="515" t="s">
        <v>29</v>
      </c>
      <c r="J18" s="1701" t="s">
        <v>29</v>
      </c>
      <c r="K18" s="405" t="s">
        <v>29</v>
      </c>
      <c r="L18" s="1701" t="s">
        <v>29</v>
      </c>
      <c r="N18" s="405" t="s">
        <v>29</v>
      </c>
      <c r="O18" s="71"/>
      <c r="P18" s="6"/>
      <c r="Q18" s="1722"/>
    </row>
    <row r="19">
      <c r="A19" s="71"/>
      <c r="B19" s="1713" t="s">
        <v>1189</v>
      </c>
      <c r="C19" s="515">
        <v>1.0</v>
      </c>
      <c r="D19" s="515">
        <v>1.0</v>
      </c>
      <c r="E19" s="515" t="s">
        <v>29</v>
      </c>
      <c r="F19" s="405" t="s">
        <v>29</v>
      </c>
      <c r="G19" s="1701" t="s">
        <v>29</v>
      </c>
      <c r="H19" s="405" t="s">
        <v>29</v>
      </c>
      <c r="I19" s="515" t="s">
        <v>29</v>
      </c>
      <c r="J19" s="1701" t="s">
        <v>29</v>
      </c>
      <c r="K19" s="405" t="s">
        <v>29</v>
      </c>
      <c r="L19" s="1701" t="s">
        <v>29</v>
      </c>
      <c r="N19" s="405" t="s">
        <v>29</v>
      </c>
      <c r="O19" s="71"/>
      <c r="P19" s="6"/>
      <c r="Q19" s="1722"/>
    </row>
    <row r="20">
      <c r="A20" s="1714"/>
      <c r="B20" s="1715" t="s">
        <v>1084</v>
      </c>
      <c r="C20" s="1716" t="s">
        <v>101</v>
      </c>
      <c r="D20" s="9"/>
      <c r="E20" s="1714"/>
      <c r="F20" s="1716" t="s">
        <v>101</v>
      </c>
      <c r="G20" s="9"/>
      <c r="H20" s="1717" t="s">
        <v>101</v>
      </c>
      <c r="I20" s="9"/>
      <c r="J20" s="1714"/>
      <c r="K20" s="1716" t="s">
        <v>101</v>
      </c>
      <c r="L20" s="1714"/>
      <c r="M20" s="9"/>
      <c r="N20" s="1716" t="s">
        <v>101</v>
      </c>
      <c r="O20" s="1714"/>
      <c r="P20" s="1718" t="s">
        <v>29</v>
      </c>
      <c r="Q20" s="1725"/>
      <c r="R20" s="9"/>
      <c r="S20" s="9"/>
      <c r="T20" s="9"/>
      <c r="U20" s="9"/>
      <c r="V20" s="9"/>
      <c r="W20" s="9"/>
      <c r="X20" s="9"/>
      <c r="Y20" s="9"/>
      <c r="Z20" s="9"/>
      <c r="AA20" s="9"/>
    </row>
    <row r="21">
      <c r="A21" s="1691" t="s">
        <v>1369</v>
      </c>
      <c r="B21" s="1699" t="s">
        <v>152</v>
      </c>
      <c r="C21" s="515">
        <v>8.0</v>
      </c>
      <c r="D21" s="515">
        <v>13.0</v>
      </c>
      <c r="E21" s="515">
        <v>3.0</v>
      </c>
      <c r="F21" s="1700" t="s">
        <v>101</v>
      </c>
      <c r="H21" s="405">
        <v>6.0</v>
      </c>
      <c r="I21" s="1726">
        <v>43256.0</v>
      </c>
      <c r="J21" s="1723">
        <v>43224.0</v>
      </c>
      <c r="K21" s="1702">
        <v>1.0</v>
      </c>
      <c r="L21" s="1702" t="s">
        <v>1368</v>
      </c>
      <c r="M21" s="1703">
        <v>6.0</v>
      </c>
      <c r="N21" s="1702">
        <v>1.0</v>
      </c>
      <c r="P21" s="1704">
        <v>1.0</v>
      </c>
      <c r="Q21" s="1721"/>
      <c r="R21" s="359"/>
      <c r="S21" s="359"/>
      <c r="T21" s="359"/>
      <c r="U21" s="359"/>
      <c r="V21" s="359"/>
      <c r="W21" s="359"/>
      <c r="X21" s="359"/>
      <c r="Y21" s="359"/>
      <c r="Z21" s="359"/>
      <c r="AA21" s="359"/>
    </row>
    <row r="22">
      <c r="A22" s="71"/>
      <c r="B22" s="1699" t="s">
        <v>21</v>
      </c>
      <c r="C22" s="515" t="s">
        <v>1370</v>
      </c>
      <c r="D22" s="515">
        <v>5.0</v>
      </c>
      <c r="E22" s="515">
        <v>1.0</v>
      </c>
      <c r="F22" s="405">
        <v>2.0</v>
      </c>
      <c r="G22" s="1723">
        <v>43132.0</v>
      </c>
      <c r="H22" s="405" t="s">
        <v>29</v>
      </c>
      <c r="I22" s="515" t="s">
        <v>29</v>
      </c>
      <c r="J22" s="1701" t="s">
        <v>29</v>
      </c>
      <c r="K22" s="405" t="s">
        <v>29</v>
      </c>
      <c r="L22" s="1701" t="s">
        <v>29</v>
      </c>
      <c r="M22" s="1707" t="s">
        <v>101</v>
      </c>
      <c r="N22" s="405" t="s">
        <v>29</v>
      </c>
      <c r="O22" s="71"/>
      <c r="P22" s="1709" t="s">
        <v>101</v>
      </c>
      <c r="Q22" s="1722"/>
    </row>
    <row r="23">
      <c r="A23" s="71"/>
      <c r="B23" s="1710" t="s">
        <v>107</v>
      </c>
      <c r="C23" s="1700" t="s">
        <v>101</v>
      </c>
      <c r="D23" s="515">
        <v>5.0</v>
      </c>
      <c r="E23" s="515">
        <v>1.0</v>
      </c>
      <c r="F23" s="405">
        <v>1.0</v>
      </c>
      <c r="G23" s="1723">
        <v>43101.0</v>
      </c>
      <c r="H23" s="405" t="s">
        <v>29</v>
      </c>
      <c r="I23" s="515" t="s">
        <v>29</v>
      </c>
      <c r="J23" s="1701" t="s">
        <v>29</v>
      </c>
      <c r="K23" s="405" t="s">
        <v>29</v>
      </c>
      <c r="L23" s="1701" t="s">
        <v>29</v>
      </c>
      <c r="N23" s="405" t="s">
        <v>29</v>
      </c>
      <c r="O23" s="71"/>
      <c r="P23" s="6"/>
      <c r="Q23" s="1722"/>
    </row>
    <row r="24">
      <c r="A24" s="71"/>
      <c r="B24" s="1724" t="s">
        <v>437</v>
      </c>
      <c r="C24" s="1700" t="s">
        <v>101</v>
      </c>
      <c r="D24" s="515">
        <v>5.0</v>
      </c>
      <c r="E24" s="515">
        <v>1.0</v>
      </c>
      <c r="F24" s="405">
        <v>11.0</v>
      </c>
      <c r="G24" s="1723">
        <v>43409.0</v>
      </c>
      <c r="H24" s="405">
        <v>4.0</v>
      </c>
      <c r="I24" s="1726">
        <v>43193.0</v>
      </c>
      <c r="J24" s="1701" t="s">
        <v>1371</v>
      </c>
      <c r="K24" s="405">
        <v>1.0</v>
      </c>
      <c r="L24" s="1701" t="s">
        <v>1368</v>
      </c>
      <c r="N24" s="405">
        <v>2.0</v>
      </c>
      <c r="O24" s="71"/>
      <c r="P24" s="6"/>
      <c r="Q24" s="1722"/>
    </row>
    <row r="25">
      <c r="A25" s="71"/>
      <c r="B25" s="1710" t="s">
        <v>23</v>
      </c>
      <c r="C25" s="515" t="s">
        <v>1372</v>
      </c>
      <c r="D25" s="515">
        <v>4.0</v>
      </c>
      <c r="E25" s="515">
        <v>1.0</v>
      </c>
      <c r="F25" s="405">
        <v>5.0</v>
      </c>
      <c r="G25" s="1723">
        <v>43222.0</v>
      </c>
      <c r="H25" s="405">
        <v>1.0</v>
      </c>
      <c r="I25" s="1726">
        <v>43101.0</v>
      </c>
      <c r="J25" s="1723">
        <v>43101.0</v>
      </c>
      <c r="K25" s="405" t="s">
        <v>29</v>
      </c>
      <c r="L25" s="1701" t="s">
        <v>29</v>
      </c>
      <c r="N25" s="405" t="s">
        <v>29</v>
      </c>
      <c r="O25" s="71"/>
      <c r="P25" s="6"/>
      <c r="Q25" s="1722"/>
    </row>
    <row r="26">
      <c r="A26" s="71"/>
      <c r="B26" s="1710" t="s">
        <v>12</v>
      </c>
      <c r="C26" s="515">
        <v>2.0</v>
      </c>
      <c r="D26" s="515">
        <v>3.0</v>
      </c>
      <c r="E26" s="515">
        <v>1.0</v>
      </c>
      <c r="F26" s="405">
        <v>3.0</v>
      </c>
      <c r="G26" s="1723">
        <v>43161.0</v>
      </c>
      <c r="H26" s="405" t="s">
        <v>29</v>
      </c>
      <c r="I26" s="1727"/>
      <c r="J26" s="1701" t="s">
        <v>29</v>
      </c>
      <c r="K26" s="405" t="s">
        <v>29</v>
      </c>
      <c r="L26" s="1701" t="s">
        <v>29</v>
      </c>
      <c r="N26" s="405" t="s">
        <v>29</v>
      </c>
      <c r="O26" s="71"/>
      <c r="P26" s="6"/>
      <c r="Q26" s="1722"/>
    </row>
    <row r="27">
      <c r="A27" s="71"/>
      <c r="B27" s="1712" t="s">
        <v>25</v>
      </c>
      <c r="C27" s="1700" t="s">
        <v>101</v>
      </c>
      <c r="D27" s="515">
        <v>2.0</v>
      </c>
      <c r="E27" s="515">
        <v>1.0</v>
      </c>
      <c r="F27" s="405">
        <v>1.0</v>
      </c>
      <c r="G27" s="1701" t="s">
        <v>1368</v>
      </c>
      <c r="H27" s="405">
        <v>1.0</v>
      </c>
      <c r="I27" s="1726">
        <v>43101.0</v>
      </c>
      <c r="J27" s="1723">
        <v>43101.0</v>
      </c>
      <c r="K27" s="405" t="s">
        <v>29</v>
      </c>
      <c r="L27" s="1701" t="s">
        <v>29</v>
      </c>
      <c r="N27" s="405" t="s">
        <v>29</v>
      </c>
      <c r="O27" s="71"/>
      <c r="P27" s="6"/>
      <c r="Q27" s="1722"/>
    </row>
    <row r="28">
      <c r="A28" s="71"/>
      <c r="B28" s="1713" t="s">
        <v>1189</v>
      </c>
      <c r="C28" s="515">
        <v>1.0</v>
      </c>
      <c r="D28" s="515">
        <v>1.0</v>
      </c>
      <c r="E28" s="515" t="s">
        <v>29</v>
      </c>
      <c r="F28" s="405" t="s">
        <v>29</v>
      </c>
      <c r="G28" s="1701" t="s">
        <v>29</v>
      </c>
      <c r="H28" s="405" t="s">
        <v>29</v>
      </c>
      <c r="I28" s="1727"/>
      <c r="J28" s="1701" t="s">
        <v>29</v>
      </c>
      <c r="K28" s="405" t="s">
        <v>29</v>
      </c>
      <c r="L28" s="1701" t="s">
        <v>29</v>
      </c>
      <c r="N28" s="405" t="s">
        <v>29</v>
      </c>
      <c r="O28" s="71"/>
      <c r="P28" s="6"/>
      <c r="Q28" s="1722"/>
    </row>
    <row r="29">
      <c r="A29" s="1714"/>
      <c r="B29" s="1715" t="s">
        <v>1084</v>
      </c>
      <c r="C29" s="1716" t="s">
        <v>101</v>
      </c>
      <c r="D29" s="9"/>
      <c r="E29" s="1714"/>
      <c r="F29" s="1716" t="s">
        <v>101</v>
      </c>
      <c r="G29" s="9"/>
      <c r="H29" s="1717" t="s">
        <v>101</v>
      </c>
      <c r="I29" s="9"/>
      <c r="J29" s="1714"/>
      <c r="K29" s="1716" t="s">
        <v>101</v>
      </c>
      <c r="L29" s="9"/>
      <c r="M29" s="9"/>
      <c r="N29" s="1716" t="s">
        <v>101</v>
      </c>
      <c r="O29" s="1714"/>
      <c r="P29" s="1718" t="s">
        <v>29</v>
      </c>
      <c r="Q29" s="1725"/>
      <c r="R29" s="9"/>
      <c r="S29" s="9"/>
      <c r="T29" s="9"/>
      <c r="U29" s="9"/>
      <c r="V29" s="9"/>
      <c r="W29" s="9"/>
      <c r="X29" s="9"/>
      <c r="Y29" s="9"/>
      <c r="Z29" s="9"/>
      <c r="AA29" s="9"/>
    </row>
    <row r="30">
      <c r="A30" s="1728"/>
      <c r="B30" s="1729" t="s">
        <v>1373</v>
      </c>
      <c r="C30" s="9"/>
      <c r="D30" s="9"/>
      <c r="E30" s="9"/>
      <c r="F30" s="1729" t="s">
        <v>1373</v>
      </c>
      <c r="G30" s="9"/>
      <c r="H30" s="1729" t="s">
        <v>1373</v>
      </c>
      <c r="I30" s="9"/>
      <c r="J30" s="9"/>
      <c r="K30" s="1729" t="s">
        <v>1373</v>
      </c>
      <c r="L30" s="9"/>
      <c r="M30" s="1730"/>
      <c r="N30" s="1729" t="s">
        <v>1373</v>
      </c>
      <c r="O30" s="9"/>
      <c r="P30" s="1731"/>
      <c r="Q30" s="1725"/>
      <c r="R30" s="9"/>
      <c r="S30" s="9"/>
      <c r="T30" s="9"/>
      <c r="U30" s="9"/>
      <c r="V30" s="9"/>
      <c r="W30" s="9"/>
      <c r="X30" s="9"/>
      <c r="Y30" s="9"/>
      <c r="Z30" s="9"/>
      <c r="AA30" s="9"/>
    </row>
    <row r="31">
      <c r="A31" s="1732"/>
      <c r="C31" s="1706"/>
      <c r="D31" s="1706"/>
      <c r="E31" s="1706"/>
      <c r="F31" s="1733"/>
      <c r="G31" s="1734"/>
      <c r="H31" s="1733"/>
      <c r="I31" s="1706"/>
      <c r="J31" s="1734"/>
      <c r="K31" s="1733"/>
      <c r="L31" s="1734"/>
      <c r="M31" s="1735"/>
      <c r="N31" s="1733"/>
      <c r="O31" s="71"/>
      <c r="P31" s="1736"/>
      <c r="Q31" s="1722"/>
    </row>
    <row r="32">
      <c r="A32" s="1732"/>
      <c r="C32" s="1706"/>
      <c r="D32" s="1706"/>
      <c r="E32" s="1706"/>
      <c r="F32" s="1733"/>
      <c r="G32" s="1734"/>
      <c r="H32" s="1733"/>
      <c r="I32" s="1706"/>
      <c r="J32" s="1734"/>
      <c r="K32" s="1733"/>
      <c r="L32" s="1734"/>
      <c r="M32" s="1735"/>
      <c r="N32" s="1733"/>
      <c r="O32" s="71"/>
      <c r="P32" s="1736"/>
      <c r="Q32" s="1722"/>
    </row>
    <row r="33">
      <c r="A33" s="1732"/>
      <c r="C33" s="1706"/>
      <c r="D33" s="1706"/>
      <c r="E33" s="1706"/>
      <c r="F33" s="1733"/>
      <c r="G33" s="1734"/>
      <c r="H33" s="1733"/>
      <c r="I33" s="1706"/>
      <c r="J33" s="1734"/>
      <c r="K33" s="1733"/>
      <c r="L33" s="1734"/>
      <c r="M33" s="1735"/>
      <c r="N33" s="1733"/>
      <c r="O33" s="71"/>
      <c r="P33" s="1736"/>
      <c r="Q33" s="1722"/>
    </row>
    <row r="34">
      <c r="A34" s="1732"/>
      <c r="C34" s="1706"/>
      <c r="D34" s="1706"/>
      <c r="E34" s="1706"/>
      <c r="F34" s="1733"/>
      <c r="G34" s="1734"/>
      <c r="H34" s="1733"/>
      <c r="I34" s="1706"/>
      <c r="J34" s="1734"/>
      <c r="K34" s="1733"/>
      <c r="L34" s="1734"/>
      <c r="M34" s="1735"/>
      <c r="N34" s="1733"/>
      <c r="O34" s="71"/>
      <c r="P34" s="1736"/>
      <c r="Q34" s="1722"/>
    </row>
    <row r="35">
      <c r="A35" s="1732"/>
      <c r="C35" s="1706"/>
      <c r="D35" s="1706"/>
      <c r="E35" s="1706"/>
      <c r="F35" s="1733"/>
      <c r="G35" s="1734"/>
      <c r="H35" s="1733"/>
      <c r="I35" s="1706"/>
      <c r="J35" s="1734"/>
      <c r="K35" s="1733"/>
      <c r="L35" s="1734"/>
      <c r="M35" s="1735"/>
      <c r="N35" s="1733"/>
      <c r="O35" s="71"/>
      <c r="P35" s="1736"/>
      <c r="Q35" s="1722"/>
    </row>
    <row r="36">
      <c r="A36" s="1732"/>
      <c r="C36" s="1706"/>
      <c r="D36" s="1706"/>
      <c r="E36" s="1706"/>
      <c r="F36" s="1733"/>
      <c r="G36" s="1734"/>
      <c r="H36" s="1733"/>
      <c r="I36" s="1706"/>
      <c r="J36" s="1734"/>
      <c r="K36" s="1733"/>
      <c r="L36" s="1734"/>
      <c r="M36" s="1735"/>
      <c r="N36" s="1733"/>
      <c r="O36" s="71"/>
      <c r="P36" s="1736"/>
      <c r="Q36" s="1722"/>
    </row>
    <row r="37">
      <c r="A37" s="1732"/>
      <c r="C37" s="1706"/>
      <c r="D37" s="1706"/>
      <c r="E37" s="1706"/>
      <c r="F37" s="1733"/>
      <c r="G37" s="1734"/>
      <c r="H37" s="1733"/>
      <c r="I37" s="1706"/>
      <c r="J37" s="1734"/>
      <c r="K37" s="1733"/>
      <c r="L37" s="1734"/>
      <c r="M37" s="1735"/>
      <c r="N37" s="1733"/>
      <c r="O37" s="71"/>
      <c r="P37" s="1736"/>
      <c r="Q37" s="1722"/>
    </row>
    <row r="38">
      <c r="A38" s="1732"/>
      <c r="C38" s="1706"/>
      <c r="D38" s="1706"/>
      <c r="E38" s="1706"/>
      <c r="F38" s="1733"/>
      <c r="G38" s="1734"/>
      <c r="H38" s="1733"/>
      <c r="I38" s="1706"/>
      <c r="J38" s="1734"/>
      <c r="K38" s="1733"/>
      <c r="L38" s="1734"/>
      <c r="M38" s="1735"/>
      <c r="N38" s="1733"/>
      <c r="O38" s="71"/>
      <c r="P38" s="1736"/>
      <c r="Q38" s="1722"/>
    </row>
    <row r="39">
      <c r="A39" s="1732"/>
      <c r="C39" s="1706"/>
      <c r="D39" s="1706"/>
      <c r="E39" s="1706"/>
      <c r="F39" s="1733"/>
      <c r="G39" s="1734"/>
      <c r="H39" s="1733"/>
      <c r="I39" s="1706"/>
      <c r="J39" s="1734"/>
      <c r="K39" s="1733"/>
      <c r="L39" s="1734"/>
      <c r="M39" s="1735"/>
      <c r="N39" s="1733"/>
      <c r="P39" s="1736"/>
      <c r="Q39" s="1722"/>
    </row>
    <row r="40">
      <c r="A40" s="1732"/>
      <c r="C40" s="1706"/>
      <c r="D40" s="1706"/>
      <c r="E40" s="1706"/>
      <c r="F40" s="1733"/>
      <c r="G40" s="1734"/>
      <c r="H40" s="1733"/>
      <c r="I40" s="1706"/>
      <c r="J40" s="1734"/>
      <c r="K40" s="1733"/>
      <c r="L40" s="1734"/>
      <c r="M40" s="1735"/>
      <c r="N40" s="1733"/>
      <c r="P40" s="1736"/>
      <c r="Q40" s="1722"/>
    </row>
    <row r="41">
      <c r="A41" s="1732"/>
      <c r="C41" s="1706"/>
      <c r="D41" s="1706"/>
      <c r="E41" s="1706"/>
      <c r="F41" s="1733"/>
      <c r="G41" s="1734"/>
      <c r="H41" s="1733"/>
      <c r="I41" s="1706"/>
      <c r="J41" s="1734"/>
      <c r="K41" s="1733"/>
      <c r="L41" s="1734"/>
      <c r="M41" s="1735"/>
      <c r="N41" s="1733"/>
      <c r="P41" s="1736"/>
      <c r="Q41" s="1722"/>
    </row>
    <row r="42">
      <c r="A42" s="1732"/>
      <c r="C42" s="1706"/>
      <c r="D42" s="1706"/>
      <c r="E42" s="1706"/>
      <c r="F42" s="1733"/>
      <c r="G42" s="1734"/>
      <c r="H42" s="1733"/>
      <c r="I42" s="1706"/>
      <c r="J42" s="1734"/>
      <c r="K42" s="1733"/>
      <c r="L42" s="1734"/>
      <c r="M42" s="1735"/>
      <c r="N42" s="1733"/>
      <c r="P42" s="1736"/>
      <c r="Q42" s="1722"/>
    </row>
    <row r="43">
      <c r="A43" s="1732"/>
      <c r="C43" s="1706"/>
      <c r="D43" s="1706"/>
      <c r="E43" s="1706"/>
      <c r="F43" s="1733"/>
      <c r="G43" s="1734"/>
      <c r="H43" s="1733"/>
      <c r="I43" s="1706"/>
      <c r="J43" s="1734"/>
      <c r="K43" s="1733"/>
      <c r="L43" s="1734"/>
      <c r="M43" s="1735"/>
      <c r="N43" s="1733"/>
      <c r="P43" s="1736"/>
      <c r="Q43" s="1722"/>
    </row>
    <row r="44">
      <c r="A44" s="1732"/>
      <c r="C44" s="1706"/>
      <c r="D44" s="1706"/>
      <c r="E44" s="1706"/>
      <c r="F44" s="1733"/>
      <c r="G44" s="1734"/>
      <c r="H44" s="1733"/>
      <c r="I44" s="1706"/>
      <c r="J44" s="1734"/>
      <c r="K44" s="1733"/>
      <c r="L44" s="1734"/>
      <c r="M44" s="1735"/>
      <c r="N44" s="1733"/>
      <c r="P44" s="1736"/>
      <c r="Q44" s="1722"/>
    </row>
    <row r="45">
      <c r="A45" s="1732"/>
      <c r="C45" s="1706"/>
      <c r="D45" s="1706"/>
      <c r="E45" s="1706"/>
      <c r="F45" s="1733"/>
      <c r="G45" s="1734"/>
      <c r="H45" s="1733"/>
      <c r="I45" s="1706"/>
      <c r="J45" s="1734"/>
      <c r="K45" s="1733"/>
      <c r="L45" s="1734"/>
      <c r="M45" s="1735"/>
      <c r="N45" s="1733"/>
      <c r="P45" s="1736"/>
      <c r="Q45" s="1722"/>
    </row>
    <row r="46">
      <c r="A46" s="1732"/>
      <c r="C46" s="1706"/>
      <c r="D46" s="1706"/>
      <c r="E46" s="1706"/>
      <c r="F46" s="1733"/>
      <c r="G46" s="1734"/>
      <c r="H46" s="1733"/>
      <c r="I46" s="1706"/>
      <c r="J46" s="1734"/>
      <c r="K46" s="1733"/>
      <c r="L46" s="1734"/>
      <c r="M46" s="1735"/>
      <c r="N46" s="1733"/>
      <c r="P46" s="1736"/>
      <c r="Q46" s="1722"/>
    </row>
    <row r="47">
      <c r="A47" s="1732"/>
      <c r="C47" s="1706"/>
      <c r="D47" s="1706"/>
      <c r="E47" s="1706"/>
      <c r="F47" s="1733"/>
      <c r="G47" s="1734"/>
      <c r="H47" s="1733"/>
      <c r="I47" s="1706"/>
      <c r="J47" s="1734"/>
      <c r="K47" s="1733"/>
      <c r="L47" s="1734"/>
      <c r="M47" s="1735"/>
      <c r="N47" s="1733"/>
      <c r="P47" s="1736"/>
      <c r="Q47" s="1722"/>
    </row>
    <row r="48">
      <c r="A48" s="1732"/>
      <c r="C48" s="1706"/>
      <c r="D48" s="1706"/>
      <c r="E48" s="1706"/>
      <c r="F48" s="1733"/>
      <c r="G48" s="1734"/>
      <c r="H48" s="1733"/>
      <c r="I48" s="1706"/>
      <c r="J48" s="1734"/>
      <c r="K48" s="1733"/>
      <c r="L48" s="1734"/>
      <c r="M48" s="1735"/>
      <c r="N48" s="1733"/>
      <c r="P48" s="1736"/>
      <c r="Q48" s="1722"/>
    </row>
    <row r="49">
      <c r="A49" s="1732"/>
      <c r="C49" s="1706"/>
      <c r="D49" s="1706"/>
      <c r="E49" s="1706"/>
      <c r="F49" s="1733"/>
      <c r="G49" s="1734"/>
      <c r="H49" s="1733"/>
      <c r="I49" s="1706"/>
      <c r="J49" s="1734"/>
      <c r="K49" s="1733"/>
      <c r="L49" s="1734"/>
      <c r="M49" s="1735"/>
      <c r="N49" s="1733"/>
      <c r="P49" s="1736"/>
      <c r="Q49" s="1722"/>
    </row>
    <row r="50">
      <c r="A50" s="1732"/>
      <c r="C50" s="1706"/>
      <c r="D50" s="1706"/>
      <c r="E50" s="1706"/>
      <c r="F50" s="1733"/>
      <c r="G50" s="1734"/>
      <c r="H50" s="1733"/>
      <c r="I50" s="1706"/>
      <c r="J50" s="1734"/>
      <c r="K50" s="1733"/>
      <c r="L50" s="1734"/>
      <c r="M50" s="1735"/>
      <c r="N50" s="1733"/>
      <c r="P50" s="1736"/>
      <c r="Q50" s="1722"/>
    </row>
    <row r="51">
      <c r="A51" s="1732"/>
      <c r="C51" s="1706"/>
      <c r="D51" s="1706"/>
      <c r="E51" s="1706"/>
      <c r="F51" s="1733"/>
      <c r="G51" s="1734"/>
      <c r="H51" s="1733"/>
      <c r="I51" s="1706"/>
      <c r="J51" s="1734"/>
      <c r="K51" s="1733"/>
      <c r="L51" s="1734"/>
      <c r="M51" s="1735"/>
      <c r="N51" s="1733"/>
      <c r="P51" s="1736"/>
      <c r="Q51" s="1722"/>
    </row>
    <row r="52">
      <c r="A52" s="1732"/>
      <c r="C52" s="1706"/>
      <c r="D52" s="1706"/>
      <c r="E52" s="1706"/>
      <c r="F52" s="1733"/>
      <c r="G52" s="1734"/>
      <c r="H52" s="1733"/>
      <c r="I52" s="1706"/>
      <c r="J52" s="1734"/>
      <c r="K52" s="1733"/>
      <c r="L52" s="1734"/>
      <c r="M52" s="1735"/>
      <c r="N52" s="1733"/>
      <c r="P52" s="1736"/>
      <c r="Q52" s="1722"/>
    </row>
    <row r="53">
      <c r="A53" s="1732"/>
      <c r="C53" s="1706"/>
      <c r="D53" s="1706"/>
      <c r="E53" s="1706"/>
      <c r="F53" s="1733"/>
      <c r="G53" s="1734"/>
      <c r="H53" s="1733"/>
      <c r="I53" s="1706"/>
      <c r="J53" s="1734"/>
      <c r="K53" s="1733"/>
      <c r="L53" s="1734"/>
      <c r="M53" s="1735"/>
      <c r="N53" s="1733"/>
      <c r="P53" s="1736"/>
      <c r="Q53" s="1722"/>
    </row>
    <row r="54">
      <c r="A54" s="1732"/>
      <c r="C54" s="1706"/>
      <c r="D54" s="1706"/>
      <c r="E54" s="1706"/>
      <c r="F54" s="1733"/>
      <c r="G54" s="1734"/>
      <c r="H54" s="1733"/>
      <c r="I54" s="1706"/>
      <c r="J54" s="1734"/>
      <c r="K54" s="1733"/>
      <c r="L54" s="1734"/>
      <c r="M54" s="1735"/>
      <c r="N54" s="1733"/>
      <c r="P54" s="1736"/>
      <c r="Q54" s="1722"/>
    </row>
    <row r="55">
      <c r="A55" s="1732"/>
      <c r="C55" s="1706"/>
      <c r="D55" s="1706"/>
      <c r="E55" s="1706"/>
      <c r="F55" s="1733"/>
      <c r="G55" s="1734"/>
      <c r="H55" s="1733"/>
      <c r="I55" s="1706"/>
      <c r="J55" s="1734"/>
      <c r="K55" s="1733"/>
      <c r="L55" s="1734"/>
      <c r="M55" s="1735"/>
      <c r="N55" s="1733"/>
      <c r="P55" s="1736"/>
      <c r="Q55" s="1722"/>
    </row>
    <row r="56">
      <c r="A56" s="1732"/>
      <c r="C56" s="1706"/>
      <c r="D56" s="1706"/>
      <c r="E56" s="1706"/>
      <c r="F56" s="1733"/>
      <c r="G56" s="1734"/>
      <c r="H56" s="1733"/>
      <c r="I56" s="1706"/>
      <c r="J56" s="1734"/>
      <c r="K56" s="1733"/>
      <c r="L56" s="1734"/>
      <c r="M56" s="1735"/>
      <c r="N56" s="1733"/>
      <c r="P56" s="1736"/>
      <c r="Q56" s="1722"/>
    </row>
    <row r="57">
      <c r="A57" s="1732"/>
      <c r="C57" s="1706"/>
      <c r="D57" s="1706"/>
      <c r="E57" s="1706"/>
      <c r="F57" s="1733"/>
      <c r="G57" s="1734"/>
      <c r="H57" s="1733"/>
      <c r="I57" s="1706"/>
      <c r="J57" s="1734"/>
      <c r="K57" s="1733"/>
      <c r="L57" s="1734"/>
      <c r="M57" s="1735"/>
      <c r="N57" s="1733"/>
      <c r="P57" s="1736"/>
      <c r="Q57" s="1722"/>
    </row>
    <row r="58">
      <c r="A58" s="1732"/>
      <c r="C58" s="1706"/>
      <c r="D58" s="1706"/>
      <c r="E58" s="1706"/>
      <c r="F58" s="1733"/>
      <c r="G58" s="1734"/>
      <c r="H58" s="1733"/>
      <c r="I58" s="1706"/>
      <c r="J58" s="1734"/>
      <c r="K58" s="1733"/>
      <c r="L58" s="1734"/>
      <c r="M58" s="1735"/>
      <c r="N58" s="1733"/>
      <c r="P58" s="1736"/>
      <c r="Q58" s="1722"/>
    </row>
    <row r="59">
      <c r="A59" s="1732"/>
      <c r="C59" s="1706"/>
      <c r="D59" s="1706"/>
      <c r="E59" s="1706"/>
      <c r="F59" s="1733"/>
      <c r="G59" s="1734"/>
      <c r="H59" s="1733"/>
      <c r="I59" s="1706"/>
      <c r="J59" s="1734"/>
      <c r="K59" s="1733"/>
      <c r="L59" s="1734"/>
      <c r="M59" s="1735"/>
      <c r="N59" s="1733"/>
      <c r="P59" s="1736"/>
      <c r="Q59" s="1722"/>
    </row>
    <row r="60">
      <c r="A60" s="1732"/>
      <c r="C60" s="1706"/>
      <c r="D60" s="1706"/>
      <c r="E60" s="1706"/>
      <c r="F60" s="1733"/>
      <c r="G60" s="1734"/>
      <c r="H60" s="1733"/>
      <c r="I60" s="1706"/>
      <c r="J60" s="1734"/>
      <c r="K60" s="1733"/>
      <c r="L60" s="1734"/>
      <c r="M60" s="1735"/>
      <c r="N60" s="1733"/>
      <c r="P60" s="1736"/>
      <c r="Q60" s="1722"/>
    </row>
    <row r="61">
      <c r="A61" s="1732"/>
      <c r="C61" s="1706"/>
      <c r="D61" s="1706"/>
      <c r="E61" s="1706"/>
      <c r="F61" s="1733"/>
      <c r="G61" s="1734"/>
      <c r="H61" s="1733"/>
      <c r="I61" s="1706"/>
      <c r="J61" s="1734"/>
      <c r="K61" s="1733"/>
      <c r="L61" s="1734"/>
      <c r="M61" s="1735"/>
      <c r="N61" s="1733"/>
      <c r="P61" s="1736"/>
      <c r="Q61" s="1722"/>
    </row>
    <row r="62">
      <c r="A62" s="1732"/>
      <c r="C62" s="1706"/>
      <c r="D62" s="1706"/>
      <c r="E62" s="1706"/>
      <c r="F62" s="1733"/>
      <c r="G62" s="1734"/>
      <c r="H62" s="1733"/>
      <c r="I62" s="1706"/>
      <c r="J62" s="1734"/>
      <c r="K62" s="1733"/>
      <c r="L62" s="1734"/>
      <c r="M62" s="1735"/>
      <c r="N62" s="1733"/>
      <c r="P62" s="1736"/>
      <c r="Q62" s="1722"/>
    </row>
    <row r="63">
      <c r="A63" s="1732"/>
      <c r="C63" s="1706"/>
      <c r="D63" s="1706"/>
      <c r="E63" s="1706"/>
      <c r="F63" s="1733"/>
      <c r="G63" s="1734"/>
      <c r="H63" s="1733"/>
      <c r="I63" s="1706"/>
      <c r="J63" s="1734"/>
      <c r="K63" s="1733"/>
      <c r="L63" s="1734"/>
      <c r="M63" s="1735"/>
      <c r="N63" s="1733"/>
      <c r="P63" s="1736"/>
      <c r="Q63" s="1722"/>
    </row>
    <row r="64">
      <c r="A64" s="1732"/>
      <c r="C64" s="1706"/>
      <c r="D64" s="1706"/>
      <c r="E64" s="1706"/>
      <c r="F64" s="1733"/>
      <c r="G64" s="1734"/>
      <c r="H64" s="1733"/>
      <c r="I64" s="1706"/>
      <c r="J64" s="1734"/>
      <c r="K64" s="1733"/>
      <c r="L64" s="1734"/>
      <c r="M64" s="1735"/>
      <c r="N64" s="1733"/>
      <c r="P64" s="1736"/>
      <c r="Q64" s="1722"/>
    </row>
    <row r="65">
      <c r="A65" s="1732"/>
      <c r="C65" s="1706"/>
      <c r="D65" s="1706"/>
      <c r="E65" s="1706"/>
      <c r="F65" s="1733"/>
      <c r="G65" s="1734"/>
      <c r="H65" s="1733"/>
      <c r="I65" s="1706"/>
      <c r="J65" s="1734"/>
      <c r="K65" s="1733"/>
      <c r="L65" s="1734"/>
      <c r="M65" s="1735"/>
      <c r="N65" s="1733"/>
      <c r="P65" s="1736"/>
      <c r="Q65" s="1722"/>
    </row>
    <row r="66">
      <c r="A66" s="1732"/>
      <c r="C66" s="1706"/>
      <c r="D66" s="1706"/>
      <c r="E66" s="1706"/>
      <c r="F66" s="1733"/>
      <c r="G66" s="1734"/>
      <c r="H66" s="1733"/>
      <c r="I66" s="1706"/>
      <c r="J66" s="1734"/>
      <c r="K66" s="1733"/>
      <c r="L66" s="1734"/>
      <c r="M66" s="1735"/>
      <c r="N66" s="1733"/>
      <c r="P66" s="1736"/>
      <c r="Q66" s="1722"/>
    </row>
    <row r="67">
      <c r="A67" s="1732"/>
      <c r="C67" s="1706"/>
      <c r="D67" s="1706"/>
      <c r="E67" s="1706"/>
      <c r="F67" s="1733"/>
      <c r="G67" s="1734"/>
      <c r="H67" s="1733"/>
      <c r="I67" s="1706"/>
      <c r="J67" s="1734"/>
      <c r="K67" s="1733"/>
      <c r="L67" s="1734"/>
      <c r="M67" s="1735"/>
      <c r="N67" s="1733"/>
      <c r="P67" s="1736"/>
      <c r="Q67" s="1722"/>
    </row>
    <row r="68">
      <c r="A68" s="1732"/>
      <c r="C68" s="1706"/>
      <c r="D68" s="1706"/>
      <c r="E68" s="1706"/>
      <c r="F68" s="1733"/>
      <c r="G68" s="1734"/>
      <c r="H68" s="1733"/>
      <c r="I68" s="1706"/>
      <c r="J68" s="1734"/>
      <c r="K68" s="1733"/>
      <c r="L68" s="1734"/>
      <c r="M68" s="1735"/>
      <c r="N68" s="1733"/>
      <c r="P68" s="1736"/>
      <c r="Q68" s="1722"/>
    </row>
    <row r="69">
      <c r="A69" s="1732"/>
      <c r="C69" s="1706"/>
      <c r="D69" s="1706"/>
      <c r="E69" s="1706"/>
      <c r="F69" s="1733"/>
      <c r="G69" s="1734"/>
      <c r="H69" s="1733"/>
      <c r="I69" s="1706"/>
      <c r="J69" s="1734"/>
      <c r="K69" s="1733"/>
      <c r="L69" s="1734"/>
      <c r="M69" s="1735"/>
      <c r="N69" s="1733"/>
      <c r="P69" s="1736"/>
      <c r="Q69" s="1722"/>
    </row>
    <row r="70">
      <c r="A70" s="1732"/>
      <c r="C70" s="1706"/>
      <c r="D70" s="1706"/>
      <c r="E70" s="1706"/>
      <c r="F70" s="1733"/>
      <c r="G70" s="1734"/>
      <c r="H70" s="1733"/>
      <c r="I70" s="1706"/>
      <c r="J70" s="1734"/>
      <c r="K70" s="1733"/>
      <c r="L70" s="1734"/>
      <c r="M70" s="1735"/>
      <c r="N70" s="1733"/>
      <c r="P70" s="1736"/>
      <c r="Q70" s="1722"/>
    </row>
    <row r="71">
      <c r="A71" s="1732"/>
      <c r="C71" s="1706"/>
      <c r="D71" s="1706"/>
      <c r="E71" s="1706"/>
      <c r="F71" s="1733"/>
      <c r="G71" s="1734"/>
      <c r="H71" s="1733"/>
      <c r="I71" s="1706"/>
      <c r="J71" s="1734"/>
      <c r="K71" s="1733"/>
      <c r="L71" s="1734"/>
      <c r="M71" s="1735"/>
      <c r="N71" s="1733"/>
      <c r="P71" s="1736"/>
      <c r="Q71" s="1722"/>
    </row>
    <row r="72">
      <c r="A72" s="1732"/>
      <c r="C72" s="1706"/>
      <c r="D72" s="1706"/>
      <c r="E72" s="1706"/>
      <c r="F72" s="1733"/>
      <c r="G72" s="1734"/>
      <c r="H72" s="1733"/>
      <c r="I72" s="1706"/>
      <c r="J72" s="1734"/>
      <c r="K72" s="1733"/>
      <c r="L72" s="1734"/>
      <c r="M72" s="1735"/>
      <c r="N72" s="1733"/>
      <c r="P72" s="1736"/>
      <c r="Q72" s="1722"/>
    </row>
    <row r="73">
      <c r="A73" s="1732"/>
      <c r="C73" s="1706"/>
      <c r="D73" s="1706"/>
      <c r="E73" s="1706"/>
      <c r="F73" s="1733"/>
      <c r="G73" s="1734"/>
      <c r="H73" s="1733"/>
      <c r="I73" s="1706"/>
      <c r="J73" s="1734"/>
      <c r="K73" s="1733"/>
      <c r="L73" s="1734"/>
      <c r="M73" s="1735"/>
      <c r="N73" s="1733"/>
      <c r="P73" s="1736"/>
      <c r="Q73" s="1722"/>
    </row>
    <row r="74">
      <c r="A74" s="1732"/>
      <c r="C74" s="1706"/>
      <c r="D74" s="1706"/>
      <c r="E74" s="1706"/>
      <c r="F74" s="1733"/>
      <c r="G74" s="1734"/>
      <c r="H74" s="1733"/>
      <c r="I74" s="1706"/>
      <c r="J74" s="1734"/>
      <c r="K74" s="1733"/>
      <c r="L74" s="1734"/>
      <c r="M74" s="1735"/>
      <c r="N74" s="1733"/>
      <c r="P74" s="1736"/>
      <c r="Q74" s="1722"/>
    </row>
    <row r="75">
      <c r="A75" s="1732"/>
      <c r="C75" s="1706"/>
      <c r="D75" s="1706"/>
      <c r="E75" s="1706"/>
      <c r="F75" s="1733"/>
      <c r="G75" s="1734"/>
      <c r="H75" s="1733"/>
      <c r="I75" s="1706"/>
      <c r="J75" s="1734"/>
      <c r="K75" s="1733"/>
      <c r="L75" s="1734"/>
      <c r="M75" s="1735"/>
      <c r="N75" s="1733"/>
      <c r="P75" s="1736"/>
      <c r="Q75" s="1722"/>
    </row>
    <row r="76">
      <c r="A76" s="1732"/>
      <c r="C76" s="1706"/>
      <c r="D76" s="1706"/>
      <c r="E76" s="1706"/>
      <c r="F76" s="1733"/>
      <c r="G76" s="1734"/>
      <c r="H76" s="1733"/>
      <c r="I76" s="1706"/>
      <c r="J76" s="1734"/>
      <c r="K76" s="1733"/>
      <c r="L76" s="1734"/>
      <c r="M76" s="1735"/>
      <c r="N76" s="1733"/>
      <c r="P76" s="1736"/>
      <c r="Q76" s="1722"/>
    </row>
    <row r="77">
      <c r="A77" s="1732"/>
      <c r="C77" s="1706"/>
      <c r="D77" s="1706"/>
      <c r="E77" s="1706"/>
      <c r="F77" s="1733"/>
      <c r="G77" s="1734"/>
      <c r="H77" s="1733"/>
      <c r="I77" s="1706"/>
      <c r="J77" s="1734"/>
      <c r="K77" s="1733"/>
      <c r="L77" s="1734"/>
      <c r="M77" s="1735"/>
      <c r="N77" s="1733"/>
      <c r="P77" s="1736"/>
      <c r="Q77" s="1722"/>
    </row>
    <row r="78">
      <c r="A78" s="1732"/>
      <c r="C78" s="1706"/>
      <c r="D78" s="1706"/>
      <c r="E78" s="1706"/>
      <c r="F78" s="1733"/>
      <c r="G78" s="1734"/>
      <c r="H78" s="1733"/>
      <c r="I78" s="1706"/>
      <c r="J78" s="1734"/>
      <c r="K78" s="1733"/>
      <c r="L78" s="1734"/>
      <c r="M78" s="1735"/>
      <c r="N78" s="1733"/>
      <c r="P78" s="1736"/>
      <c r="Q78" s="1722"/>
    </row>
    <row r="79">
      <c r="A79" s="1732"/>
      <c r="C79" s="1706"/>
      <c r="D79" s="1706"/>
      <c r="E79" s="1706"/>
      <c r="F79" s="1733"/>
      <c r="G79" s="1734"/>
      <c r="H79" s="1733"/>
      <c r="I79" s="1706"/>
      <c r="J79" s="1734"/>
      <c r="K79" s="1733"/>
      <c r="L79" s="1734"/>
      <c r="M79" s="1735"/>
      <c r="N79" s="1733"/>
      <c r="P79" s="1736"/>
      <c r="Q79" s="1722"/>
    </row>
    <row r="80">
      <c r="A80" s="1732"/>
      <c r="C80" s="1706"/>
      <c r="D80" s="1706"/>
      <c r="E80" s="1706"/>
      <c r="F80" s="1733"/>
      <c r="G80" s="1734"/>
      <c r="H80" s="1733"/>
      <c r="I80" s="1706"/>
      <c r="J80" s="1734"/>
      <c r="K80" s="1733"/>
      <c r="L80" s="1734"/>
      <c r="M80" s="1735"/>
      <c r="N80" s="1733"/>
      <c r="P80" s="1736"/>
      <c r="Q80" s="1722"/>
    </row>
    <row r="81">
      <c r="A81" s="1732"/>
      <c r="C81" s="1706"/>
      <c r="D81" s="1706"/>
      <c r="E81" s="1706"/>
      <c r="F81" s="1733"/>
      <c r="G81" s="1734"/>
      <c r="H81" s="1733"/>
      <c r="I81" s="1706"/>
      <c r="J81" s="1734"/>
      <c r="K81" s="1733"/>
      <c r="L81" s="1734"/>
      <c r="M81" s="1735"/>
      <c r="N81" s="1733"/>
      <c r="P81" s="1736"/>
      <c r="Q81" s="1722"/>
    </row>
    <row r="82">
      <c r="A82" s="1732"/>
      <c r="C82" s="1706"/>
      <c r="D82" s="1706"/>
      <c r="E82" s="1706"/>
      <c r="F82" s="1733"/>
      <c r="G82" s="1734"/>
      <c r="H82" s="1733"/>
      <c r="I82" s="1706"/>
      <c r="J82" s="1734"/>
      <c r="K82" s="1733"/>
      <c r="L82" s="1734"/>
      <c r="M82" s="1735"/>
      <c r="N82" s="1733"/>
      <c r="P82" s="1736"/>
      <c r="Q82" s="1722"/>
    </row>
    <row r="83">
      <c r="A83" s="1732"/>
      <c r="C83" s="1706"/>
      <c r="D83" s="1706"/>
      <c r="E83" s="1706"/>
      <c r="F83" s="1733"/>
      <c r="G83" s="1734"/>
      <c r="H83" s="1733"/>
      <c r="I83" s="1706"/>
      <c r="J83" s="1734"/>
      <c r="K83" s="1733"/>
      <c r="L83" s="1734"/>
      <c r="M83" s="1735"/>
      <c r="N83" s="1733"/>
      <c r="P83" s="1736"/>
      <c r="Q83" s="1722"/>
    </row>
    <row r="84">
      <c r="A84" s="1732"/>
      <c r="C84" s="1706"/>
      <c r="D84" s="1706"/>
      <c r="E84" s="1706"/>
      <c r="F84" s="1733"/>
      <c r="G84" s="1734"/>
      <c r="H84" s="1733"/>
      <c r="I84" s="1706"/>
      <c r="J84" s="1734"/>
      <c r="K84" s="1733"/>
      <c r="L84" s="1734"/>
      <c r="M84" s="1735"/>
      <c r="N84" s="1733"/>
      <c r="P84" s="1736"/>
      <c r="Q84" s="1722"/>
    </row>
    <row r="85">
      <c r="A85" s="1732"/>
      <c r="C85" s="1706"/>
      <c r="D85" s="1706"/>
      <c r="E85" s="1706"/>
      <c r="F85" s="1733"/>
      <c r="G85" s="1734"/>
      <c r="H85" s="1733"/>
      <c r="I85" s="1706"/>
      <c r="J85" s="1734"/>
      <c r="K85" s="1733"/>
      <c r="L85" s="1734"/>
      <c r="M85" s="1735"/>
      <c r="N85" s="1733"/>
      <c r="P85" s="1736"/>
      <c r="Q85" s="1722"/>
    </row>
    <row r="86">
      <c r="A86" s="1732"/>
      <c r="C86" s="1706"/>
      <c r="D86" s="1706"/>
      <c r="E86" s="1706"/>
      <c r="F86" s="1733"/>
      <c r="G86" s="1734"/>
      <c r="H86" s="1733"/>
      <c r="I86" s="1706"/>
      <c r="J86" s="1734"/>
      <c r="K86" s="1733"/>
      <c r="L86" s="1734"/>
      <c r="M86" s="1735"/>
      <c r="N86" s="1733"/>
      <c r="P86" s="1736"/>
      <c r="Q86" s="1722"/>
    </row>
    <row r="87">
      <c r="A87" s="1732"/>
      <c r="C87" s="1706"/>
      <c r="D87" s="1706"/>
      <c r="E87" s="1706"/>
      <c r="F87" s="1733"/>
      <c r="G87" s="1734"/>
      <c r="H87" s="1733"/>
      <c r="I87" s="1706"/>
      <c r="J87" s="1734"/>
      <c r="K87" s="1733"/>
      <c r="L87" s="1734"/>
      <c r="M87" s="1735"/>
      <c r="N87" s="1733"/>
      <c r="P87" s="1736"/>
      <c r="Q87" s="1722"/>
    </row>
    <row r="88">
      <c r="A88" s="1732"/>
      <c r="C88" s="1706"/>
      <c r="D88" s="1706"/>
      <c r="E88" s="1706"/>
      <c r="F88" s="1733"/>
      <c r="G88" s="1734"/>
      <c r="H88" s="1733"/>
      <c r="I88" s="1706"/>
      <c r="J88" s="1734"/>
      <c r="K88" s="1733"/>
      <c r="L88" s="1734"/>
      <c r="M88" s="1735"/>
      <c r="N88" s="1733"/>
      <c r="P88" s="1736"/>
      <c r="Q88" s="1722"/>
    </row>
    <row r="89">
      <c r="A89" s="1732"/>
      <c r="C89" s="1706"/>
      <c r="D89" s="1706"/>
      <c r="E89" s="1706"/>
      <c r="F89" s="1733"/>
      <c r="G89" s="1734"/>
      <c r="H89" s="1733"/>
      <c r="I89" s="1706"/>
      <c r="J89" s="1734"/>
      <c r="K89" s="1733"/>
      <c r="L89" s="1734"/>
      <c r="M89" s="1735"/>
      <c r="N89" s="1733"/>
      <c r="P89" s="1736"/>
      <c r="Q89" s="1722"/>
    </row>
    <row r="90">
      <c r="A90" s="1732"/>
      <c r="C90" s="1706"/>
      <c r="D90" s="1706"/>
      <c r="E90" s="1706"/>
      <c r="F90" s="1733"/>
      <c r="G90" s="1734"/>
      <c r="H90" s="1733"/>
      <c r="I90" s="1706"/>
      <c r="J90" s="1734"/>
      <c r="K90" s="1733"/>
      <c r="L90" s="1734"/>
      <c r="M90" s="1735"/>
      <c r="N90" s="1733"/>
      <c r="P90" s="1736"/>
      <c r="Q90" s="1722"/>
    </row>
    <row r="91">
      <c r="A91" s="1732"/>
      <c r="C91" s="1706"/>
      <c r="D91" s="1706"/>
      <c r="E91" s="1706"/>
      <c r="F91" s="1733"/>
      <c r="G91" s="1734"/>
      <c r="H91" s="1733"/>
      <c r="I91" s="1706"/>
      <c r="J91" s="1734"/>
      <c r="K91" s="1733"/>
      <c r="L91" s="1734"/>
      <c r="M91" s="1735"/>
      <c r="N91" s="1733"/>
      <c r="P91" s="1736"/>
      <c r="Q91" s="1722"/>
    </row>
    <row r="92">
      <c r="A92" s="1732"/>
      <c r="C92" s="1706"/>
      <c r="D92" s="1706"/>
      <c r="E92" s="1706"/>
      <c r="F92" s="1733"/>
      <c r="G92" s="1734"/>
      <c r="H92" s="1733"/>
      <c r="I92" s="1706"/>
      <c r="J92" s="1734"/>
      <c r="K92" s="1733"/>
      <c r="L92" s="1734"/>
      <c r="M92" s="1735"/>
      <c r="N92" s="1733"/>
      <c r="P92" s="1736"/>
      <c r="Q92" s="1722"/>
    </row>
    <row r="93">
      <c r="A93" s="1732"/>
      <c r="C93" s="1706"/>
      <c r="D93" s="1706"/>
      <c r="E93" s="1706"/>
      <c r="F93" s="1733"/>
      <c r="G93" s="1734"/>
      <c r="H93" s="1733"/>
      <c r="I93" s="1706"/>
      <c r="J93" s="1734"/>
      <c r="K93" s="1733"/>
      <c r="L93" s="1734"/>
      <c r="M93" s="1735"/>
      <c r="N93" s="1733"/>
      <c r="P93" s="1736"/>
      <c r="Q93" s="1722"/>
    </row>
    <row r="94">
      <c r="A94" s="1732"/>
      <c r="C94" s="1706"/>
      <c r="D94" s="1706"/>
      <c r="E94" s="1706"/>
      <c r="F94" s="1733"/>
      <c r="G94" s="1734"/>
      <c r="H94" s="1733"/>
      <c r="I94" s="1706"/>
      <c r="J94" s="1734"/>
      <c r="K94" s="1733"/>
      <c r="L94" s="1734"/>
      <c r="M94" s="1735"/>
      <c r="N94" s="1733"/>
      <c r="P94" s="1736"/>
      <c r="Q94" s="1722"/>
    </row>
    <row r="95">
      <c r="A95" s="1732"/>
      <c r="C95" s="1706"/>
      <c r="D95" s="1706"/>
      <c r="E95" s="1706"/>
      <c r="F95" s="1733"/>
      <c r="G95" s="1734"/>
      <c r="H95" s="1733"/>
      <c r="I95" s="1706"/>
      <c r="J95" s="1734"/>
      <c r="K95" s="1733"/>
      <c r="L95" s="1734"/>
      <c r="M95" s="1735"/>
      <c r="N95" s="1733"/>
      <c r="P95" s="1736"/>
      <c r="Q95" s="1722"/>
    </row>
    <row r="96">
      <c r="A96" s="1732"/>
      <c r="C96" s="1706"/>
      <c r="D96" s="1706"/>
      <c r="E96" s="1706"/>
      <c r="F96" s="1733"/>
      <c r="G96" s="1734"/>
      <c r="H96" s="1733"/>
      <c r="I96" s="1706"/>
      <c r="J96" s="1734"/>
      <c r="K96" s="1733"/>
      <c r="L96" s="1734"/>
      <c r="M96" s="1735"/>
      <c r="N96" s="1733"/>
      <c r="P96" s="1736"/>
      <c r="Q96" s="1722"/>
    </row>
    <row r="97">
      <c r="A97" s="1732"/>
      <c r="C97" s="1706"/>
      <c r="D97" s="1706"/>
      <c r="E97" s="1706"/>
      <c r="F97" s="1733"/>
      <c r="G97" s="1734"/>
      <c r="H97" s="1733"/>
      <c r="I97" s="1706"/>
      <c r="J97" s="1734"/>
      <c r="K97" s="1733"/>
      <c r="L97" s="1734"/>
      <c r="M97" s="1735"/>
      <c r="N97" s="1733"/>
      <c r="P97" s="1736"/>
      <c r="Q97" s="1722"/>
    </row>
    <row r="98">
      <c r="A98" s="1732"/>
      <c r="C98" s="1706"/>
      <c r="D98" s="1706"/>
      <c r="E98" s="1706"/>
      <c r="F98" s="1733"/>
      <c r="G98" s="1734"/>
      <c r="H98" s="1733"/>
      <c r="I98" s="1706"/>
      <c r="J98" s="1734"/>
      <c r="K98" s="1733"/>
      <c r="L98" s="1734"/>
      <c r="M98" s="1735"/>
      <c r="N98" s="1733"/>
      <c r="P98" s="1736"/>
      <c r="Q98" s="1722"/>
    </row>
    <row r="99">
      <c r="A99" s="1732"/>
      <c r="C99" s="1706"/>
      <c r="D99" s="1706"/>
      <c r="E99" s="1706"/>
      <c r="F99" s="1733"/>
      <c r="G99" s="1734"/>
      <c r="H99" s="1733"/>
      <c r="I99" s="1706"/>
      <c r="J99" s="1734"/>
      <c r="K99" s="1733"/>
      <c r="L99" s="1734"/>
      <c r="M99" s="1735"/>
      <c r="N99" s="1733"/>
      <c r="P99" s="1736"/>
      <c r="Q99" s="1722"/>
    </row>
    <row r="100">
      <c r="A100" s="1732"/>
      <c r="C100" s="1706"/>
      <c r="D100" s="1706"/>
      <c r="E100" s="1706"/>
      <c r="F100" s="1733"/>
      <c r="G100" s="1734"/>
      <c r="H100" s="1733"/>
      <c r="I100" s="1706"/>
      <c r="J100" s="1734"/>
      <c r="K100" s="1733"/>
      <c r="L100" s="1734"/>
      <c r="M100" s="1735"/>
      <c r="N100" s="1733"/>
      <c r="P100" s="1736"/>
      <c r="Q100" s="1722"/>
    </row>
    <row r="101">
      <c r="A101" s="1732"/>
      <c r="C101" s="1706"/>
      <c r="D101" s="1706"/>
      <c r="E101" s="1706"/>
      <c r="F101" s="1733"/>
      <c r="G101" s="1734"/>
      <c r="H101" s="1733"/>
      <c r="I101" s="1706"/>
      <c r="J101" s="1734"/>
      <c r="K101" s="1733"/>
      <c r="L101" s="1734"/>
      <c r="M101" s="1735"/>
      <c r="N101" s="1733"/>
      <c r="P101" s="1736"/>
      <c r="Q101" s="1722"/>
    </row>
    <row r="102">
      <c r="A102" s="1732"/>
      <c r="C102" s="1706"/>
      <c r="D102" s="1706"/>
      <c r="E102" s="1706"/>
      <c r="F102" s="1733"/>
      <c r="G102" s="1734"/>
      <c r="H102" s="1733"/>
      <c r="I102" s="1706"/>
      <c r="J102" s="1734"/>
      <c r="K102" s="1733"/>
      <c r="L102" s="1734"/>
      <c r="M102" s="1735"/>
      <c r="N102" s="1733"/>
      <c r="P102" s="1736"/>
      <c r="Q102" s="1722"/>
    </row>
    <row r="103">
      <c r="A103" s="1732"/>
      <c r="C103" s="1706"/>
      <c r="D103" s="1706"/>
      <c r="E103" s="1706"/>
      <c r="F103" s="1733"/>
      <c r="G103" s="1734"/>
      <c r="H103" s="1733"/>
      <c r="I103" s="1706"/>
      <c r="J103" s="1734"/>
      <c r="K103" s="1733"/>
      <c r="L103" s="1734"/>
      <c r="M103" s="1735"/>
      <c r="N103" s="1733"/>
      <c r="P103" s="1736"/>
      <c r="Q103" s="1722"/>
    </row>
    <row r="104">
      <c r="A104" s="1732"/>
      <c r="C104" s="1706"/>
      <c r="D104" s="1706"/>
      <c r="E104" s="1706"/>
      <c r="F104" s="1733"/>
      <c r="G104" s="1734"/>
      <c r="H104" s="1733"/>
      <c r="I104" s="1706"/>
      <c r="J104" s="1734"/>
      <c r="K104" s="1733"/>
      <c r="L104" s="1734"/>
      <c r="M104" s="1735"/>
      <c r="N104" s="1733"/>
      <c r="P104" s="1736"/>
      <c r="Q104" s="1722"/>
    </row>
    <row r="105">
      <c r="A105" s="1732"/>
      <c r="C105" s="1706"/>
      <c r="D105" s="1706"/>
      <c r="E105" s="1706"/>
      <c r="F105" s="1733"/>
      <c r="G105" s="1734"/>
      <c r="H105" s="1733"/>
      <c r="I105" s="1706"/>
      <c r="J105" s="1734"/>
      <c r="K105" s="1733"/>
      <c r="L105" s="1734"/>
      <c r="M105" s="1735"/>
      <c r="N105" s="1733"/>
      <c r="P105" s="1736"/>
      <c r="Q105" s="1722"/>
    </row>
    <row r="106">
      <c r="A106" s="1732"/>
      <c r="C106" s="1706"/>
      <c r="D106" s="1706"/>
      <c r="E106" s="1706"/>
      <c r="F106" s="1733"/>
      <c r="G106" s="1734"/>
      <c r="H106" s="1733"/>
      <c r="I106" s="1706"/>
      <c r="J106" s="1734"/>
      <c r="K106" s="1733"/>
      <c r="L106" s="1734"/>
      <c r="M106" s="1735"/>
      <c r="N106" s="1733"/>
      <c r="P106" s="1736"/>
      <c r="Q106" s="1722"/>
    </row>
    <row r="107">
      <c r="A107" s="1732"/>
      <c r="C107" s="1706"/>
      <c r="D107" s="1706"/>
      <c r="E107" s="1706"/>
      <c r="F107" s="1733"/>
      <c r="G107" s="1734"/>
      <c r="H107" s="1733"/>
      <c r="I107" s="1706"/>
      <c r="J107" s="1734"/>
      <c r="K107" s="1733"/>
      <c r="L107" s="1734"/>
      <c r="M107" s="1735"/>
      <c r="N107" s="1733"/>
      <c r="P107" s="1736"/>
      <c r="Q107" s="1722"/>
    </row>
    <row r="108">
      <c r="A108" s="1732"/>
      <c r="C108" s="1706"/>
      <c r="D108" s="1706"/>
      <c r="E108" s="1706"/>
      <c r="F108" s="1733"/>
      <c r="G108" s="1734"/>
      <c r="H108" s="1733"/>
      <c r="I108" s="1706"/>
      <c r="J108" s="1734"/>
      <c r="K108" s="1733"/>
      <c r="L108" s="1734"/>
      <c r="M108" s="1735"/>
      <c r="N108" s="1733"/>
      <c r="P108" s="1736"/>
      <c r="Q108" s="1722"/>
    </row>
    <row r="109">
      <c r="A109" s="1732"/>
      <c r="C109" s="1706"/>
      <c r="D109" s="1706"/>
      <c r="E109" s="1706"/>
      <c r="F109" s="1733"/>
      <c r="G109" s="1734"/>
      <c r="H109" s="1733"/>
      <c r="I109" s="1706"/>
      <c r="J109" s="1734"/>
      <c r="K109" s="1733"/>
      <c r="L109" s="1734"/>
      <c r="M109" s="1735"/>
      <c r="N109" s="1733"/>
      <c r="P109" s="1736"/>
      <c r="Q109" s="1722"/>
    </row>
    <row r="110">
      <c r="A110" s="1732"/>
      <c r="C110" s="1706"/>
      <c r="D110" s="1706"/>
      <c r="E110" s="1706"/>
      <c r="F110" s="1733"/>
      <c r="G110" s="1734"/>
      <c r="H110" s="1733"/>
      <c r="I110" s="1706"/>
      <c r="J110" s="1734"/>
      <c r="K110" s="1733"/>
      <c r="L110" s="1734"/>
      <c r="M110" s="1735"/>
      <c r="N110" s="1733"/>
      <c r="P110" s="1736"/>
      <c r="Q110" s="1722"/>
    </row>
    <row r="111">
      <c r="A111" s="1732"/>
      <c r="C111" s="1706"/>
      <c r="D111" s="1706"/>
      <c r="E111" s="1706"/>
      <c r="F111" s="1733"/>
      <c r="G111" s="1734"/>
      <c r="H111" s="1733"/>
      <c r="I111" s="1706"/>
      <c r="J111" s="1734"/>
      <c r="K111" s="1733"/>
      <c r="L111" s="1734"/>
      <c r="M111" s="1735"/>
      <c r="N111" s="1733"/>
      <c r="P111" s="1736"/>
      <c r="Q111" s="1722"/>
    </row>
    <row r="112">
      <c r="A112" s="1732"/>
      <c r="C112" s="1706"/>
      <c r="D112" s="1706"/>
      <c r="E112" s="1706"/>
      <c r="F112" s="1733"/>
      <c r="G112" s="1734"/>
      <c r="H112" s="1733"/>
      <c r="I112" s="1706"/>
      <c r="J112" s="1734"/>
      <c r="K112" s="1733"/>
      <c r="L112" s="1734"/>
      <c r="M112" s="1735"/>
      <c r="N112" s="1733"/>
      <c r="P112" s="1736"/>
      <c r="Q112" s="1722"/>
    </row>
    <row r="113">
      <c r="A113" s="1732"/>
      <c r="C113" s="1706"/>
      <c r="D113" s="1706"/>
      <c r="E113" s="1706"/>
      <c r="F113" s="1733"/>
      <c r="G113" s="1734"/>
      <c r="H113" s="1733"/>
      <c r="I113" s="1706"/>
      <c r="J113" s="1734"/>
      <c r="K113" s="1733"/>
      <c r="L113" s="1734"/>
      <c r="M113" s="1735"/>
      <c r="N113" s="1733"/>
      <c r="P113" s="1736"/>
      <c r="Q113" s="1722"/>
    </row>
    <row r="114">
      <c r="A114" s="1732"/>
      <c r="C114" s="1706"/>
      <c r="D114" s="1706"/>
      <c r="E114" s="1706"/>
      <c r="F114" s="1733"/>
      <c r="G114" s="1734"/>
      <c r="H114" s="1733"/>
      <c r="I114" s="1706"/>
      <c r="J114" s="1734"/>
      <c r="K114" s="1733"/>
      <c r="L114" s="1734"/>
      <c r="M114" s="1735"/>
      <c r="N114" s="1733"/>
      <c r="P114" s="1736"/>
      <c r="Q114" s="1722"/>
    </row>
    <row r="115">
      <c r="A115" s="1732"/>
      <c r="C115" s="1706"/>
      <c r="D115" s="1706"/>
      <c r="E115" s="1706"/>
      <c r="F115" s="1733"/>
      <c r="G115" s="1734"/>
      <c r="H115" s="1733"/>
      <c r="I115" s="1706"/>
      <c r="J115" s="1734"/>
      <c r="K115" s="1733"/>
      <c r="L115" s="1734"/>
      <c r="M115" s="1735"/>
      <c r="N115" s="1733"/>
      <c r="P115" s="1736"/>
      <c r="Q115" s="1722"/>
    </row>
    <row r="116">
      <c r="A116" s="1732"/>
      <c r="C116" s="1706"/>
      <c r="D116" s="1706"/>
      <c r="E116" s="1706"/>
      <c r="F116" s="1733"/>
      <c r="G116" s="1734"/>
      <c r="H116" s="1733"/>
      <c r="I116" s="1706"/>
      <c r="J116" s="1734"/>
      <c r="K116" s="1733"/>
      <c r="L116" s="1734"/>
      <c r="M116" s="1735"/>
      <c r="N116" s="1733"/>
      <c r="P116" s="1736"/>
      <c r="Q116" s="1722"/>
    </row>
    <row r="117">
      <c r="A117" s="1732"/>
      <c r="C117" s="1706"/>
      <c r="D117" s="1706"/>
      <c r="E117" s="1706"/>
      <c r="F117" s="1733"/>
      <c r="G117" s="1734"/>
      <c r="H117" s="1733"/>
      <c r="I117" s="1706"/>
      <c r="J117" s="1734"/>
      <c r="K117" s="1733"/>
      <c r="L117" s="1734"/>
      <c r="M117" s="1735"/>
      <c r="N117" s="1733"/>
      <c r="P117" s="1736"/>
      <c r="Q117" s="1722"/>
    </row>
    <row r="118">
      <c r="A118" s="1732"/>
      <c r="C118" s="1706"/>
      <c r="D118" s="1706"/>
      <c r="E118" s="1706"/>
      <c r="F118" s="1733"/>
      <c r="G118" s="1734"/>
      <c r="H118" s="1733"/>
      <c r="I118" s="1706"/>
      <c r="J118" s="1734"/>
      <c r="K118" s="1733"/>
      <c r="L118" s="1734"/>
      <c r="M118" s="1735"/>
      <c r="N118" s="1733"/>
      <c r="P118" s="1736"/>
      <c r="Q118" s="1722"/>
    </row>
    <row r="119">
      <c r="A119" s="1732"/>
      <c r="C119" s="1706"/>
      <c r="D119" s="1706"/>
      <c r="E119" s="1706"/>
      <c r="F119" s="1733"/>
      <c r="G119" s="1734"/>
      <c r="H119" s="1733"/>
      <c r="I119" s="1706"/>
      <c r="J119" s="1734"/>
      <c r="K119" s="1733"/>
      <c r="L119" s="1734"/>
      <c r="M119" s="1735"/>
      <c r="N119" s="1733"/>
      <c r="P119" s="1736"/>
      <c r="Q119" s="1722"/>
    </row>
    <row r="120">
      <c r="A120" s="1732"/>
      <c r="C120" s="1706"/>
      <c r="D120" s="1706"/>
      <c r="E120" s="1706"/>
      <c r="F120" s="1733"/>
      <c r="G120" s="1734"/>
      <c r="H120" s="1733"/>
      <c r="I120" s="1706"/>
      <c r="J120" s="1734"/>
      <c r="K120" s="1733"/>
      <c r="L120" s="1734"/>
      <c r="M120" s="1735"/>
      <c r="N120" s="1733"/>
      <c r="P120" s="1736"/>
      <c r="Q120" s="1722"/>
    </row>
    <row r="121">
      <c r="A121" s="1732"/>
      <c r="C121" s="1706"/>
      <c r="D121" s="1706"/>
      <c r="E121" s="1706"/>
      <c r="F121" s="1733"/>
      <c r="G121" s="1734"/>
      <c r="H121" s="1733"/>
      <c r="I121" s="1706"/>
      <c r="J121" s="1734"/>
      <c r="K121" s="1733"/>
      <c r="L121" s="1734"/>
      <c r="M121" s="1735"/>
      <c r="N121" s="1733"/>
      <c r="P121" s="1736"/>
      <c r="Q121" s="1722"/>
    </row>
    <row r="122">
      <c r="A122" s="1732"/>
      <c r="C122" s="1706"/>
      <c r="D122" s="1706"/>
      <c r="E122" s="1706"/>
      <c r="F122" s="1733"/>
      <c r="G122" s="1734"/>
      <c r="H122" s="1733"/>
      <c r="I122" s="1706"/>
      <c r="J122" s="1734"/>
      <c r="K122" s="1733"/>
      <c r="L122" s="1734"/>
      <c r="M122" s="1735"/>
      <c r="N122" s="1733"/>
      <c r="P122" s="1736"/>
      <c r="Q122" s="1722"/>
    </row>
    <row r="123">
      <c r="A123" s="1732"/>
      <c r="C123" s="1706"/>
      <c r="D123" s="1706"/>
      <c r="E123" s="1706"/>
      <c r="F123" s="1733"/>
      <c r="G123" s="1734"/>
      <c r="H123" s="1733"/>
      <c r="I123" s="1706"/>
      <c r="J123" s="1734"/>
      <c r="K123" s="1733"/>
      <c r="L123" s="1734"/>
      <c r="M123" s="1735"/>
      <c r="N123" s="1733"/>
      <c r="P123" s="1736"/>
      <c r="Q123" s="1722"/>
    </row>
    <row r="124">
      <c r="A124" s="1732"/>
      <c r="C124" s="1706"/>
      <c r="D124" s="1706"/>
      <c r="E124" s="1706"/>
      <c r="F124" s="1733"/>
      <c r="G124" s="1734"/>
      <c r="H124" s="1733"/>
      <c r="I124" s="1706"/>
      <c r="J124" s="1734"/>
      <c r="K124" s="1733"/>
      <c r="L124" s="1734"/>
      <c r="M124" s="1735"/>
      <c r="N124" s="1733"/>
      <c r="P124" s="1736"/>
      <c r="Q124" s="1722"/>
    </row>
    <row r="125">
      <c r="A125" s="1732"/>
      <c r="C125" s="1706"/>
      <c r="D125" s="1706"/>
      <c r="E125" s="1706"/>
      <c r="F125" s="1733"/>
      <c r="G125" s="1734"/>
      <c r="H125" s="1733"/>
      <c r="I125" s="1706"/>
      <c r="J125" s="1734"/>
      <c r="K125" s="1733"/>
      <c r="L125" s="1734"/>
      <c r="M125" s="1735"/>
      <c r="N125" s="1733"/>
      <c r="P125" s="1736"/>
      <c r="Q125" s="1722"/>
    </row>
    <row r="126">
      <c r="A126" s="1732"/>
      <c r="C126" s="1706"/>
      <c r="D126" s="1706"/>
      <c r="E126" s="1706"/>
      <c r="F126" s="1733"/>
      <c r="G126" s="1734"/>
      <c r="H126" s="1733"/>
      <c r="I126" s="1706"/>
      <c r="J126" s="1734"/>
      <c r="K126" s="1733"/>
      <c r="L126" s="1734"/>
      <c r="M126" s="1735"/>
      <c r="N126" s="1733"/>
      <c r="P126" s="1736"/>
      <c r="Q126" s="1722"/>
    </row>
    <row r="127">
      <c r="A127" s="1732"/>
      <c r="C127" s="1706"/>
      <c r="D127" s="1706"/>
      <c r="E127" s="1706"/>
      <c r="F127" s="1733"/>
      <c r="G127" s="1734"/>
      <c r="H127" s="1733"/>
      <c r="I127" s="1706"/>
      <c r="J127" s="1734"/>
      <c r="K127" s="1733"/>
      <c r="L127" s="1734"/>
      <c r="M127" s="1735"/>
      <c r="N127" s="1733"/>
      <c r="P127" s="1736"/>
      <c r="Q127" s="1722"/>
    </row>
    <row r="128">
      <c r="A128" s="1732"/>
      <c r="C128" s="1706"/>
      <c r="D128" s="1706"/>
      <c r="E128" s="1706"/>
      <c r="F128" s="1733"/>
      <c r="G128" s="1734"/>
      <c r="H128" s="1733"/>
      <c r="I128" s="1706"/>
      <c r="J128" s="1734"/>
      <c r="K128" s="1733"/>
      <c r="L128" s="1734"/>
      <c r="M128" s="1735"/>
      <c r="N128" s="1733"/>
      <c r="P128" s="1736"/>
      <c r="Q128" s="1722"/>
    </row>
    <row r="129">
      <c r="A129" s="1732"/>
      <c r="C129" s="1706"/>
      <c r="D129" s="1706"/>
      <c r="E129" s="1706"/>
      <c r="F129" s="1733"/>
      <c r="G129" s="1734"/>
      <c r="H129" s="1733"/>
      <c r="I129" s="1706"/>
      <c r="J129" s="1734"/>
      <c r="K129" s="1733"/>
      <c r="L129" s="1734"/>
      <c r="M129" s="1735"/>
      <c r="N129" s="1733"/>
      <c r="P129" s="1736"/>
      <c r="Q129" s="1722"/>
    </row>
    <row r="130">
      <c r="A130" s="1732"/>
      <c r="C130" s="1706"/>
      <c r="D130" s="1706"/>
      <c r="E130" s="1706"/>
      <c r="F130" s="1733"/>
      <c r="G130" s="1734"/>
      <c r="H130" s="1733"/>
      <c r="I130" s="1706"/>
      <c r="J130" s="1734"/>
      <c r="K130" s="1733"/>
      <c r="L130" s="1734"/>
      <c r="M130" s="1735"/>
      <c r="N130" s="1733"/>
      <c r="P130" s="1736"/>
      <c r="Q130" s="1722"/>
    </row>
    <row r="131">
      <c r="A131" s="1732"/>
      <c r="C131" s="1706"/>
      <c r="D131" s="1706"/>
      <c r="E131" s="1706"/>
      <c r="F131" s="1733"/>
      <c r="G131" s="1734"/>
      <c r="H131" s="1733"/>
      <c r="I131" s="1706"/>
      <c r="J131" s="1734"/>
      <c r="K131" s="1733"/>
      <c r="L131" s="1734"/>
      <c r="M131" s="1735"/>
      <c r="N131" s="1733"/>
      <c r="P131" s="1736"/>
      <c r="Q131" s="1722"/>
    </row>
    <row r="132">
      <c r="A132" s="1732"/>
      <c r="C132" s="1706"/>
      <c r="D132" s="1706"/>
      <c r="E132" s="1706"/>
      <c r="F132" s="1733"/>
      <c r="G132" s="1734"/>
      <c r="H132" s="1733"/>
      <c r="I132" s="1706"/>
      <c r="J132" s="1734"/>
      <c r="K132" s="1733"/>
      <c r="L132" s="1734"/>
      <c r="M132" s="1735"/>
      <c r="N132" s="1733"/>
      <c r="P132" s="1736"/>
      <c r="Q132" s="1722"/>
    </row>
    <row r="133">
      <c r="A133" s="1732"/>
      <c r="C133" s="1706"/>
      <c r="D133" s="1706"/>
      <c r="E133" s="1706"/>
      <c r="F133" s="1733"/>
      <c r="G133" s="1734"/>
      <c r="H133" s="1733"/>
      <c r="I133" s="1706"/>
      <c r="J133" s="1734"/>
      <c r="K133" s="1733"/>
      <c r="L133" s="1734"/>
      <c r="M133" s="1735"/>
      <c r="N133" s="1733"/>
      <c r="P133" s="1736"/>
      <c r="Q133" s="1722"/>
    </row>
    <row r="134">
      <c r="A134" s="1732"/>
      <c r="C134" s="1706"/>
      <c r="D134" s="1706"/>
      <c r="E134" s="1706"/>
      <c r="F134" s="1733"/>
      <c r="G134" s="1734"/>
      <c r="H134" s="1733"/>
      <c r="I134" s="1706"/>
      <c r="J134" s="1734"/>
      <c r="K134" s="1733"/>
      <c r="L134" s="1734"/>
      <c r="M134" s="1735"/>
      <c r="N134" s="1733"/>
      <c r="P134" s="1736"/>
      <c r="Q134" s="1722"/>
    </row>
    <row r="135">
      <c r="A135" s="1732"/>
      <c r="C135" s="1706"/>
      <c r="D135" s="1706"/>
      <c r="E135" s="1706"/>
      <c r="F135" s="1733"/>
      <c r="G135" s="1734"/>
      <c r="H135" s="1733"/>
      <c r="I135" s="1706"/>
      <c r="J135" s="1734"/>
      <c r="K135" s="1733"/>
      <c r="L135" s="1734"/>
      <c r="M135" s="1735"/>
      <c r="N135" s="1733"/>
      <c r="P135" s="1736"/>
      <c r="Q135" s="1722"/>
    </row>
    <row r="136">
      <c r="A136" s="1732"/>
      <c r="C136" s="1706"/>
      <c r="D136" s="1706"/>
      <c r="E136" s="1706"/>
      <c r="F136" s="1733"/>
      <c r="G136" s="1734"/>
      <c r="H136" s="1733"/>
      <c r="I136" s="1706"/>
      <c r="J136" s="1734"/>
      <c r="K136" s="1733"/>
      <c r="L136" s="1734"/>
      <c r="M136" s="1735"/>
      <c r="N136" s="1733"/>
      <c r="P136" s="1736"/>
      <c r="Q136" s="1722"/>
    </row>
    <row r="137">
      <c r="A137" s="1732"/>
      <c r="C137" s="1706"/>
      <c r="D137" s="1706"/>
      <c r="E137" s="1706"/>
      <c r="F137" s="1733"/>
      <c r="G137" s="1734"/>
      <c r="H137" s="1733"/>
      <c r="I137" s="1706"/>
      <c r="J137" s="1734"/>
      <c r="K137" s="1733"/>
      <c r="L137" s="1734"/>
      <c r="M137" s="1735"/>
      <c r="N137" s="1733"/>
      <c r="P137" s="1736"/>
      <c r="Q137" s="1722"/>
    </row>
    <row r="138">
      <c r="A138" s="1732"/>
      <c r="C138" s="1706"/>
      <c r="D138" s="1706"/>
      <c r="E138" s="1706"/>
      <c r="F138" s="1733"/>
      <c r="G138" s="1734"/>
      <c r="H138" s="1733"/>
      <c r="I138" s="1706"/>
      <c r="J138" s="1734"/>
      <c r="K138" s="1733"/>
      <c r="L138" s="1734"/>
      <c r="M138" s="1735"/>
      <c r="N138" s="1733"/>
      <c r="P138" s="1736"/>
      <c r="Q138" s="1722"/>
    </row>
    <row r="139">
      <c r="A139" s="1732"/>
      <c r="C139" s="1706"/>
      <c r="D139" s="1706"/>
      <c r="E139" s="1706"/>
      <c r="F139" s="1733"/>
      <c r="G139" s="1734"/>
      <c r="H139" s="1733"/>
      <c r="I139" s="1706"/>
      <c r="J139" s="1734"/>
      <c r="K139" s="1733"/>
      <c r="L139" s="1734"/>
      <c r="M139" s="1735"/>
      <c r="N139" s="1733"/>
      <c r="P139" s="1736"/>
      <c r="Q139" s="1722"/>
    </row>
    <row r="140">
      <c r="A140" s="1732"/>
      <c r="C140" s="1706"/>
      <c r="D140" s="1706"/>
      <c r="E140" s="1706"/>
      <c r="F140" s="1733"/>
      <c r="G140" s="1734"/>
      <c r="H140" s="1733"/>
      <c r="I140" s="1706"/>
      <c r="J140" s="1734"/>
      <c r="K140" s="1733"/>
      <c r="L140" s="1734"/>
      <c r="M140" s="1735"/>
      <c r="N140" s="1733"/>
      <c r="P140" s="1736"/>
      <c r="Q140" s="1722"/>
    </row>
    <row r="141">
      <c r="A141" s="1732"/>
      <c r="C141" s="1706"/>
      <c r="D141" s="1706"/>
      <c r="E141" s="1706"/>
      <c r="F141" s="1733"/>
      <c r="G141" s="1734"/>
      <c r="H141" s="1733"/>
      <c r="I141" s="1706"/>
      <c r="J141" s="1734"/>
      <c r="K141" s="1733"/>
      <c r="L141" s="1734"/>
      <c r="M141" s="1735"/>
      <c r="N141" s="1733"/>
      <c r="P141" s="1736"/>
      <c r="Q141" s="1722"/>
    </row>
    <row r="142">
      <c r="A142" s="1732"/>
      <c r="C142" s="1706"/>
      <c r="D142" s="1706"/>
      <c r="E142" s="1706"/>
      <c r="F142" s="1733"/>
      <c r="G142" s="1734"/>
      <c r="H142" s="1733"/>
      <c r="I142" s="1706"/>
      <c r="J142" s="1734"/>
      <c r="K142" s="1733"/>
      <c r="L142" s="1734"/>
      <c r="M142" s="1735"/>
      <c r="N142" s="1733"/>
      <c r="P142" s="1736"/>
      <c r="Q142" s="1722"/>
    </row>
    <row r="143">
      <c r="A143" s="1732"/>
      <c r="C143" s="1706"/>
      <c r="D143" s="1706"/>
      <c r="E143" s="1706"/>
      <c r="F143" s="1733"/>
      <c r="G143" s="1734"/>
      <c r="H143" s="1733"/>
      <c r="I143" s="1706"/>
      <c r="J143" s="1734"/>
      <c r="K143" s="1733"/>
      <c r="L143" s="1734"/>
      <c r="M143" s="1735"/>
      <c r="N143" s="1733"/>
      <c r="P143" s="1736"/>
      <c r="Q143" s="1722"/>
    </row>
    <row r="144">
      <c r="A144" s="1732"/>
      <c r="C144" s="1706"/>
      <c r="D144" s="1706"/>
      <c r="E144" s="1706"/>
      <c r="F144" s="1733"/>
      <c r="G144" s="1734"/>
      <c r="H144" s="1733"/>
      <c r="I144" s="1706"/>
      <c r="J144" s="1734"/>
      <c r="K144" s="1733"/>
      <c r="L144" s="1734"/>
      <c r="M144" s="1735"/>
      <c r="N144" s="1733"/>
      <c r="P144" s="1736"/>
      <c r="Q144" s="1722"/>
    </row>
    <row r="145">
      <c r="A145" s="1732"/>
      <c r="C145" s="1706"/>
      <c r="D145" s="1706"/>
      <c r="E145" s="1706"/>
      <c r="F145" s="1733"/>
      <c r="G145" s="1734"/>
      <c r="H145" s="1733"/>
      <c r="I145" s="1706"/>
      <c r="J145" s="1734"/>
      <c r="K145" s="1733"/>
      <c r="L145" s="1734"/>
      <c r="M145" s="1735"/>
      <c r="N145" s="1733"/>
      <c r="P145" s="1736"/>
      <c r="Q145" s="1722"/>
    </row>
    <row r="146">
      <c r="A146" s="1732"/>
      <c r="C146" s="1706"/>
      <c r="D146" s="1706"/>
      <c r="E146" s="1706"/>
      <c r="F146" s="1733"/>
      <c r="G146" s="1734"/>
      <c r="H146" s="1733"/>
      <c r="I146" s="1706"/>
      <c r="J146" s="1734"/>
      <c r="K146" s="1733"/>
      <c r="L146" s="1734"/>
      <c r="M146" s="1735"/>
      <c r="N146" s="1733"/>
      <c r="P146" s="1736"/>
      <c r="Q146" s="1722"/>
    </row>
    <row r="147">
      <c r="A147" s="1732"/>
      <c r="C147" s="1706"/>
      <c r="D147" s="1706"/>
      <c r="E147" s="1706"/>
      <c r="F147" s="1733"/>
      <c r="G147" s="1734"/>
      <c r="H147" s="1733"/>
      <c r="I147" s="1706"/>
      <c r="J147" s="1734"/>
      <c r="K147" s="1733"/>
      <c r="L147" s="1734"/>
      <c r="M147" s="1735"/>
      <c r="N147" s="1733"/>
      <c r="P147" s="1736"/>
      <c r="Q147" s="1722"/>
    </row>
    <row r="148">
      <c r="A148" s="1732"/>
      <c r="C148" s="1706"/>
      <c r="D148" s="1706"/>
      <c r="E148" s="1706"/>
      <c r="F148" s="1733"/>
      <c r="G148" s="1734"/>
      <c r="H148" s="1733"/>
      <c r="I148" s="1706"/>
      <c r="J148" s="1734"/>
      <c r="K148" s="1733"/>
      <c r="L148" s="1734"/>
      <c r="M148" s="1735"/>
      <c r="N148" s="1733"/>
      <c r="P148" s="1736"/>
      <c r="Q148" s="1722"/>
    </row>
    <row r="149">
      <c r="A149" s="1732"/>
      <c r="C149" s="1706"/>
      <c r="D149" s="1706"/>
      <c r="E149" s="1706"/>
      <c r="F149" s="1733"/>
      <c r="G149" s="1734"/>
      <c r="H149" s="1733"/>
      <c r="I149" s="1706"/>
      <c r="J149" s="1734"/>
      <c r="K149" s="1733"/>
      <c r="L149" s="1734"/>
      <c r="M149" s="1735"/>
      <c r="N149" s="1733"/>
      <c r="P149" s="1736"/>
      <c r="Q149" s="1722"/>
    </row>
    <row r="150">
      <c r="A150" s="1732"/>
      <c r="C150" s="1706"/>
      <c r="D150" s="1706"/>
      <c r="E150" s="1706"/>
      <c r="F150" s="1733"/>
      <c r="G150" s="1734"/>
      <c r="H150" s="1733"/>
      <c r="I150" s="1706"/>
      <c r="J150" s="1734"/>
      <c r="K150" s="1733"/>
      <c r="L150" s="1734"/>
      <c r="M150" s="1735"/>
      <c r="N150" s="1733"/>
      <c r="P150" s="1736"/>
      <c r="Q150" s="1722"/>
    </row>
    <row r="151">
      <c r="A151" s="1732"/>
      <c r="C151" s="1706"/>
      <c r="D151" s="1706"/>
      <c r="E151" s="1706"/>
      <c r="F151" s="1733"/>
      <c r="G151" s="1734"/>
      <c r="H151" s="1733"/>
      <c r="I151" s="1706"/>
      <c r="J151" s="1734"/>
      <c r="K151" s="1733"/>
      <c r="L151" s="1734"/>
      <c r="M151" s="1735"/>
      <c r="N151" s="1733"/>
      <c r="P151" s="1736"/>
      <c r="Q151" s="1722"/>
    </row>
    <row r="152">
      <c r="A152" s="1732"/>
      <c r="C152" s="1706"/>
      <c r="D152" s="1706"/>
      <c r="E152" s="1706"/>
      <c r="F152" s="1733"/>
      <c r="G152" s="1734"/>
      <c r="H152" s="1733"/>
      <c r="I152" s="1706"/>
      <c r="J152" s="1734"/>
      <c r="K152" s="1733"/>
      <c r="L152" s="1734"/>
      <c r="M152" s="1735"/>
      <c r="N152" s="1733"/>
      <c r="P152" s="1736"/>
      <c r="Q152" s="1722"/>
    </row>
    <row r="153">
      <c r="A153" s="1732"/>
      <c r="C153" s="1706"/>
      <c r="D153" s="1706"/>
      <c r="E153" s="1706"/>
      <c r="F153" s="1733"/>
      <c r="G153" s="1734"/>
      <c r="H153" s="1733"/>
      <c r="I153" s="1706"/>
      <c r="J153" s="1734"/>
      <c r="K153" s="1733"/>
      <c r="L153" s="1734"/>
      <c r="M153" s="1735"/>
      <c r="N153" s="1733"/>
      <c r="P153" s="1736"/>
      <c r="Q153" s="1722"/>
    </row>
    <row r="154">
      <c r="A154" s="1732"/>
      <c r="C154" s="1706"/>
      <c r="D154" s="1706"/>
      <c r="E154" s="1706"/>
      <c r="F154" s="1733"/>
      <c r="G154" s="1734"/>
      <c r="H154" s="1733"/>
      <c r="I154" s="1706"/>
      <c r="J154" s="1734"/>
      <c r="K154" s="1733"/>
      <c r="L154" s="1734"/>
      <c r="M154" s="1735"/>
      <c r="N154" s="1733"/>
      <c r="P154" s="1736"/>
      <c r="Q154" s="1722"/>
    </row>
    <row r="155">
      <c r="A155" s="1732"/>
      <c r="C155" s="1706"/>
      <c r="D155" s="1706"/>
      <c r="E155" s="1706"/>
      <c r="F155" s="1733"/>
      <c r="G155" s="1734"/>
      <c r="H155" s="1733"/>
      <c r="I155" s="1706"/>
      <c r="J155" s="1734"/>
      <c r="K155" s="1733"/>
      <c r="L155" s="1734"/>
      <c r="M155" s="1735"/>
      <c r="N155" s="1733"/>
      <c r="P155" s="1736"/>
      <c r="Q155" s="1722"/>
    </row>
    <row r="156">
      <c r="A156" s="1732"/>
      <c r="C156" s="1706"/>
      <c r="D156" s="1706"/>
      <c r="E156" s="1706"/>
      <c r="F156" s="1733"/>
      <c r="G156" s="1734"/>
      <c r="H156" s="1733"/>
      <c r="I156" s="1706"/>
      <c r="J156" s="1734"/>
      <c r="K156" s="1733"/>
      <c r="L156" s="1734"/>
      <c r="M156" s="1735"/>
      <c r="N156" s="1733"/>
      <c r="P156" s="1736"/>
      <c r="Q156" s="1722"/>
    </row>
    <row r="157">
      <c r="A157" s="1732"/>
      <c r="C157" s="1706"/>
      <c r="D157" s="1706"/>
      <c r="E157" s="1706"/>
      <c r="F157" s="1733"/>
      <c r="G157" s="1734"/>
      <c r="H157" s="1733"/>
      <c r="I157" s="1706"/>
      <c r="J157" s="1734"/>
      <c r="K157" s="1733"/>
      <c r="L157" s="1734"/>
      <c r="M157" s="1735"/>
      <c r="N157" s="1733"/>
      <c r="P157" s="1736"/>
      <c r="Q157" s="1722"/>
    </row>
    <row r="158">
      <c r="A158" s="1732"/>
      <c r="C158" s="1706"/>
      <c r="D158" s="1706"/>
      <c r="E158" s="1706"/>
      <c r="F158" s="1733"/>
      <c r="G158" s="1734"/>
      <c r="H158" s="1733"/>
      <c r="I158" s="1706"/>
      <c r="J158" s="1734"/>
      <c r="K158" s="1733"/>
      <c r="L158" s="1734"/>
      <c r="M158" s="1735"/>
      <c r="N158" s="1733"/>
      <c r="P158" s="1736"/>
      <c r="Q158" s="1722"/>
    </row>
    <row r="159">
      <c r="A159" s="1732"/>
      <c r="C159" s="1706"/>
      <c r="D159" s="1706"/>
      <c r="E159" s="1706"/>
      <c r="F159" s="1733"/>
      <c r="G159" s="1734"/>
      <c r="H159" s="1733"/>
      <c r="I159" s="1706"/>
      <c r="J159" s="1734"/>
      <c r="K159" s="1733"/>
      <c r="L159" s="1734"/>
      <c r="M159" s="1735"/>
      <c r="N159" s="1733"/>
      <c r="P159" s="1736"/>
      <c r="Q159" s="1722"/>
    </row>
    <row r="160">
      <c r="A160" s="1732"/>
      <c r="C160" s="1706"/>
      <c r="D160" s="1706"/>
      <c r="E160" s="1706"/>
      <c r="F160" s="1733"/>
      <c r="G160" s="1734"/>
      <c r="H160" s="1733"/>
      <c r="I160" s="1706"/>
      <c r="J160" s="1734"/>
      <c r="K160" s="1733"/>
      <c r="L160" s="1734"/>
      <c r="M160" s="1735"/>
      <c r="N160" s="1733"/>
      <c r="P160" s="1736"/>
      <c r="Q160" s="1722"/>
    </row>
    <row r="161">
      <c r="A161" s="1732"/>
      <c r="C161" s="1706"/>
      <c r="D161" s="1706"/>
      <c r="E161" s="1706"/>
      <c r="F161" s="1733"/>
      <c r="G161" s="1734"/>
      <c r="H161" s="1733"/>
      <c r="I161" s="1706"/>
      <c r="J161" s="1734"/>
      <c r="K161" s="1733"/>
      <c r="L161" s="1734"/>
      <c r="M161" s="1735"/>
      <c r="N161" s="1733"/>
      <c r="P161" s="1736"/>
      <c r="Q161" s="1722"/>
    </row>
    <row r="162">
      <c r="A162" s="1732"/>
      <c r="C162" s="1706"/>
      <c r="D162" s="1706"/>
      <c r="E162" s="1706"/>
      <c r="F162" s="1733"/>
      <c r="G162" s="1734"/>
      <c r="H162" s="1733"/>
      <c r="I162" s="1706"/>
      <c r="J162" s="1734"/>
      <c r="K162" s="1733"/>
      <c r="L162" s="1734"/>
      <c r="M162" s="1735"/>
      <c r="N162" s="1733"/>
      <c r="P162" s="1736"/>
      <c r="Q162" s="1722"/>
    </row>
    <row r="163">
      <c r="A163" s="1732"/>
      <c r="C163" s="1706"/>
      <c r="D163" s="1706"/>
      <c r="E163" s="1706"/>
      <c r="F163" s="1733"/>
      <c r="G163" s="1734"/>
      <c r="H163" s="1733"/>
      <c r="I163" s="1706"/>
      <c r="J163" s="1734"/>
      <c r="K163" s="1733"/>
      <c r="L163" s="1734"/>
      <c r="M163" s="1735"/>
      <c r="N163" s="1733"/>
      <c r="P163" s="1736"/>
      <c r="Q163" s="1722"/>
    </row>
    <row r="164">
      <c r="A164" s="1732"/>
      <c r="C164" s="1706"/>
      <c r="D164" s="1706"/>
      <c r="E164" s="1706"/>
      <c r="F164" s="1733"/>
      <c r="G164" s="1734"/>
      <c r="H164" s="1733"/>
      <c r="I164" s="1706"/>
      <c r="J164" s="1734"/>
      <c r="K164" s="1733"/>
      <c r="L164" s="1734"/>
      <c r="M164" s="1735"/>
      <c r="N164" s="1733"/>
      <c r="P164" s="1736"/>
      <c r="Q164" s="1722"/>
    </row>
    <row r="165">
      <c r="A165" s="1732"/>
      <c r="C165" s="1706"/>
      <c r="D165" s="1706"/>
      <c r="E165" s="1706"/>
      <c r="F165" s="1733"/>
      <c r="G165" s="1734"/>
      <c r="H165" s="1733"/>
      <c r="I165" s="1706"/>
      <c r="J165" s="1734"/>
      <c r="K165" s="1733"/>
      <c r="L165" s="1734"/>
      <c r="M165" s="1735"/>
      <c r="N165" s="1733"/>
      <c r="P165" s="1736"/>
      <c r="Q165" s="1722"/>
    </row>
    <row r="166">
      <c r="A166" s="1732"/>
      <c r="C166" s="1706"/>
      <c r="D166" s="1706"/>
      <c r="E166" s="1706"/>
      <c r="F166" s="1733"/>
      <c r="G166" s="1734"/>
      <c r="H166" s="1733"/>
      <c r="I166" s="1706"/>
      <c r="J166" s="1734"/>
      <c r="K166" s="1733"/>
      <c r="L166" s="1734"/>
      <c r="M166" s="1735"/>
      <c r="N166" s="1733"/>
      <c r="P166" s="1736"/>
      <c r="Q166" s="1722"/>
    </row>
    <row r="167">
      <c r="A167" s="1732"/>
      <c r="C167" s="1706"/>
      <c r="D167" s="1706"/>
      <c r="E167" s="1706"/>
      <c r="F167" s="1733"/>
      <c r="G167" s="1734"/>
      <c r="H167" s="1733"/>
      <c r="I167" s="1706"/>
      <c r="J167" s="1734"/>
      <c r="K167" s="1733"/>
      <c r="L167" s="1734"/>
      <c r="M167" s="1735"/>
      <c r="N167" s="1733"/>
      <c r="P167" s="1736"/>
      <c r="Q167" s="1722"/>
    </row>
    <row r="168">
      <c r="A168" s="1732"/>
      <c r="C168" s="1706"/>
      <c r="D168" s="1706"/>
      <c r="E168" s="1706"/>
      <c r="F168" s="1733"/>
      <c r="G168" s="1734"/>
      <c r="H168" s="1733"/>
      <c r="I168" s="1706"/>
      <c r="J168" s="1734"/>
      <c r="K168" s="1733"/>
      <c r="L168" s="1734"/>
      <c r="M168" s="1735"/>
      <c r="N168" s="1733"/>
      <c r="P168" s="1736"/>
      <c r="Q168" s="1722"/>
    </row>
    <row r="169">
      <c r="A169" s="1732"/>
      <c r="C169" s="1706"/>
      <c r="D169" s="1706"/>
      <c r="E169" s="1706"/>
      <c r="F169" s="1733"/>
      <c r="G169" s="1734"/>
      <c r="H169" s="1733"/>
      <c r="I169" s="1706"/>
      <c r="J169" s="1734"/>
      <c r="K169" s="1733"/>
      <c r="L169" s="1734"/>
      <c r="M169" s="1735"/>
      <c r="N169" s="1733"/>
      <c r="P169" s="1736"/>
      <c r="Q169" s="1722"/>
    </row>
    <row r="170">
      <c r="A170" s="1732"/>
      <c r="C170" s="1706"/>
      <c r="D170" s="1706"/>
      <c r="E170" s="1706"/>
      <c r="F170" s="1733"/>
      <c r="G170" s="1734"/>
      <c r="H170" s="1733"/>
      <c r="I170" s="1706"/>
      <c r="J170" s="1734"/>
      <c r="K170" s="1733"/>
      <c r="L170" s="1734"/>
      <c r="M170" s="1735"/>
      <c r="N170" s="1733"/>
      <c r="P170" s="1736"/>
      <c r="Q170" s="1722"/>
    </row>
    <row r="171">
      <c r="A171" s="1732"/>
      <c r="C171" s="1706"/>
      <c r="D171" s="1706"/>
      <c r="E171" s="1706"/>
      <c r="F171" s="1733"/>
      <c r="G171" s="1734"/>
      <c r="H171" s="1733"/>
      <c r="I171" s="1706"/>
      <c r="J171" s="1734"/>
      <c r="K171" s="1733"/>
      <c r="L171" s="1734"/>
      <c r="M171" s="1735"/>
      <c r="N171" s="1733"/>
      <c r="P171" s="1736"/>
      <c r="Q171" s="1722"/>
    </row>
    <row r="172">
      <c r="A172" s="1732"/>
      <c r="C172" s="1706"/>
      <c r="D172" s="1706"/>
      <c r="E172" s="1706"/>
      <c r="F172" s="1733"/>
      <c r="G172" s="1734"/>
      <c r="H172" s="1733"/>
      <c r="I172" s="1706"/>
      <c r="J172" s="1734"/>
      <c r="K172" s="1733"/>
      <c r="L172" s="1734"/>
      <c r="M172" s="1735"/>
      <c r="N172" s="1733"/>
      <c r="P172" s="1736"/>
      <c r="Q172" s="1722"/>
    </row>
    <row r="173">
      <c r="A173" s="1732"/>
      <c r="C173" s="1706"/>
      <c r="D173" s="1706"/>
      <c r="E173" s="1706"/>
      <c r="F173" s="1733"/>
      <c r="G173" s="1734"/>
      <c r="H173" s="1733"/>
      <c r="I173" s="1706"/>
      <c r="J173" s="1734"/>
      <c r="K173" s="1733"/>
      <c r="L173" s="1734"/>
      <c r="M173" s="1735"/>
      <c r="N173" s="1733"/>
      <c r="P173" s="1736"/>
      <c r="Q173" s="1722"/>
    </row>
    <row r="174">
      <c r="A174" s="1732"/>
      <c r="C174" s="1706"/>
      <c r="D174" s="1706"/>
      <c r="E174" s="1706"/>
      <c r="F174" s="1733"/>
      <c r="G174" s="1734"/>
      <c r="H174" s="1733"/>
      <c r="I174" s="1706"/>
      <c r="J174" s="1734"/>
      <c r="K174" s="1733"/>
      <c r="L174" s="1734"/>
      <c r="M174" s="1735"/>
      <c r="N174" s="1733"/>
      <c r="P174" s="1736"/>
      <c r="Q174" s="1722"/>
    </row>
    <row r="175">
      <c r="A175" s="1732"/>
      <c r="C175" s="1706"/>
      <c r="D175" s="1706"/>
      <c r="E175" s="1706"/>
      <c r="F175" s="1733"/>
      <c r="G175" s="1734"/>
      <c r="H175" s="1733"/>
      <c r="I175" s="1706"/>
      <c r="J175" s="1734"/>
      <c r="K175" s="1733"/>
      <c r="L175" s="1734"/>
      <c r="M175" s="1735"/>
      <c r="N175" s="1733"/>
      <c r="P175" s="1736"/>
      <c r="Q175" s="1722"/>
    </row>
    <row r="176">
      <c r="A176" s="1732"/>
      <c r="C176" s="1706"/>
      <c r="D176" s="1706"/>
      <c r="E176" s="1706"/>
      <c r="F176" s="1733"/>
      <c r="G176" s="1734"/>
      <c r="H176" s="1733"/>
      <c r="I176" s="1706"/>
      <c r="J176" s="1734"/>
      <c r="K176" s="1733"/>
      <c r="L176" s="1734"/>
      <c r="M176" s="1735"/>
      <c r="N176" s="1733"/>
      <c r="P176" s="1736"/>
      <c r="Q176" s="1722"/>
    </row>
    <row r="177">
      <c r="A177" s="1732"/>
      <c r="C177" s="1706"/>
      <c r="D177" s="1706"/>
      <c r="E177" s="1706"/>
      <c r="F177" s="1733"/>
      <c r="G177" s="1734"/>
      <c r="H177" s="1733"/>
      <c r="I177" s="1706"/>
      <c r="J177" s="1734"/>
      <c r="K177" s="1733"/>
      <c r="L177" s="1734"/>
      <c r="M177" s="1735"/>
      <c r="N177" s="1733"/>
      <c r="P177" s="1736"/>
      <c r="Q177" s="1722"/>
    </row>
    <row r="178">
      <c r="A178" s="1732"/>
      <c r="C178" s="1706"/>
      <c r="D178" s="1706"/>
      <c r="E178" s="1706"/>
      <c r="F178" s="1733"/>
      <c r="G178" s="1734"/>
      <c r="H178" s="1733"/>
      <c r="I178" s="1706"/>
      <c r="J178" s="1734"/>
      <c r="K178" s="1733"/>
      <c r="L178" s="1734"/>
      <c r="M178" s="1735"/>
      <c r="N178" s="1733"/>
      <c r="P178" s="1736"/>
      <c r="Q178" s="1722"/>
    </row>
    <row r="179">
      <c r="A179" s="1732"/>
      <c r="C179" s="1706"/>
      <c r="D179" s="1706"/>
      <c r="E179" s="1706"/>
      <c r="F179" s="1733"/>
      <c r="G179" s="1734"/>
      <c r="H179" s="1733"/>
      <c r="I179" s="1706"/>
      <c r="J179" s="1734"/>
      <c r="K179" s="1733"/>
      <c r="L179" s="1734"/>
      <c r="M179" s="1735"/>
      <c r="N179" s="1733"/>
      <c r="P179" s="1736"/>
      <c r="Q179" s="1722"/>
    </row>
    <row r="180">
      <c r="A180" s="1732"/>
      <c r="C180" s="1706"/>
      <c r="D180" s="1706"/>
      <c r="E180" s="1706"/>
      <c r="F180" s="1733"/>
      <c r="G180" s="1734"/>
      <c r="H180" s="1733"/>
      <c r="I180" s="1706"/>
      <c r="J180" s="1734"/>
      <c r="K180" s="1733"/>
      <c r="L180" s="1734"/>
      <c r="M180" s="1735"/>
      <c r="N180" s="1733"/>
      <c r="P180" s="1736"/>
      <c r="Q180" s="1722"/>
    </row>
    <row r="181">
      <c r="A181" s="1732"/>
      <c r="C181" s="1706"/>
      <c r="D181" s="1706"/>
      <c r="E181" s="1706"/>
      <c r="F181" s="1733"/>
      <c r="G181" s="1734"/>
      <c r="H181" s="1733"/>
      <c r="I181" s="1706"/>
      <c r="J181" s="1734"/>
      <c r="K181" s="1733"/>
      <c r="L181" s="1734"/>
      <c r="M181" s="1735"/>
      <c r="N181" s="1733"/>
      <c r="P181" s="1736"/>
      <c r="Q181" s="1722"/>
    </row>
    <row r="182">
      <c r="A182" s="1732"/>
      <c r="C182" s="1706"/>
      <c r="D182" s="1706"/>
      <c r="E182" s="1706"/>
      <c r="F182" s="1733"/>
      <c r="G182" s="1734"/>
      <c r="H182" s="1733"/>
      <c r="I182" s="1706"/>
      <c r="J182" s="1734"/>
      <c r="K182" s="1733"/>
      <c r="L182" s="1734"/>
      <c r="M182" s="1735"/>
      <c r="N182" s="1733"/>
      <c r="P182" s="1736"/>
      <c r="Q182" s="1722"/>
    </row>
    <row r="183">
      <c r="A183" s="1732"/>
      <c r="C183" s="1706"/>
      <c r="D183" s="1706"/>
      <c r="E183" s="1706"/>
      <c r="F183" s="1733"/>
      <c r="G183" s="1734"/>
      <c r="H183" s="1733"/>
      <c r="I183" s="1706"/>
      <c r="J183" s="1734"/>
      <c r="K183" s="1733"/>
      <c r="L183" s="1734"/>
      <c r="M183" s="1735"/>
      <c r="N183" s="1733"/>
      <c r="P183" s="1736"/>
      <c r="Q183" s="1722"/>
    </row>
    <row r="184">
      <c r="A184" s="1732"/>
      <c r="C184" s="1706"/>
      <c r="D184" s="1706"/>
      <c r="E184" s="1706"/>
      <c r="F184" s="1733"/>
      <c r="G184" s="1734"/>
      <c r="H184" s="1733"/>
      <c r="I184" s="1706"/>
      <c r="J184" s="1734"/>
      <c r="K184" s="1733"/>
      <c r="L184" s="1734"/>
      <c r="M184" s="1735"/>
      <c r="N184" s="1733"/>
      <c r="P184" s="1736"/>
      <c r="Q184" s="1722"/>
    </row>
    <row r="185">
      <c r="A185" s="1732"/>
      <c r="C185" s="1706"/>
      <c r="D185" s="1706"/>
      <c r="E185" s="1706"/>
      <c r="F185" s="1733"/>
      <c r="G185" s="1734"/>
      <c r="H185" s="1733"/>
      <c r="I185" s="1706"/>
      <c r="J185" s="1734"/>
      <c r="K185" s="1733"/>
      <c r="L185" s="1734"/>
      <c r="M185" s="1735"/>
      <c r="N185" s="1733"/>
      <c r="P185" s="1736"/>
      <c r="Q185" s="1722"/>
    </row>
    <row r="186">
      <c r="A186" s="1732"/>
      <c r="C186" s="1706"/>
      <c r="D186" s="1706"/>
      <c r="E186" s="1706"/>
      <c r="F186" s="1733"/>
      <c r="G186" s="1734"/>
      <c r="H186" s="1733"/>
      <c r="I186" s="1706"/>
      <c r="J186" s="1734"/>
      <c r="K186" s="1733"/>
      <c r="L186" s="1734"/>
      <c r="M186" s="1735"/>
      <c r="N186" s="1733"/>
      <c r="P186" s="1736"/>
      <c r="Q186" s="1722"/>
    </row>
    <row r="187">
      <c r="A187" s="1732"/>
      <c r="C187" s="1706"/>
      <c r="D187" s="1706"/>
      <c r="E187" s="1706"/>
      <c r="F187" s="1733"/>
      <c r="G187" s="1734"/>
      <c r="H187" s="1733"/>
      <c r="I187" s="1706"/>
      <c r="J187" s="1734"/>
      <c r="K187" s="1733"/>
      <c r="L187" s="1734"/>
      <c r="M187" s="1735"/>
      <c r="N187" s="1733"/>
      <c r="P187" s="1736"/>
      <c r="Q187" s="1722"/>
    </row>
    <row r="188">
      <c r="A188" s="1732"/>
      <c r="C188" s="1706"/>
      <c r="D188" s="1706"/>
      <c r="E188" s="1706"/>
      <c r="F188" s="1733"/>
      <c r="G188" s="1734"/>
      <c r="H188" s="1733"/>
      <c r="I188" s="1706"/>
      <c r="J188" s="1734"/>
      <c r="K188" s="1733"/>
      <c r="L188" s="1734"/>
      <c r="M188" s="1735"/>
      <c r="N188" s="1733"/>
      <c r="P188" s="1736"/>
      <c r="Q188" s="1722"/>
    </row>
    <row r="189">
      <c r="A189" s="1732"/>
      <c r="C189" s="1706"/>
      <c r="D189" s="1706"/>
      <c r="E189" s="1706"/>
      <c r="F189" s="1733"/>
      <c r="G189" s="1734"/>
      <c r="H189" s="1733"/>
      <c r="I189" s="1706"/>
      <c r="J189" s="1734"/>
      <c r="K189" s="1733"/>
      <c r="L189" s="1734"/>
      <c r="M189" s="1735"/>
      <c r="N189" s="1733"/>
      <c r="P189" s="1736"/>
      <c r="Q189" s="1722"/>
    </row>
    <row r="190">
      <c r="A190" s="1732"/>
      <c r="C190" s="1706"/>
      <c r="D190" s="1706"/>
      <c r="E190" s="1706"/>
      <c r="F190" s="1733"/>
      <c r="G190" s="1734"/>
      <c r="H190" s="1733"/>
      <c r="I190" s="1706"/>
      <c r="J190" s="1734"/>
      <c r="K190" s="1733"/>
      <c r="L190" s="1734"/>
      <c r="M190" s="1735"/>
      <c r="N190" s="1733"/>
      <c r="P190" s="1736"/>
      <c r="Q190" s="1722"/>
    </row>
    <row r="191">
      <c r="A191" s="1732"/>
      <c r="C191" s="1706"/>
      <c r="D191" s="1706"/>
      <c r="E191" s="1706"/>
      <c r="F191" s="1733"/>
      <c r="G191" s="1734"/>
      <c r="H191" s="1733"/>
      <c r="I191" s="1706"/>
      <c r="J191" s="1734"/>
      <c r="K191" s="1733"/>
      <c r="L191" s="1734"/>
      <c r="M191" s="1735"/>
      <c r="N191" s="1733"/>
      <c r="P191" s="1736"/>
      <c r="Q191" s="1722"/>
    </row>
    <row r="192">
      <c r="A192" s="1732"/>
      <c r="C192" s="1706"/>
      <c r="D192" s="1706"/>
      <c r="E192" s="1706"/>
      <c r="F192" s="1733"/>
      <c r="G192" s="1734"/>
      <c r="H192" s="1733"/>
      <c r="I192" s="1706"/>
      <c r="J192" s="1734"/>
      <c r="K192" s="1733"/>
      <c r="L192" s="1734"/>
      <c r="M192" s="1735"/>
      <c r="N192" s="1733"/>
      <c r="P192" s="1736"/>
      <c r="Q192" s="1722"/>
    </row>
    <row r="193">
      <c r="A193" s="1732"/>
      <c r="C193" s="1706"/>
      <c r="D193" s="1706"/>
      <c r="E193" s="1706"/>
      <c r="F193" s="1733"/>
      <c r="G193" s="1734"/>
      <c r="H193" s="1733"/>
      <c r="I193" s="1706"/>
      <c r="J193" s="1734"/>
      <c r="K193" s="1733"/>
      <c r="L193" s="1734"/>
      <c r="M193" s="1735"/>
      <c r="N193" s="1733"/>
      <c r="P193" s="1736"/>
      <c r="Q193" s="1722"/>
    </row>
    <row r="194">
      <c r="A194" s="1732"/>
      <c r="C194" s="1706"/>
      <c r="D194" s="1706"/>
      <c r="E194" s="1706"/>
      <c r="F194" s="1733"/>
      <c r="G194" s="1734"/>
      <c r="H194" s="1733"/>
      <c r="I194" s="1706"/>
      <c r="J194" s="1734"/>
      <c r="K194" s="1733"/>
      <c r="L194" s="1734"/>
      <c r="M194" s="1735"/>
      <c r="N194" s="1733"/>
      <c r="P194" s="1736"/>
      <c r="Q194" s="1722"/>
    </row>
    <row r="195">
      <c r="A195" s="1732"/>
      <c r="C195" s="1706"/>
      <c r="D195" s="1706"/>
      <c r="E195" s="1706"/>
      <c r="F195" s="1733"/>
      <c r="G195" s="1734"/>
      <c r="H195" s="1733"/>
      <c r="I195" s="1706"/>
      <c r="J195" s="1734"/>
      <c r="K195" s="1733"/>
      <c r="L195" s="1734"/>
      <c r="M195" s="1735"/>
      <c r="N195" s="1733"/>
      <c r="P195" s="1736"/>
      <c r="Q195" s="1722"/>
    </row>
    <row r="196">
      <c r="A196" s="1732"/>
      <c r="C196" s="1706"/>
      <c r="D196" s="1706"/>
      <c r="E196" s="1706"/>
      <c r="F196" s="1733"/>
      <c r="G196" s="1734"/>
      <c r="H196" s="1733"/>
      <c r="I196" s="1706"/>
      <c r="J196" s="1734"/>
      <c r="K196" s="1733"/>
      <c r="L196" s="1734"/>
      <c r="M196" s="1735"/>
      <c r="N196" s="1733"/>
      <c r="P196" s="1736"/>
      <c r="Q196" s="1722"/>
    </row>
    <row r="197">
      <c r="A197" s="1732"/>
      <c r="C197" s="1706"/>
      <c r="D197" s="1706"/>
      <c r="E197" s="1706"/>
      <c r="F197" s="1733"/>
      <c r="G197" s="1734"/>
      <c r="H197" s="1733"/>
      <c r="I197" s="1706"/>
      <c r="J197" s="1734"/>
      <c r="K197" s="1733"/>
      <c r="L197" s="1734"/>
      <c r="M197" s="1735"/>
      <c r="N197" s="1733"/>
      <c r="P197" s="1736"/>
      <c r="Q197" s="1722"/>
    </row>
    <row r="198">
      <c r="A198" s="1732"/>
      <c r="C198" s="1706"/>
      <c r="D198" s="1706"/>
      <c r="E198" s="1706"/>
      <c r="F198" s="1733"/>
      <c r="G198" s="1734"/>
      <c r="H198" s="1733"/>
      <c r="I198" s="1706"/>
      <c r="J198" s="1734"/>
      <c r="K198" s="1733"/>
      <c r="L198" s="1734"/>
      <c r="M198" s="1735"/>
      <c r="N198" s="1733"/>
      <c r="P198" s="1736"/>
      <c r="Q198" s="1722"/>
    </row>
    <row r="199">
      <c r="A199" s="1732"/>
      <c r="C199" s="1706"/>
      <c r="D199" s="1706"/>
      <c r="E199" s="1706"/>
      <c r="F199" s="1733"/>
      <c r="G199" s="1734"/>
      <c r="H199" s="1733"/>
      <c r="I199" s="1706"/>
      <c r="J199" s="1734"/>
      <c r="K199" s="1733"/>
      <c r="L199" s="1734"/>
      <c r="M199" s="1735"/>
      <c r="N199" s="1733"/>
      <c r="P199" s="1736"/>
      <c r="Q199" s="1722"/>
    </row>
    <row r="200">
      <c r="A200" s="1732"/>
      <c r="C200" s="1706"/>
      <c r="D200" s="1706"/>
      <c r="E200" s="1706"/>
      <c r="F200" s="1733"/>
      <c r="G200" s="1734"/>
      <c r="H200" s="1733"/>
      <c r="I200" s="1706"/>
      <c r="J200" s="1734"/>
      <c r="K200" s="1733"/>
      <c r="L200" s="1734"/>
      <c r="M200" s="1735"/>
      <c r="N200" s="1733"/>
      <c r="P200" s="1736"/>
      <c r="Q200" s="1722"/>
    </row>
    <row r="201">
      <c r="A201" s="1732"/>
      <c r="C201" s="1706"/>
      <c r="D201" s="1706"/>
      <c r="E201" s="1706"/>
      <c r="F201" s="1733"/>
      <c r="G201" s="1734"/>
      <c r="H201" s="1733"/>
      <c r="I201" s="1706"/>
      <c r="J201" s="1734"/>
      <c r="K201" s="1733"/>
      <c r="L201" s="1734"/>
      <c r="M201" s="1735"/>
      <c r="N201" s="1733"/>
      <c r="P201" s="1736"/>
      <c r="Q201" s="1722"/>
    </row>
    <row r="202">
      <c r="A202" s="1732"/>
      <c r="C202" s="1706"/>
      <c r="D202" s="1706"/>
      <c r="E202" s="1706"/>
      <c r="F202" s="1733"/>
      <c r="G202" s="1734"/>
      <c r="H202" s="1733"/>
      <c r="I202" s="1706"/>
      <c r="J202" s="1734"/>
      <c r="K202" s="1733"/>
      <c r="L202" s="1734"/>
      <c r="M202" s="1735"/>
      <c r="N202" s="1733"/>
      <c r="P202" s="1736"/>
      <c r="Q202" s="1722"/>
    </row>
    <row r="203">
      <c r="A203" s="1732"/>
      <c r="C203" s="1706"/>
      <c r="D203" s="1706"/>
      <c r="E203" s="1706"/>
      <c r="F203" s="1733"/>
      <c r="G203" s="1734"/>
      <c r="H203" s="1733"/>
      <c r="I203" s="1706"/>
      <c r="J203" s="1734"/>
      <c r="K203" s="1733"/>
      <c r="L203" s="1734"/>
      <c r="M203" s="1735"/>
      <c r="N203" s="1733"/>
      <c r="P203" s="1736"/>
      <c r="Q203" s="1722"/>
    </row>
    <row r="204">
      <c r="A204" s="1732"/>
      <c r="C204" s="1706"/>
      <c r="D204" s="1706"/>
      <c r="E204" s="1706"/>
      <c r="F204" s="1733"/>
      <c r="G204" s="1734"/>
      <c r="H204" s="1733"/>
      <c r="I204" s="1706"/>
      <c r="J204" s="1734"/>
      <c r="K204" s="1733"/>
      <c r="L204" s="1734"/>
      <c r="M204" s="1735"/>
      <c r="N204" s="1733"/>
      <c r="P204" s="1736"/>
      <c r="Q204" s="1722"/>
    </row>
    <row r="205">
      <c r="A205" s="1732"/>
      <c r="C205" s="1706"/>
      <c r="D205" s="1706"/>
      <c r="E205" s="1706"/>
      <c r="F205" s="1733"/>
      <c r="G205" s="1734"/>
      <c r="H205" s="1733"/>
      <c r="I205" s="1706"/>
      <c r="J205" s="1734"/>
      <c r="K205" s="1733"/>
      <c r="L205" s="1734"/>
      <c r="M205" s="1735"/>
      <c r="N205" s="1733"/>
      <c r="P205" s="1736"/>
      <c r="Q205" s="1722"/>
    </row>
    <row r="206">
      <c r="A206" s="1732"/>
      <c r="C206" s="1706"/>
      <c r="D206" s="1706"/>
      <c r="E206" s="1706"/>
      <c r="F206" s="1733"/>
      <c r="G206" s="1734"/>
      <c r="H206" s="1733"/>
      <c r="I206" s="1706"/>
      <c r="J206" s="1734"/>
      <c r="K206" s="1733"/>
      <c r="L206" s="1734"/>
      <c r="M206" s="1735"/>
      <c r="N206" s="1733"/>
      <c r="P206" s="1736"/>
      <c r="Q206" s="1722"/>
    </row>
    <row r="207">
      <c r="A207" s="1732"/>
      <c r="C207" s="1706"/>
      <c r="D207" s="1706"/>
      <c r="E207" s="1706"/>
      <c r="F207" s="1733"/>
      <c r="G207" s="1734"/>
      <c r="H207" s="1733"/>
      <c r="I207" s="1706"/>
      <c r="J207" s="1734"/>
      <c r="K207" s="1733"/>
      <c r="L207" s="1734"/>
      <c r="M207" s="1735"/>
      <c r="N207" s="1733"/>
      <c r="P207" s="1736"/>
      <c r="Q207" s="1722"/>
    </row>
    <row r="208">
      <c r="A208" s="1732"/>
      <c r="C208" s="1706"/>
      <c r="D208" s="1706"/>
      <c r="E208" s="1706"/>
      <c r="F208" s="1733"/>
      <c r="G208" s="1734"/>
      <c r="H208" s="1733"/>
      <c r="I208" s="1706"/>
      <c r="J208" s="1734"/>
      <c r="K208" s="1733"/>
      <c r="L208" s="1734"/>
      <c r="M208" s="1735"/>
      <c r="N208" s="1733"/>
      <c r="P208" s="1736"/>
      <c r="Q208" s="1722"/>
    </row>
    <row r="209">
      <c r="A209" s="1732"/>
      <c r="C209" s="1706"/>
      <c r="D209" s="1706"/>
      <c r="E209" s="1706"/>
      <c r="F209" s="1733"/>
      <c r="G209" s="1734"/>
      <c r="H209" s="1733"/>
      <c r="I209" s="1706"/>
      <c r="J209" s="1734"/>
      <c r="K209" s="1733"/>
      <c r="L209" s="1734"/>
      <c r="M209" s="1735"/>
      <c r="N209" s="1733"/>
      <c r="P209" s="1736"/>
      <c r="Q209" s="1722"/>
    </row>
    <row r="210">
      <c r="A210" s="1732"/>
      <c r="C210" s="1706"/>
      <c r="D210" s="1706"/>
      <c r="E210" s="1706"/>
      <c r="F210" s="1733"/>
      <c r="G210" s="1734"/>
      <c r="H210" s="1733"/>
      <c r="I210" s="1706"/>
      <c r="J210" s="1734"/>
      <c r="K210" s="1733"/>
      <c r="L210" s="1734"/>
      <c r="M210" s="1735"/>
      <c r="N210" s="1733"/>
      <c r="P210" s="1736"/>
      <c r="Q210" s="1722"/>
    </row>
    <row r="211">
      <c r="A211" s="1732"/>
      <c r="C211" s="1706"/>
      <c r="D211" s="1706"/>
      <c r="E211" s="1706"/>
      <c r="F211" s="1733"/>
      <c r="G211" s="1734"/>
      <c r="H211" s="1733"/>
      <c r="I211" s="1706"/>
      <c r="J211" s="1734"/>
      <c r="K211" s="1733"/>
      <c r="L211" s="1734"/>
      <c r="M211" s="1735"/>
      <c r="N211" s="1733"/>
      <c r="P211" s="1736"/>
      <c r="Q211" s="1722"/>
    </row>
    <row r="212">
      <c r="A212" s="1732"/>
      <c r="C212" s="1706"/>
      <c r="D212" s="1706"/>
      <c r="E212" s="1706"/>
      <c r="F212" s="1733"/>
      <c r="G212" s="1734"/>
      <c r="H212" s="1733"/>
      <c r="I212" s="1706"/>
      <c r="J212" s="1734"/>
      <c r="K212" s="1733"/>
      <c r="L212" s="1734"/>
      <c r="M212" s="1735"/>
      <c r="N212" s="1733"/>
      <c r="P212" s="1736"/>
      <c r="Q212" s="1722"/>
    </row>
    <row r="213">
      <c r="A213" s="1732"/>
      <c r="C213" s="1706"/>
      <c r="D213" s="1706"/>
      <c r="E213" s="1706"/>
      <c r="F213" s="1733"/>
      <c r="G213" s="1734"/>
      <c r="H213" s="1733"/>
      <c r="I213" s="1706"/>
      <c r="J213" s="1734"/>
      <c r="K213" s="1733"/>
      <c r="L213" s="1734"/>
      <c r="M213" s="1735"/>
      <c r="N213" s="1733"/>
      <c r="P213" s="1736"/>
      <c r="Q213" s="1722"/>
    </row>
    <row r="214">
      <c r="A214" s="1732"/>
      <c r="C214" s="1706"/>
      <c r="D214" s="1706"/>
      <c r="E214" s="1706"/>
      <c r="F214" s="1733"/>
      <c r="G214" s="1734"/>
      <c r="H214" s="1733"/>
      <c r="I214" s="1706"/>
      <c r="J214" s="1734"/>
      <c r="K214" s="1733"/>
      <c r="L214" s="1734"/>
      <c r="M214" s="1735"/>
      <c r="N214" s="1733"/>
      <c r="P214" s="1736"/>
      <c r="Q214" s="1722"/>
    </row>
    <row r="215">
      <c r="A215" s="1732"/>
      <c r="C215" s="1706"/>
      <c r="D215" s="1706"/>
      <c r="E215" s="1706"/>
      <c r="F215" s="1733"/>
      <c r="G215" s="1734"/>
      <c r="H215" s="1733"/>
      <c r="I215" s="1706"/>
      <c r="J215" s="1734"/>
      <c r="K215" s="1733"/>
      <c r="L215" s="1734"/>
      <c r="M215" s="1735"/>
      <c r="N215" s="1733"/>
      <c r="P215" s="1736"/>
      <c r="Q215" s="1722"/>
    </row>
    <row r="216">
      <c r="A216" s="1732"/>
      <c r="C216" s="1706"/>
      <c r="D216" s="1706"/>
      <c r="E216" s="1706"/>
      <c r="F216" s="1733"/>
      <c r="G216" s="1734"/>
      <c r="H216" s="1733"/>
      <c r="I216" s="1706"/>
      <c r="J216" s="1734"/>
      <c r="K216" s="1733"/>
      <c r="L216" s="1734"/>
      <c r="M216" s="1735"/>
      <c r="N216" s="1733"/>
      <c r="P216" s="1736"/>
      <c r="Q216" s="1722"/>
    </row>
    <row r="217">
      <c r="A217" s="1732"/>
      <c r="C217" s="1706"/>
      <c r="D217" s="1706"/>
      <c r="E217" s="1706"/>
      <c r="F217" s="1733"/>
      <c r="G217" s="1734"/>
      <c r="H217" s="1733"/>
      <c r="I217" s="1706"/>
      <c r="J217" s="1734"/>
      <c r="K217" s="1733"/>
      <c r="L217" s="1734"/>
      <c r="M217" s="1735"/>
      <c r="N217" s="1733"/>
      <c r="P217" s="1736"/>
      <c r="Q217" s="1722"/>
    </row>
    <row r="218">
      <c r="A218" s="1732"/>
      <c r="C218" s="1706"/>
      <c r="D218" s="1706"/>
      <c r="E218" s="1706"/>
      <c r="F218" s="1733"/>
      <c r="G218" s="1734"/>
      <c r="H218" s="1733"/>
      <c r="I218" s="1706"/>
      <c r="J218" s="1734"/>
      <c r="K218" s="1733"/>
      <c r="L218" s="1734"/>
      <c r="M218" s="1735"/>
      <c r="N218" s="1733"/>
      <c r="P218" s="1736"/>
      <c r="Q218" s="1722"/>
    </row>
    <row r="219">
      <c r="A219" s="1732"/>
      <c r="C219" s="1706"/>
      <c r="D219" s="1706"/>
      <c r="E219" s="1706"/>
      <c r="F219" s="1733"/>
      <c r="G219" s="1734"/>
      <c r="H219" s="1733"/>
      <c r="I219" s="1706"/>
      <c r="J219" s="1734"/>
      <c r="K219" s="1733"/>
      <c r="L219" s="1734"/>
      <c r="M219" s="1735"/>
      <c r="N219" s="1733"/>
      <c r="P219" s="1736"/>
      <c r="Q219" s="1722"/>
    </row>
    <row r="220">
      <c r="A220" s="1732"/>
      <c r="C220" s="1706"/>
      <c r="D220" s="1706"/>
      <c r="E220" s="1706"/>
      <c r="F220" s="1733"/>
      <c r="G220" s="1734"/>
      <c r="H220" s="1733"/>
      <c r="I220" s="1706"/>
      <c r="J220" s="1734"/>
      <c r="K220" s="1733"/>
      <c r="L220" s="1734"/>
      <c r="M220" s="1735"/>
      <c r="N220" s="1733"/>
      <c r="P220" s="1736"/>
      <c r="Q220" s="1722"/>
    </row>
    <row r="221">
      <c r="A221" s="1732"/>
      <c r="C221" s="1706"/>
      <c r="D221" s="1706"/>
      <c r="E221" s="1706"/>
      <c r="F221" s="1733"/>
      <c r="G221" s="1734"/>
      <c r="H221" s="1733"/>
      <c r="I221" s="1706"/>
      <c r="J221" s="1734"/>
      <c r="K221" s="1733"/>
      <c r="L221" s="1734"/>
      <c r="M221" s="1735"/>
      <c r="N221" s="1733"/>
      <c r="P221" s="1736"/>
      <c r="Q221" s="1722"/>
    </row>
    <row r="222">
      <c r="A222" s="1732"/>
      <c r="C222" s="1706"/>
      <c r="D222" s="1706"/>
      <c r="E222" s="1706"/>
      <c r="F222" s="1733"/>
      <c r="G222" s="1734"/>
      <c r="H222" s="1733"/>
      <c r="I222" s="1706"/>
      <c r="J222" s="1734"/>
      <c r="K222" s="1733"/>
      <c r="L222" s="1734"/>
      <c r="M222" s="1735"/>
      <c r="N222" s="1733"/>
      <c r="P222" s="1736"/>
      <c r="Q222" s="1722"/>
    </row>
    <row r="223">
      <c r="A223" s="1732"/>
      <c r="C223" s="1706"/>
      <c r="D223" s="1706"/>
      <c r="E223" s="1706"/>
      <c r="F223" s="1733"/>
      <c r="G223" s="1734"/>
      <c r="H223" s="1733"/>
      <c r="I223" s="1706"/>
      <c r="J223" s="1734"/>
      <c r="K223" s="1733"/>
      <c r="L223" s="1734"/>
      <c r="M223" s="1735"/>
      <c r="N223" s="1733"/>
      <c r="P223" s="1736"/>
      <c r="Q223" s="1722"/>
    </row>
    <row r="224">
      <c r="A224" s="1732"/>
      <c r="C224" s="1706"/>
      <c r="D224" s="1706"/>
      <c r="E224" s="1706"/>
      <c r="F224" s="1733"/>
      <c r="G224" s="1734"/>
      <c r="H224" s="1733"/>
      <c r="I224" s="1706"/>
      <c r="J224" s="1734"/>
      <c r="K224" s="1733"/>
      <c r="L224" s="1734"/>
      <c r="M224" s="1735"/>
      <c r="N224" s="1733"/>
      <c r="P224" s="1736"/>
      <c r="Q224" s="1722"/>
    </row>
    <row r="225">
      <c r="A225" s="1732"/>
      <c r="C225" s="1706"/>
      <c r="D225" s="1706"/>
      <c r="E225" s="1706"/>
      <c r="F225" s="1733"/>
      <c r="G225" s="1734"/>
      <c r="H225" s="1733"/>
      <c r="I225" s="1706"/>
      <c r="J225" s="1734"/>
      <c r="K225" s="1733"/>
      <c r="L225" s="1734"/>
      <c r="M225" s="1735"/>
      <c r="N225" s="1733"/>
      <c r="P225" s="1736"/>
      <c r="Q225" s="1722"/>
    </row>
    <row r="226">
      <c r="A226" s="1732"/>
      <c r="C226" s="1706"/>
      <c r="D226" s="1706"/>
      <c r="E226" s="1706"/>
      <c r="F226" s="1733"/>
      <c r="G226" s="1734"/>
      <c r="H226" s="1733"/>
      <c r="I226" s="1706"/>
      <c r="J226" s="1734"/>
      <c r="K226" s="1733"/>
      <c r="L226" s="1734"/>
      <c r="M226" s="1735"/>
      <c r="N226" s="1733"/>
      <c r="P226" s="1736"/>
      <c r="Q226" s="1722"/>
    </row>
    <row r="227">
      <c r="A227" s="1732"/>
      <c r="C227" s="1706"/>
      <c r="D227" s="1706"/>
      <c r="E227" s="1706"/>
      <c r="F227" s="1733"/>
      <c r="G227" s="1734"/>
      <c r="H227" s="1733"/>
      <c r="I227" s="1706"/>
      <c r="J227" s="1734"/>
      <c r="K227" s="1733"/>
      <c r="L227" s="1734"/>
      <c r="M227" s="1735"/>
      <c r="N227" s="1733"/>
      <c r="P227" s="1736"/>
      <c r="Q227" s="1722"/>
    </row>
    <row r="228">
      <c r="A228" s="1732"/>
      <c r="C228" s="1706"/>
      <c r="D228" s="1706"/>
      <c r="E228" s="1706"/>
      <c r="F228" s="1733"/>
      <c r="G228" s="1734"/>
      <c r="H228" s="1733"/>
      <c r="I228" s="1706"/>
      <c r="J228" s="1734"/>
      <c r="K228" s="1733"/>
      <c r="L228" s="1734"/>
      <c r="M228" s="1735"/>
      <c r="N228" s="1733"/>
      <c r="P228" s="1736"/>
      <c r="Q228" s="1722"/>
    </row>
    <row r="229">
      <c r="A229" s="1732"/>
      <c r="C229" s="1706"/>
      <c r="D229" s="1706"/>
      <c r="E229" s="1706"/>
      <c r="F229" s="1733"/>
      <c r="G229" s="1734"/>
      <c r="H229" s="1733"/>
      <c r="I229" s="1706"/>
      <c r="J229" s="1734"/>
      <c r="K229" s="1733"/>
      <c r="L229" s="1734"/>
      <c r="M229" s="1735"/>
      <c r="N229" s="1733"/>
      <c r="P229" s="1736"/>
      <c r="Q229" s="1722"/>
    </row>
    <row r="230">
      <c r="A230" s="1732"/>
      <c r="C230" s="1706"/>
      <c r="D230" s="1706"/>
      <c r="E230" s="1706"/>
      <c r="F230" s="1733"/>
      <c r="G230" s="1734"/>
      <c r="H230" s="1733"/>
      <c r="I230" s="1706"/>
      <c r="J230" s="1734"/>
      <c r="K230" s="1733"/>
      <c r="L230" s="1734"/>
      <c r="M230" s="1735"/>
      <c r="N230" s="1733"/>
      <c r="P230" s="1736"/>
      <c r="Q230" s="1722"/>
    </row>
    <row r="231">
      <c r="A231" s="1732"/>
      <c r="C231" s="1706"/>
      <c r="D231" s="1706"/>
      <c r="E231" s="1706"/>
      <c r="F231" s="1733"/>
      <c r="G231" s="1734"/>
      <c r="H231" s="1733"/>
      <c r="I231" s="1706"/>
      <c r="J231" s="1734"/>
      <c r="K231" s="1733"/>
      <c r="L231" s="1734"/>
      <c r="M231" s="1735"/>
      <c r="N231" s="1733"/>
      <c r="P231" s="1736"/>
      <c r="Q231" s="1722"/>
    </row>
    <row r="232">
      <c r="A232" s="1732"/>
      <c r="C232" s="1706"/>
      <c r="D232" s="1706"/>
      <c r="E232" s="1706"/>
      <c r="F232" s="1733"/>
      <c r="G232" s="1734"/>
      <c r="H232" s="1733"/>
      <c r="I232" s="1706"/>
      <c r="J232" s="1734"/>
      <c r="K232" s="1733"/>
      <c r="L232" s="1734"/>
      <c r="M232" s="1735"/>
      <c r="N232" s="1733"/>
      <c r="P232" s="1736"/>
      <c r="Q232" s="1722"/>
    </row>
    <row r="233">
      <c r="A233" s="1732"/>
      <c r="C233" s="1706"/>
      <c r="D233" s="1706"/>
      <c r="E233" s="1706"/>
      <c r="F233" s="1733"/>
      <c r="G233" s="1734"/>
      <c r="H233" s="1733"/>
      <c r="I233" s="1706"/>
      <c r="J233" s="1734"/>
      <c r="K233" s="1733"/>
      <c r="L233" s="1734"/>
      <c r="M233" s="1735"/>
      <c r="N233" s="1733"/>
      <c r="P233" s="1736"/>
      <c r="Q233" s="1722"/>
    </row>
    <row r="234">
      <c r="A234" s="1732"/>
      <c r="C234" s="1706"/>
      <c r="D234" s="1706"/>
      <c r="E234" s="1706"/>
      <c r="F234" s="1733"/>
      <c r="G234" s="1734"/>
      <c r="H234" s="1733"/>
      <c r="I234" s="1706"/>
      <c r="J234" s="1734"/>
      <c r="K234" s="1733"/>
      <c r="L234" s="1734"/>
      <c r="M234" s="1735"/>
      <c r="N234" s="1733"/>
      <c r="P234" s="1736"/>
      <c r="Q234" s="1722"/>
    </row>
    <row r="235">
      <c r="A235" s="1732"/>
      <c r="C235" s="1706"/>
      <c r="D235" s="1706"/>
      <c r="E235" s="1706"/>
      <c r="F235" s="1733"/>
      <c r="G235" s="1734"/>
      <c r="H235" s="1733"/>
      <c r="I235" s="1706"/>
      <c r="J235" s="1734"/>
      <c r="K235" s="1733"/>
      <c r="L235" s="1734"/>
      <c r="M235" s="1735"/>
      <c r="N235" s="1733"/>
      <c r="P235" s="1736"/>
      <c r="Q235" s="1722"/>
    </row>
    <row r="236">
      <c r="A236" s="1732"/>
      <c r="C236" s="1706"/>
      <c r="D236" s="1706"/>
      <c r="E236" s="1706"/>
      <c r="F236" s="1733"/>
      <c r="G236" s="1734"/>
      <c r="H236" s="1733"/>
      <c r="I236" s="1706"/>
      <c r="J236" s="1734"/>
      <c r="K236" s="1733"/>
      <c r="L236" s="1734"/>
      <c r="M236" s="1735"/>
      <c r="N236" s="1733"/>
      <c r="P236" s="1736"/>
      <c r="Q236" s="1722"/>
    </row>
    <row r="237">
      <c r="A237" s="1732"/>
      <c r="C237" s="1706"/>
      <c r="D237" s="1706"/>
      <c r="E237" s="1706"/>
      <c r="F237" s="1733"/>
      <c r="G237" s="1734"/>
      <c r="H237" s="1733"/>
      <c r="I237" s="1706"/>
      <c r="J237" s="1734"/>
      <c r="K237" s="1733"/>
      <c r="L237" s="1734"/>
      <c r="M237" s="1735"/>
      <c r="N237" s="1733"/>
      <c r="P237" s="1736"/>
      <c r="Q237" s="1722"/>
    </row>
    <row r="238">
      <c r="A238" s="1732"/>
      <c r="C238" s="1706"/>
      <c r="D238" s="1706"/>
      <c r="E238" s="1706"/>
      <c r="F238" s="1733"/>
      <c r="G238" s="1734"/>
      <c r="H238" s="1733"/>
      <c r="I238" s="1706"/>
      <c r="J238" s="1734"/>
      <c r="K238" s="1733"/>
      <c r="L238" s="1734"/>
      <c r="M238" s="1735"/>
      <c r="N238" s="1733"/>
      <c r="P238" s="1736"/>
      <c r="Q238" s="1722"/>
    </row>
    <row r="239">
      <c r="A239" s="1732"/>
      <c r="C239" s="1706"/>
      <c r="D239" s="1706"/>
      <c r="E239" s="1706"/>
      <c r="F239" s="1733"/>
      <c r="G239" s="1734"/>
      <c r="H239" s="1733"/>
      <c r="I239" s="1706"/>
      <c r="J239" s="1734"/>
      <c r="K239" s="1733"/>
      <c r="L239" s="1734"/>
      <c r="M239" s="1735"/>
      <c r="N239" s="1733"/>
      <c r="P239" s="1736"/>
      <c r="Q239" s="1722"/>
    </row>
    <row r="240">
      <c r="A240" s="1732"/>
      <c r="C240" s="1706"/>
      <c r="D240" s="1706"/>
      <c r="E240" s="1706"/>
      <c r="F240" s="1733"/>
      <c r="G240" s="1734"/>
      <c r="H240" s="1733"/>
      <c r="I240" s="1706"/>
      <c r="J240" s="1734"/>
      <c r="K240" s="1733"/>
      <c r="L240" s="1734"/>
      <c r="M240" s="1735"/>
      <c r="N240" s="1733"/>
      <c r="P240" s="1736"/>
      <c r="Q240" s="1722"/>
    </row>
    <row r="241">
      <c r="A241" s="1732"/>
      <c r="C241" s="1706"/>
      <c r="D241" s="1706"/>
      <c r="E241" s="1706"/>
      <c r="F241" s="1733"/>
      <c r="G241" s="1734"/>
      <c r="H241" s="1733"/>
      <c r="I241" s="1706"/>
      <c r="J241" s="1734"/>
      <c r="K241" s="1733"/>
      <c r="L241" s="1734"/>
      <c r="M241" s="1735"/>
      <c r="N241" s="1733"/>
      <c r="P241" s="1736"/>
      <c r="Q241" s="1722"/>
    </row>
    <row r="242">
      <c r="A242" s="1732"/>
      <c r="C242" s="1706"/>
      <c r="D242" s="1706"/>
      <c r="E242" s="1706"/>
      <c r="F242" s="1733"/>
      <c r="G242" s="1734"/>
      <c r="H242" s="1733"/>
      <c r="I242" s="1706"/>
      <c r="J242" s="1734"/>
      <c r="K242" s="1733"/>
      <c r="L242" s="1734"/>
      <c r="M242" s="1735"/>
      <c r="N242" s="1733"/>
      <c r="P242" s="1736"/>
      <c r="Q242" s="1722"/>
    </row>
    <row r="243">
      <c r="A243" s="1732"/>
      <c r="C243" s="1706"/>
      <c r="D243" s="1706"/>
      <c r="E243" s="1706"/>
      <c r="F243" s="1733"/>
      <c r="G243" s="1734"/>
      <c r="H243" s="1733"/>
      <c r="I243" s="1706"/>
      <c r="J243" s="1734"/>
      <c r="K243" s="1733"/>
      <c r="L243" s="1734"/>
      <c r="M243" s="1735"/>
      <c r="N243" s="1733"/>
      <c r="P243" s="1736"/>
      <c r="Q243" s="1722"/>
    </row>
    <row r="244">
      <c r="A244" s="1732"/>
      <c r="C244" s="1706"/>
      <c r="D244" s="1706"/>
      <c r="E244" s="1706"/>
      <c r="F244" s="1733"/>
      <c r="G244" s="1734"/>
      <c r="H244" s="1733"/>
      <c r="I244" s="1706"/>
      <c r="J244" s="1734"/>
      <c r="K244" s="1733"/>
      <c r="L244" s="1734"/>
      <c r="M244" s="1735"/>
      <c r="N244" s="1733"/>
      <c r="P244" s="1736"/>
      <c r="Q244" s="1722"/>
    </row>
    <row r="245">
      <c r="A245" s="1732"/>
      <c r="C245" s="1706"/>
      <c r="D245" s="1706"/>
      <c r="E245" s="1706"/>
      <c r="F245" s="1733"/>
      <c r="G245" s="1734"/>
      <c r="H245" s="1733"/>
      <c r="I245" s="1706"/>
      <c r="J245" s="1734"/>
      <c r="K245" s="1733"/>
      <c r="L245" s="1734"/>
      <c r="M245" s="1735"/>
      <c r="N245" s="1733"/>
      <c r="P245" s="1736"/>
      <c r="Q245" s="1722"/>
    </row>
    <row r="246">
      <c r="A246" s="1732"/>
      <c r="C246" s="1706"/>
      <c r="D246" s="1706"/>
      <c r="E246" s="1706"/>
      <c r="F246" s="1733"/>
      <c r="G246" s="1734"/>
      <c r="H246" s="1733"/>
      <c r="I246" s="1706"/>
      <c r="J246" s="1734"/>
      <c r="K246" s="1733"/>
      <c r="L246" s="1734"/>
      <c r="M246" s="1735"/>
      <c r="N246" s="1733"/>
      <c r="P246" s="1736"/>
      <c r="Q246" s="1722"/>
    </row>
    <row r="247">
      <c r="A247" s="1732"/>
      <c r="C247" s="1706"/>
      <c r="D247" s="1706"/>
      <c r="E247" s="1706"/>
      <c r="F247" s="1733"/>
      <c r="G247" s="1734"/>
      <c r="H247" s="1733"/>
      <c r="I247" s="1706"/>
      <c r="J247" s="1734"/>
      <c r="K247" s="1733"/>
      <c r="L247" s="1734"/>
      <c r="M247" s="1735"/>
      <c r="N247" s="1733"/>
      <c r="P247" s="1736"/>
      <c r="Q247" s="1722"/>
    </row>
    <row r="248">
      <c r="A248" s="1732"/>
      <c r="C248" s="1706"/>
      <c r="D248" s="1706"/>
      <c r="E248" s="1706"/>
      <c r="F248" s="1733"/>
      <c r="G248" s="1734"/>
      <c r="H248" s="1733"/>
      <c r="I248" s="1706"/>
      <c r="J248" s="1734"/>
      <c r="K248" s="1733"/>
      <c r="L248" s="1734"/>
      <c r="M248" s="1735"/>
      <c r="N248" s="1733"/>
      <c r="P248" s="1736"/>
      <c r="Q248" s="1722"/>
    </row>
    <row r="249">
      <c r="A249" s="1732"/>
      <c r="C249" s="1706"/>
      <c r="D249" s="1706"/>
      <c r="E249" s="1706"/>
      <c r="F249" s="1733"/>
      <c r="G249" s="1734"/>
      <c r="H249" s="1733"/>
      <c r="I249" s="1706"/>
      <c r="J249" s="1734"/>
      <c r="K249" s="1733"/>
      <c r="L249" s="1734"/>
      <c r="M249" s="1735"/>
      <c r="N249" s="1733"/>
      <c r="P249" s="1736"/>
      <c r="Q249" s="1722"/>
    </row>
    <row r="250">
      <c r="A250" s="1732"/>
      <c r="C250" s="1706"/>
      <c r="D250" s="1706"/>
      <c r="E250" s="1706"/>
      <c r="F250" s="1733"/>
      <c r="G250" s="1734"/>
      <c r="H250" s="1733"/>
      <c r="I250" s="1706"/>
      <c r="J250" s="1734"/>
      <c r="K250" s="1733"/>
      <c r="L250" s="1734"/>
      <c r="M250" s="1735"/>
      <c r="N250" s="1733"/>
      <c r="P250" s="1736"/>
      <c r="Q250" s="1722"/>
    </row>
    <row r="251">
      <c r="A251" s="1732"/>
      <c r="C251" s="1706"/>
      <c r="D251" s="1706"/>
      <c r="E251" s="1706"/>
      <c r="F251" s="1733"/>
      <c r="G251" s="1734"/>
      <c r="H251" s="1733"/>
      <c r="I251" s="1706"/>
      <c r="J251" s="1734"/>
      <c r="K251" s="1733"/>
      <c r="L251" s="1734"/>
      <c r="M251" s="1735"/>
      <c r="N251" s="1733"/>
      <c r="P251" s="1736"/>
      <c r="Q251" s="1722"/>
    </row>
    <row r="252">
      <c r="A252" s="1732"/>
      <c r="C252" s="1706"/>
      <c r="D252" s="1706"/>
      <c r="E252" s="1706"/>
      <c r="F252" s="1733"/>
      <c r="G252" s="1734"/>
      <c r="H252" s="1733"/>
      <c r="I252" s="1706"/>
      <c r="J252" s="1734"/>
      <c r="K252" s="1733"/>
      <c r="L252" s="1734"/>
      <c r="M252" s="1735"/>
      <c r="N252" s="1733"/>
      <c r="P252" s="1736"/>
      <c r="Q252" s="1722"/>
    </row>
    <row r="253">
      <c r="A253" s="1732"/>
      <c r="C253" s="1706"/>
      <c r="D253" s="1706"/>
      <c r="E253" s="1706"/>
      <c r="F253" s="1733"/>
      <c r="G253" s="1734"/>
      <c r="H253" s="1733"/>
      <c r="I253" s="1706"/>
      <c r="J253" s="1734"/>
      <c r="K253" s="1733"/>
      <c r="L253" s="1734"/>
      <c r="M253" s="1735"/>
      <c r="N253" s="1733"/>
      <c r="P253" s="1736"/>
      <c r="Q253" s="1722"/>
    </row>
    <row r="254">
      <c r="A254" s="1732"/>
      <c r="C254" s="1706"/>
      <c r="D254" s="1706"/>
      <c r="E254" s="1706"/>
      <c r="F254" s="1733"/>
      <c r="G254" s="1734"/>
      <c r="H254" s="1733"/>
      <c r="I254" s="1706"/>
      <c r="J254" s="1734"/>
      <c r="K254" s="1733"/>
      <c r="L254" s="1734"/>
      <c r="M254" s="1735"/>
      <c r="N254" s="1733"/>
      <c r="P254" s="1736"/>
      <c r="Q254" s="1722"/>
    </row>
    <row r="255">
      <c r="A255" s="1732"/>
      <c r="C255" s="1706"/>
      <c r="D255" s="1706"/>
      <c r="E255" s="1706"/>
      <c r="F255" s="1733"/>
      <c r="G255" s="1734"/>
      <c r="H255" s="1733"/>
      <c r="I255" s="1706"/>
      <c r="J255" s="1734"/>
      <c r="K255" s="1733"/>
      <c r="L255" s="1734"/>
      <c r="M255" s="1735"/>
      <c r="N255" s="1733"/>
      <c r="P255" s="1736"/>
      <c r="Q255" s="1722"/>
    </row>
    <row r="256">
      <c r="A256" s="1732"/>
      <c r="C256" s="1706"/>
      <c r="D256" s="1706"/>
      <c r="E256" s="1706"/>
      <c r="F256" s="1733"/>
      <c r="G256" s="1734"/>
      <c r="H256" s="1733"/>
      <c r="I256" s="1706"/>
      <c r="J256" s="1734"/>
      <c r="K256" s="1733"/>
      <c r="L256" s="1734"/>
      <c r="M256" s="1735"/>
      <c r="N256" s="1733"/>
      <c r="P256" s="1736"/>
      <c r="Q256" s="1722"/>
    </row>
    <row r="257">
      <c r="A257" s="1732"/>
      <c r="C257" s="1706"/>
      <c r="D257" s="1706"/>
      <c r="E257" s="1706"/>
      <c r="F257" s="1733"/>
      <c r="G257" s="1734"/>
      <c r="H257" s="1733"/>
      <c r="I257" s="1706"/>
      <c r="J257" s="1734"/>
      <c r="K257" s="1733"/>
      <c r="L257" s="1734"/>
      <c r="M257" s="1735"/>
      <c r="N257" s="1733"/>
      <c r="P257" s="1736"/>
      <c r="Q257" s="1722"/>
    </row>
    <row r="258">
      <c r="A258" s="1732"/>
      <c r="C258" s="1706"/>
      <c r="D258" s="1706"/>
      <c r="E258" s="1706"/>
      <c r="F258" s="1733"/>
      <c r="G258" s="1734"/>
      <c r="H258" s="1733"/>
      <c r="I258" s="1706"/>
      <c r="J258" s="1734"/>
      <c r="K258" s="1733"/>
      <c r="L258" s="1734"/>
      <c r="M258" s="1735"/>
      <c r="N258" s="1733"/>
      <c r="P258" s="1736"/>
      <c r="Q258" s="1722"/>
    </row>
    <row r="259">
      <c r="A259" s="1732"/>
      <c r="C259" s="1706"/>
      <c r="D259" s="1706"/>
      <c r="E259" s="1706"/>
      <c r="F259" s="1733"/>
      <c r="G259" s="1734"/>
      <c r="H259" s="1733"/>
      <c r="I259" s="1706"/>
      <c r="J259" s="1734"/>
      <c r="K259" s="1733"/>
      <c r="L259" s="1734"/>
      <c r="M259" s="1735"/>
      <c r="N259" s="1733"/>
      <c r="P259" s="1736"/>
      <c r="Q259" s="1722"/>
    </row>
    <row r="260">
      <c r="A260" s="1732"/>
      <c r="C260" s="1706"/>
      <c r="D260" s="1706"/>
      <c r="E260" s="1706"/>
      <c r="F260" s="1733"/>
      <c r="G260" s="1734"/>
      <c r="H260" s="1733"/>
      <c r="I260" s="1706"/>
      <c r="J260" s="1734"/>
      <c r="K260" s="1733"/>
      <c r="L260" s="1734"/>
      <c r="M260" s="1735"/>
      <c r="N260" s="1733"/>
      <c r="P260" s="1736"/>
      <c r="Q260" s="1722"/>
    </row>
    <row r="261">
      <c r="A261" s="1732"/>
      <c r="C261" s="1706"/>
      <c r="D261" s="1706"/>
      <c r="E261" s="1706"/>
      <c r="F261" s="1733"/>
      <c r="G261" s="1734"/>
      <c r="H261" s="1733"/>
      <c r="I261" s="1706"/>
      <c r="J261" s="1734"/>
      <c r="K261" s="1733"/>
      <c r="L261" s="1734"/>
      <c r="M261" s="1735"/>
      <c r="N261" s="1733"/>
      <c r="P261" s="1736"/>
      <c r="Q261" s="1722"/>
    </row>
    <row r="262">
      <c r="A262" s="1732"/>
      <c r="C262" s="1706"/>
      <c r="D262" s="1706"/>
      <c r="E262" s="1706"/>
      <c r="F262" s="1733"/>
      <c r="G262" s="1734"/>
      <c r="H262" s="1733"/>
      <c r="I262" s="1706"/>
      <c r="J262" s="1734"/>
      <c r="K262" s="1733"/>
      <c r="L262" s="1734"/>
      <c r="M262" s="1735"/>
      <c r="N262" s="1733"/>
      <c r="P262" s="1736"/>
      <c r="Q262" s="1722"/>
    </row>
    <row r="263">
      <c r="A263" s="1732"/>
      <c r="C263" s="1706"/>
      <c r="D263" s="1706"/>
      <c r="E263" s="1706"/>
      <c r="F263" s="1733"/>
      <c r="G263" s="1734"/>
      <c r="H263" s="1733"/>
      <c r="I263" s="1706"/>
      <c r="J263" s="1734"/>
      <c r="K263" s="1733"/>
      <c r="L263" s="1734"/>
      <c r="M263" s="1735"/>
      <c r="N263" s="1733"/>
      <c r="P263" s="1736"/>
      <c r="Q263" s="1722"/>
    </row>
    <row r="264">
      <c r="A264" s="1732"/>
      <c r="C264" s="1706"/>
      <c r="D264" s="1706"/>
      <c r="E264" s="1706"/>
      <c r="F264" s="1733"/>
      <c r="G264" s="1734"/>
      <c r="H264" s="1733"/>
      <c r="I264" s="1706"/>
      <c r="J264" s="1734"/>
      <c r="K264" s="1733"/>
      <c r="L264" s="1734"/>
      <c r="M264" s="1735"/>
      <c r="N264" s="1733"/>
      <c r="P264" s="1736"/>
      <c r="Q264" s="1722"/>
    </row>
    <row r="265">
      <c r="A265" s="1732"/>
      <c r="C265" s="1706"/>
      <c r="D265" s="1706"/>
      <c r="E265" s="1706"/>
      <c r="F265" s="1733"/>
      <c r="G265" s="1734"/>
      <c r="H265" s="1733"/>
      <c r="I265" s="1706"/>
      <c r="J265" s="1734"/>
      <c r="K265" s="1733"/>
      <c r="L265" s="1734"/>
      <c r="M265" s="1735"/>
      <c r="N265" s="1733"/>
      <c r="P265" s="1736"/>
      <c r="Q265" s="1722"/>
    </row>
    <row r="266">
      <c r="A266" s="1732"/>
      <c r="C266" s="1706"/>
      <c r="D266" s="1706"/>
      <c r="E266" s="1706"/>
      <c r="F266" s="1733"/>
      <c r="G266" s="1734"/>
      <c r="H266" s="1733"/>
      <c r="I266" s="1706"/>
      <c r="J266" s="1734"/>
      <c r="K266" s="1733"/>
      <c r="L266" s="1734"/>
      <c r="M266" s="1735"/>
      <c r="N266" s="1733"/>
      <c r="P266" s="1736"/>
      <c r="Q266" s="1722"/>
    </row>
    <row r="267">
      <c r="A267" s="1732"/>
      <c r="C267" s="1706"/>
      <c r="D267" s="1706"/>
      <c r="E267" s="1706"/>
      <c r="F267" s="1733"/>
      <c r="G267" s="1734"/>
      <c r="H267" s="1733"/>
      <c r="I267" s="1706"/>
      <c r="J267" s="1734"/>
      <c r="K267" s="1733"/>
      <c r="L267" s="1734"/>
      <c r="M267" s="1735"/>
      <c r="N267" s="1733"/>
      <c r="P267" s="1736"/>
      <c r="Q267" s="1722"/>
    </row>
    <row r="268">
      <c r="A268" s="1732"/>
      <c r="C268" s="1706"/>
      <c r="D268" s="1706"/>
      <c r="E268" s="1706"/>
      <c r="F268" s="1733"/>
      <c r="G268" s="1734"/>
      <c r="H268" s="1733"/>
      <c r="I268" s="1706"/>
      <c r="J268" s="1734"/>
      <c r="K268" s="1733"/>
      <c r="L268" s="1734"/>
      <c r="M268" s="1735"/>
      <c r="N268" s="1733"/>
      <c r="P268" s="1736"/>
      <c r="Q268" s="1722"/>
    </row>
    <row r="269">
      <c r="A269" s="1732"/>
      <c r="C269" s="1706"/>
      <c r="D269" s="1706"/>
      <c r="E269" s="1706"/>
      <c r="F269" s="1733"/>
      <c r="G269" s="1734"/>
      <c r="H269" s="1733"/>
      <c r="I269" s="1706"/>
      <c r="J269" s="1734"/>
      <c r="K269" s="1733"/>
      <c r="L269" s="1734"/>
      <c r="M269" s="1735"/>
      <c r="N269" s="1733"/>
      <c r="P269" s="1736"/>
      <c r="Q269" s="1722"/>
    </row>
    <row r="270">
      <c r="A270" s="1732"/>
      <c r="C270" s="1706"/>
      <c r="D270" s="1706"/>
      <c r="E270" s="1706"/>
      <c r="F270" s="1733"/>
      <c r="G270" s="1734"/>
      <c r="H270" s="1733"/>
      <c r="I270" s="1706"/>
      <c r="J270" s="1734"/>
      <c r="K270" s="1733"/>
      <c r="L270" s="1734"/>
      <c r="M270" s="1735"/>
      <c r="N270" s="1733"/>
      <c r="P270" s="1736"/>
      <c r="Q270" s="1722"/>
    </row>
    <row r="271">
      <c r="A271" s="1732"/>
      <c r="C271" s="1706"/>
      <c r="D271" s="1706"/>
      <c r="E271" s="1706"/>
      <c r="F271" s="1733"/>
      <c r="G271" s="1734"/>
      <c r="H271" s="1733"/>
      <c r="I271" s="1706"/>
      <c r="J271" s="1734"/>
      <c r="K271" s="1733"/>
      <c r="L271" s="1734"/>
      <c r="M271" s="1735"/>
      <c r="N271" s="1733"/>
      <c r="P271" s="1736"/>
      <c r="Q271" s="1722"/>
    </row>
    <row r="272">
      <c r="A272" s="1732"/>
      <c r="C272" s="1706"/>
      <c r="D272" s="1706"/>
      <c r="E272" s="1706"/>
      <c r="F272" s="1733"/>
      <c r="G272" s="1734"/>
      <c r="H272" s="1733"/>
      <c r="I272" s="1706"/>
      <c r="J272" s="1734"/>
      <c r="K272" s="1733"/>
      <c r="L272" s="1734"/>
      <c r="M272" s="1735"/>
      <c r="N272" s="1733"/>
      <c r="P272" s="1736"/>
      <c r="Q272" s="1722"/>
    </row>
    <row r="273">
      <c r="A273" s="1732"/>
      <c r="C273" s="1706"/>
      <c r="D273" s="1706"/>
      <c r="E273" s="1706"/>
      <c r="F273" s="1733"/>
      <c r="G273" s="1734"/>
      <c r="H273" s="1733"/>
      <c r="I273" s="1706"/>
      <c r="J273" s="1734"/>
      <c r="K273" s="1733"/>
      <c r="L273" s="1734"/>
      <c r="M273" s="1735"/>
      <c r="N273" s="1733"/>
      <c r="P273" s="1736"/>
      <c r="Q273" s="1722"/>
    </row>
    <row r="274">
      <c r="A274" s="1732"/>
      <c r="C274" s="1706"/>
      <c r="D274" s="1706"/>
      <c r="E274" s="1706"/>
      <c r="F274" s="1733"/>
      <c r="G274" s="1734"/>
      <c r="H274" s="1733"/>
      <c r="I274" s="1706"/>
      <c r="J274" s="1734"/>
      <c r="K274" s="1733"/>
      <c r="L274" s="1734"/>
      <c r="M274" s="1735"/>
      <c r="N274" s="1733"/>
      <c r="P274" s="1736"/>
      <c r="Q274" s="1722"/>
    </row>
    <row r="275">
      <c r="A275" s="1732"/>
      <c r="C275" s="1706"/>
      <c r="D275" s="1706"/>
      <c r="E275" s="1706"/>
      <c r="F275" s="1733"/>
      <c r="G275" s="1734"/>
      <c r="H275" s="1733"/>
      <c r="I275" s="1706"/>
      <c r="J275" s="1734"/>
      <c r="K275" s="1733"/>
      <c r="L275" s="1734"/>
      <c r="M275" s="1735"/>
      <c r="N275" s="1733"/>
      <c r="P275" s="1736"/>
      <c r="Q275" s="1722"/>
    </row>
    <row r="276">
      <c r="A276" s="1732"/>
      <c r="C276" s="1706"/>
      <c r="D276" s="1706"/>
      <c r="E276" s="1706"/>
      <c r="F276" s="1733"/>
      <c r="G276" s="1734"/>
      <c r="H276" s="1733"/>
      <c r="I276" s="1706"/>
      <c r="J276" s="1734"/>
      <c r="K276" s="1733"/>
      <c r="L276" s="1734"/>
      <c r="M276" s="1735"/>
      <c r="N276" s="1733"/>
      <c r="P276" s="1736"/>
      <c r="Q276" s="1722"/>
    </row>
    <row r="277">
      <c r="A277" s="1732"/>
      <c r="C277" s="1706"/>
      <c r="D277" s="1706"/>
      <c r="E277" s="1706"/>
      <c r="F277" s="1733"/>
      <c r="G277" s="1734"/>
      <c r="H277" s="1733"/>
      <c r="I277" s="1706"/>
      <c r="J277" s="1734"/>
      <c r="K277" s="1733"/>
      <c r="L277" s="1734"/>
      <c r="M277" s="1735"/>
      <c r="N277" s="1733"/>
      <c r="P277" s="1736"/>
      <c r="Q277" s="1722"/>
    </row>
    <row r="278">
      <c r="A278" s="1732"/>
      <c r="C278" s="1706"/>
      <c r="D278" s="1706"/>
      <c r="E278" s="1706"/>
      <c r="F278" s="1733"/>
      <c r="G278" s="1734"/>
      <c r="H278" s="1733"/>
      <c r="I278" s="1706"/>
      <c r="J278" s="1734"/>
      <c r="K278" s="1733"/>
      <c r="L278" s="1734"/>
      <c r="M278" s="1735"/>
      <c r="N278" s="1733"/>
      <c r="P278" s="1736"/>
      <c r="Q278" s="1722"/>
    </row>
    <row r="279">
      <c r="A279" s="1732"/>
      <c r="C279" s="1706"/>
      <c r="D279" s="1706"/>
      <c r="E279" s="1706"/>
      <c r="F279" s="1733"/>
      <c r="G279" s="1734"/>
      <c r="H279" s="1733"/>
      <c r="I279" s="1706"/>
      <c r="J279" s="1734"/>
      <c r="K279" s="1733"/>
      <c r="L279" s="1734"/>
      <c r="M279" s="1735"/>
      <c r="N279" s="1733"/>
      <c r="P279" s="1736"/>
      <c r="Q279" s="1722"/>
    </row>
    <row r="280">
      <c r="A280" s="1732"/>
      <c r="C280" s="1706"/>
      <c r="D280" s="1706"/>
      <c r="E280" s="1706"/>
      <c r="F280" s="1733"/>
      <c r="G280" s="1734"/>
      <c r="H280" s="1733"/>
      <c r="I280" s="1706"/>
      <c r="J280" s="1734"/>
      <c r="K280" s="1733"/>
      <c r="L280" s="1734"/>
      <c r="M280" s="1735"/>
      <c r="N280" s="1733"/>
      <c r="P280" s="1736"/>
      <c r="Q280" s="1722"/>
    </row>
    <row r="281">
      <c r="A281" s="1732"/>
      <c r="C281" s="1706"/>
      <c r="D281" s="1706"/>
      <c r="E281" s="1706"/>
      <c r="F281" s="1733"/>
      <c r="G281" s="1734"/>
      <c r="H281" s="1733"/>
      <c r="I281" s="1706"/>
      <c r="J281" s="1734"/>
      <c r="K281" s="1733"/>
      <c r="L281" s="1734"/>
      <c r="M281" s="1735"/>
      <c r="N281" s="1733"/>
      <c r="P281" s="1736"/>
      <c r="Q281" s="1722"/>
    </row>
    <row r="282">
      <c r="A282" s="1732"/>
      <c r="C282" s="1706"/>
      <c r="D282" s="1706"/>
      <c r="E282" s="1706"/>
      <c r="F282" s="1733"/>
      <c r="G282" s="1734"/>
      <c r="H282" s="1733"/>
      <c r="I282" s="1706"/>
      <c r="J282" s="1734"/>
      <c r="K282" s="1733"/>
      <c r="L282" s="1734"/>
      <c r="M282" s="1735"/>
      <c r="N282" s="1733"/>
      <c r="P282" s="1736"/>
      <c r="Q282" s="1722"/>
    </row>
    <row r="283">
      <c r="A283" s="1732"/>
      <c r="C283" s="1706"/>
      <c r="D283" s="1706"/>
      <c r="E283" s="1706"/>
      <c r="F283" s="1733"/>
      <c r="G283" s="1734"/>
      <c r="H283" s="1733"/>
      <c r="I283" s="1706"/>
      <c r="J283" s="1734"/>
      <c r="K283" s="1733"/>
      <c r="L283" s="1734"/>
      <c r="M283" s="1735"/>
      <c r="N283" s="1733"/>
      <c r="P283" s="1736"/>
      <c r="Q283" s="1722"/>
    </row>
    <row r="284">
      <c r="A284" s="1732"/>
      <c r="C284" s="1706"/>
      <c r="D284" s="1706"/>
      <c r="E284" s="1706"/>
      <c r="F284" s="1733"/>
      <c r="G284" s="1734"/>
      <c r="H284" s="1733"/>
      <c r="I284" s="1706"/>
      <c r="J284" s="1734"/>
      <c r="K284" s="1733"/>
      <c r="L284" s="1734"/>
      <c r="M284" s="1735"/>
      <c r="N284" s="1733"/>
      <c r="P284" s="1736"/>
      <c r="Q284" s="1722"/>
    </row>
    <row r="285">
      <c r="A285" s="1732"/>
      <c r="C285" s="1706"/>
      <c r="D285" s="1706"/>
      <c r="E285" s="1706"/>
      <c r="F285" s="1733"/>
      <c r="G285" s="1734"/>
      <c r="H285" s="1733"/>
      <c r="I285" s="1706"/>
      <c r="J285" s="1734"/>
      <c r="K285" s="1733"/>
      <c r="L285" s="1734"/>
      <c r="M285" s="1735"/>
      <c r="N285" s="1733"/>
      <c r="P285" s="1736"/>
      <c r="Q285" s="1722"/>
    </row>
    <row r="286">
      <c r="A286" s="1732"/>
      <c r="C286" s="1706"/>
      <c r="D286" s="1706"/>
      <c r="E286" s="1706"/>
      <c r="F286" s="1733"/>
      <c r="G286" s="1734"/>
      <c r="H286" s="1733"/>
      <c r="I286" s="1706"/>
      <c r="J286" s="1734"/>
      <c r="K286" s="1733"/>
      <c r="L286" s="1734"/>
      <c r="M286" s="1735"/>
      <c r="N286" s="1733"/>
      <c r="P286" s="1736"/>
      <c r="Q286" s="1722"/>
    </row>
    <row r="287">
      <c r="A287" s="1732"/>
      <c r="C287" s="1706"/>
      <c r="D287" s="1706"/>
      <c r="E287" s="1706"/>
      <c r="F287" s="1733"/>
      <c r="G287" s="1734"/>
      <c r="H287" s="1733"/>
      <c r="I287" s="1706"/>
      <c r="J287" s="1734"/>
      <c r="K287" s="1733"/>
      <c r="L287" s="1734"/>
      <c r="M287" s="1735"/>
      <c r="N287" s="1733"/>
      <c r="P287" s="1736"/>
      <c r="Q287" s="1722"/>
    </row>
    <row r="288">
      <c r="A288" s="1732"/>
      <c r="C288" s="1706"/>
      <c r="D288" s="1706"/>
      <c r="E288" s="1706"/>
      <c r="F288" s="1733"/>
      <c r="G288" s="1734"/>
      <c r="H288" s="1733"/>
      <c r="I288" s="1706"/>
      <c r="J288" s="1734"/>
      <c r="K288" s="1733"/>
      <c r="L288" s="1734"/>
      <c r="M288" s="1735"/>
      <c r="N288" s="1733"/>
      <c r="P288" s="1736"/>
      <c r="Q288" s="1722"/>
    </row>
    <row r="289">
      <c r="A289" s="1732"/>
      <c r="C289" s="1706"/>
      <c r="D289" s="1706"/>
      <c r="E289" s="1706"/>
      <c r="F289" s="1733"/>
      <c r="G289" s="1734"/>
      <c r="H289" s="1733"/>
      <c r="I289" s="1706"/>
      <c r="J289" s="1734"/>
      <c r="K289" s="1733"/>
      <c r="L289" s="1734"/>
      <c r="M289" s="1735"/>
      <c r="N289" s="1733"/>
      <c r="P289" s="1736"/>
      <c r="Q289" s="1722"/>
    </row>
    <row r="290">
      <c r="A290" s="1732"/>
      <c r="C290" s="1706"/>
      <c r="D290" s="1706"/>
      <c r="E290" s="1706"/>
      <c r="F290" s="1733"/>
      <c r="G290" s="1734"/>
      <c r="H290" s="1733"/>
      <c r="I290" s="1706"/>
      <c r="J290" s="1734"/>
      <c r="K290" s="1733"/>
      <c r="L290" s="1734"/>
      <c r="M290" s="1735"/>
      <c r="N290" s="1733"/>
      <c r="P290" s="1736"/>
      <c r="Q290" s="1722"/>
    </row>
    <row r="291">
      <c r="A291" s="1732"/>
      <c r="C291" s="1706"/>
      <c r="D291" s="1706"/>
      <c r="E291" s="1706"/>
      <c r="F291" s="1733"/>
      <c r="G291" s="1734"/>
      <c r="H291" s="1733"/>
      <c r="I291" s="1706"/>
      <c r="J291" s="1734"/>
      <c r="K291" s="1733"/>
      <c r="L291" s="1734"/>
      <c r="M291" s="1735"/>
      <c r="N291" s="1733"/>
      <c r="P291" s="1736"/>
      <c r="Q291" s="1722"/>
    </row>
    <row r="292">
      <c r="A292" s="1732"/>
      <c r="C292" s="1706"/>
      <c r="D292" s="1706"/>
      <c r="E292" s="1706"/>
      <c r="F292" s="1733"/>
      <c r="G292" s="1734"/>
      <c r="H292" s="1733"/>
      <c r="I292" s="1706"/>
      <c r="J292" s="1734"/>
      <c r="K292" s="1733"/>
      <c r="L292" s="1734"/>
      <c r="M292" s="1735"/>
      <c r="N292" s="1733"/>
      <c r="P292" s="1736"/>
      <c r="Q292" s="1722"/>
    </row>
    <row r="293">
      <c r="A293" s="1732"/>
      <c r="C293" s="1706"/>
      <c r="D293" s="1706"/>
      <c r="E293" s="1706"/>
      <c r="F293" s="1733"/>
      <c r="G293" s="1734"/>
      <c r="H293" s="1733"/>
      <c r="I293" s="1706"/>
      <c r="J293" s="1734"/>
      <c r="K293" s="1733"/>
      <c r="L293" s="1734"/>
      <c r="M293" s="1735"/>
      <c r="N293" s="1733"/>
      <c r="P293" s="1736"/>
      <c r="Q293" s="1722"/>
    </row>
    <row r="294">
      <c r="A294" s="1732"/>
      <c r="C294" s="1706"/>
      <c r="D294" s="1706"/>
      <c r="E294" s="1706"/>
      <c r="F294" s="1733"/>
      <c r="G294" s="1734"/>
      <c r="H294" s="1733"/>
      <c r="I294" s="1706"/>
      <c r="J294" s="1734"/>
      <c r="K294" s="1733"/>
      <c r="L294" s="1734"/>
      <c r="M294" s="1735"/>
      <c r="N294" s="1733"/>
      <c r="P294" s="1736"/>
      <c r="Q294" s="1722"/>
    </row>
    <row r="295">
      <c r="A295" s="1732"/>
      <c r="C295" s="1706"/>
      <c r="D295" s="1706"/>
      <c r="E295" s="1706"/>
      <c r="F295" s="1733"/>
      <c r="G295" s="1734"/>
      <c r="H295" s="1733"/>
      <c r="I295" s="1706"/>
      <c r="J295" s="1734"/>
      <c r="K295" s="1733"/>
      <c r="L295" s="1734"/>
      <c r="M295" s="1735"/>
      <c r="N295" s="1733"/>
      <c r="P295" s="1736"/>
      <c r="Q295" s="1722"/>
    </row>
    <row r="296">
      <c r="A296" s="1732"/>
      <c r="C296" s="1706"/>
      <c r="D296" s="1706"/>
      <c r="E296" s="1706"/>
      <c r="F296" s="1733"/>
      <c r="G296" s="1734"/>
      <c r="H296" s="1733"/>
      <c r="I296" s="1706"/>
      <c r="J296" s="1734"/>
      <c r="K296" s="1733"/>
      <c r="L296" s="1734"/>
      <c r="M296" s="1735"/>
      <c r="N296" s="1733"/>
      <c r="P296" s="1736"/>
      <c r="Q296" s="1722"/>
    </row>
    <row r="297">
      <c r="A297" s="1732"/>
      <c r="C297" s="1706"/>
      <c r="D297" s="1706"/>
      <c r="E297" s="1706"/>
      <c r="F297" s="1733"/>
      <c r="G297" s="1734"/>
      <c r="H297" s="1733"/>
      <c r="I297" s="1706"/>
      <c r="J297" s="1734"/>
      <c r="K297" s="1733"/>
      <c r="L297" s="1734"/>
      <c r="M297" s="1735"/>
      <c r="N297" s="1733"/>
      <c r="P297" s="1736"/>
      <c r="Q297" s="1722"/>
    </row>
    <row r="298">
      <c r="A298" s="1732"/>
      <c r="C298" s="1706"/>
      <c r="D298" s="1706"/>
      <c r="E298" s="1706"/>
      <c r="F298" s="1733"/>
      <c r="G298" s="1734"/>
      <c r="H298" s="1733"/>
      <c r="I298" s="1706"/>
      <c r="J298" s="1734"/>
      <c r="K298" s="1733"/>
      <c r="L298" s="1734"/>
      <c r="M298" s="1735"/>
      <c r="N298" s="1733"/>
      <c r="P298" s="1736"/>
      <c r="Q298" s="1722"/>
    </row>
    <row r="299">
      <c r="A299" s="1732"/>
      <c r="C299" s="1706"/>
      <c r="D299" s="1706"/>
      <c r="E299" s="1706"/>
      <c r="F299" s="1733"/>
      <c r="G299" s="1734"/>
      <c r="H299" s="1733"/>
      <c r="I299" s="1706"/>
      <c r="J299" s="1734"/>
      <c r="K299" s="1733"/>
      <c r="L299" s="1734"/>
      <c r="M299" s="1735"/>
      <c r="N299" s="1733"/>
      <c r="P299" s="1736"/>
      <c r="Q299" s="1722"/>
    </row>
    <row r="300">
      <c r="A300" s="1732"/>
      <c r="C300" s="1706"/>
      <c r="D300" s="1706"/>
      <c r="E300" s="1706"/>
      <c r="F300" s="1733"/>
      <c r="G300" s="1734"/>
      <c r="H300" s="1733"/>
      <c r="I300" s="1706"/>
      <c r="J300" s="1734"/>
      <c r="K300" s="1733"/>
      <c r="L300" s="1734"/>
      <c r="M300" s="1735"/>
      <c r="N300" s="1733"/>
      <c r="P300" s="1736"/>
      <c r="Q300" s="1722"/>
    </row>
    <row r="301">
      <c r="A301" s="1732"/>
      <c r="C301" s="1706"/>
      <c r="D301" s="1706"/>
      <c r="E301" s="1706"/>
      <c r="F301" s="1733"/>
      <c r="G301" s="1734"/>
      <c r="H301" s="1733"/>
      <c r="I301" s="1706"/>
      <c r="J301" s="1734"/>
      <c r="K301" s="1733"/>
      <c r="L301" s="1734"/>
      <c r="M301" s="1735"/>
      <c r="N301" s="1733"/>
      <c r="P301" s="1736"/>
      <c r="Q301" s="1722"/>
    </row>
    <row r="302">
      <c r="A302" s="1732"/>
      <c r="C302" s="1706"/>
      <c r="D302" s="1706"/>
      <c r="E302" s="1706"/>
      <c r="F302" s="1733"/>
      <c r="G302" s="1734"/>
      <c r="H302" s="1733"/>
      <c r="I302" s="1706"/>
      <c r="J302" s="1734"/>
      <c r="K302" s="1733"/>
      <c r="L302" s="1734"/>
      <c r="M302" s="1735"/>
      <c r="N302" s="1733"/>
      <c r="P302" s="1736"/>
      <c r="Q302" s="1722"/>
    </row>
    <row r="303">
      <c r="A303" s="1732"/>
      <c r="C303" s="1706"/>
      <c r="D303" s="1706"/>
      <c r="E303" s="1706"/>
      <c r="F303" s="1733"/>
      <c r="G303" s="1734"/>
      <c r="H303" s="1733"/>
      <c r="I303" s="1706"/>
      <c r="J303" s="1734"/>
      <c r="K303" s="1733"/>
      <c r="L303" s="1734"/>
      <c r="M303" s="1735"/>
      <c r="N303" s="1733"/>
      <c r="P303" s="1736"/>
      <c r="Q303" s="1722"/>
    </row>
    <row r="304">
      <c r="A304" s="1732"/>
      <c r="C304" s="1706"/>
      <c r="D304" s="1706"/>
      <c r="E304" s="1706"/>
      <c r="F304" s="1733"/>
      <c r="G304" s="1734"/>
      <c r="H304" s="1733"/>
      <c r="I304" s="1706"/>
      <c r="J304" s="1734"/>
      <c r="K304" s="1733"/>
      <c r="L304" s="1734"/>
      <c r="M304" s="1735"/>
      <c r="N304" s="1733"/>
      <c r="P304" s="1736"/>
      <c r="Q304" s="1722"/>
    </row>
    <row r="305">
      <c r="A305" s="1732"/>
      <c r="C305" s="1706"/>
      <c r="D305" s="1706"/>
      <c r="E305" s="1706"/>
      <c r="F305" s="1733"/>
      <c r="G305" s="1734"/>
      <c r="H305" s="1733"/>
      <c r="I305" s="1706"/>
      <c r="J305" s="1734"/>
      <c r="K305" s="1733"/>
      <c r="L305" s="1734"/>
      <c r="M305" s="1735"/>
      <c r="N305" s="1733"/>
      <c r="P305" s="1736"/>
      <c r="Q305" s="1722"/>
    </row>
    <row r="306">
      <c r="A306" s="1732"/>
      <c r="C306" s="1706"/>
      <c r="D306" s="1706"/>
      <c r="E306" s="1706"/>
      <c r="F306" s="1733"/>
      <c r="G306" s="1734"/>
      <c r="H306" s="1733"/>
      <c r="I306" s="1706"/>
      <c r="J306" s="1734"/>
      <c r="K306" s="1733"/>
      <c r="L306" s="1734"/>
      <c r="M306" s="1735"/>
      <c r="N306" s="1733"/>
      <c r="P306" s="1736"/>
      <c r="Q306" s="1722"/>
    </row>
    <row r="307">
      <c r="A307" s="1732"/>
      <c r="C307" s="1706"/>
      <c r="D307" s="1706"/>
      <c r="E307" s="1706"/>
      <c r="F307" s="1733"/>
      <c r="G307" s="1734"/>
      <c r="H307" s="1733"/>
      <c r="I307" s="1706"/>
      <c r="J307" s="1734"/>
      <c r="K307" s="1733"/>
      <c r="L307" s="1734"/>
      <c r="M307" s="1735"/>
      <c r="N307" s="1733"/>
      <c r="P307" s="1736"/>
      <c r="Q307" s="1722"/>
    </row>
    <row r="308">
      <c r="A308" s="1732"/>
      <c r="C308" s="1706"/>
      <c r="D308" s="1706"/>
      <c r="E308" s="1706"/>
      <c r="F308" s="1733"/>
      <c r="G308" s="1734"/>
      <c r="H308" s="1733"/>
      <c r="I308" s="1706"/>
      <c r="J308" s="1734"/>
      <c r="K308" s="1733"/>
      <c r="L308" s="1734"/>
      <c r="M308" s="1735"/>
      <c r="N308" s="1733"/>
      <c r="P308" s="1736"/>
      <c r="Q308" s="1722"/>
    </row>
    <row r="309">
      <c r="A309" s="1732"/>
      <c r="C309" s="1706"/>
      <c r="D309" s="1706"/>
      <c r="E309" s="1706"/>
      <c r="F309" s="1733"/>
      <c r="G309" s="1734"/>
      <c r="H309" s="1733"/>
      <c r="I309" s="1706"/>
      <c r="J309" s="1734"/>
      <c r="K309" s="1733"/>
      <c r="L309" s="1734"/>
      <c r="M309" s="1735"/>
      <c r="N309" s="1733"/>
      <c r="P309" s="1736"/>
      <c r="Q309" s="1722"/>
    </row>
    <row r="310">
      <c r="A310" s="1732"/>
      <c r="C310" s="1706"/>
      <c r="D310" s="1706"/>
      <c r="E310" s="1706"/>
      <c r="F310" s="1733"/>
      <c r="G310" s="1734"/>
      <c r="H310" s="1733"/>
      <c r="I310" s="1706"/>
      <c r="J310" s="1734"/>
      <c r="K310" s="1733"/>
      <c r="L310" s="1734"/>
      <c r="M310" s="1735"/>
      <c r="N310" s="1733"/>
      <c r="P310" s="1736"/>
      <c r="Q310" s="1722"/>
    </row>
    <row r="311">
      <c r="A311" s="1732"/>
      <c r="C311" s="1706"/>
      <c r="D311" s="1706"/>
      <c r="E311" s="1706"/>
      <c r="F311" s="1733"/>
      <c r="G311" s="1734"/>
      <c r="H311" s="1733"/>
      <c r="I311" s="1706"/>
      <c r="J311" s="1734"/>
      <c r="K311" s="1733"/>
      <c r="L311" s="1734"/>
      <c r="M311" s="1735"/>
      <c r="N311" s="1733"/>
      <c r="P311" s="1736"/>
      <c r="Q311" s="1722"/>
    </row>
    <row r="312">
      <c r="A312" s="1732"/>
      <c r="C312" s="1706"/>
      <c r="D312" s="1706"/>
      <c r="E312" s="1706"/>
      <c r="F312" s="1733"/>
      <c r="G312" s="1734"/>
      <c r="H312" s="1733"/>
      <c r="I312" s="1706"/>
      <c r="J312" s="1734"/>
      <c r="K312" s="1733"/>
      <c r="L312" s="1734"/>
      <c r="M312" s="1735"/>
      <c r="N312" s="1733"/>
      <c r="P312" s="1736"/>
      <c r="Q312" s="1722"/>
    </row>
    <row r="313">
      <c r="A313" s="1732"/>
      <c r="C313" s="1706"/>
      <c r="D313" s="1706"/>
      <c r="E313" s="1706"/>
      <c r="F313" s="1733"/>
      <c r="G313" s="1734"/>
      <c r="H313" s="1733"/>
      <c r="I313" s="1706"/>
      <c r="J313" s="1734"/>
      <c r="K313" s="1733"/>
      <c r="L313" s="1734"/>
      <c r="M313" s="1735"/>
      <c r="N313" s="1733"/>
      <c r="P313" s="1736"/>
      <c r="Q313" s="1722"/>
    </row>
    <row r="314">
      <c r="A314" s="1732"/>
      <c r="C314" s="1706"/>
      <c r="D314" s="1706"/>
      <c r="E314" s="1706"/>
      <c r="F314" s="1733"/>
      <c r="G314" s="1734"/>
      <c r="H314" s="1733"/>
      <c r="I314" s="1706"/>
      <c r="J314" s="1734"/>
      <c r="K314" s="1733"/>
      <c r="L314" s="1734"/>
      <c r="M314" s="1735"/>
      <c r="N314" s="1733"/>
      <c r="P314" s="1736"/>
      <c r="Q314" s="1722"/>
    </row>
    <row r="315">
      <c r="A315" s="1732"/>
      <c r="C315" s="1706"/>
      <c r="D315" s="1706"/>
      <c r="E315" s="1706"/>
      <c r="F315" s="1733"/>
      <c r="G315" s="1734"/>
      <c r="H315" s="1733"/>
      <c r="I315" s="1706"/>
      <c r="J315" s="1734"/>
      <c r="K315" s="1733"/>
      <c r="L315" s="1734"/>
      <c r="M315" s="1735"/>
      <c r="N315" s="1733"/>
      <c r="P315" s="1736"/>
      <c r="Q315" s="1722"/>
    </row>
    <row r="316">
      <c r="A316" s="1732"/>
      <c r="C316" s="1706"/>
      <c r="D316" s="1706"/>
      <c r="E316" s="1706"/>
      <c r="F316" s="1733"/>
      <c r="G316" s="1734"/>
      <c r="H316" s="1733"/>
      <c r="I316" s="1706"/>
      <c r="J316" s="1734"/>
      <c r="K316" s="1733"/>
      <c r="L316" s="1734"/>
      <c r="M316" s="1735"/>
      <c r="N316" s="1733"/>
      <c r="P316" s="1736"/>
      <c r="Q316" s="1722"/>
    </row>
    <row r="317">
      <c r="A317" s="1732"/>
      <c r="C317" s="1706"/>
      <c r="D317" s="1706"/>
      <c r="E317" s="1706"/>
      <c r="F317" s="1733"/>
      <c r="G317" s="1734"/>
      <c r="H317" s="1733"/>
      <c r="I317" s="1706"/>
      <c r="J317" s="1734"/>
      <c r="K317" s="1733"/>
      <c r="L317" s="1734"/>
      <c r="M317" s="1735"/>
      <c r="N317" s="1733"/>
      <c r="P317" s="1736"/>
      <c r="Q317" s="1722"/>
    </row>
    <row r="318">
      <c r="A318" s="1732"/>
      <c r="C318" s="1706"/>
      <c r="D318" s="1706"/>
      <c r="E318" s="1706"/>
      <c r="F318" s="1733"/>
      <c r="G318" s="1734"/>
      <c r="H318" s="1733"/>
      <c r="I318" s="1706"/>
      <c r="J318" s="1734"/>
      <c r="K318" s="1733"/>
      <c r="L318" s="1734"/>
      <c r="M318" s="1735"/>
      <c r="N318" s="1733"/>
      <c r="P318" s="1736"/>
      <c r="Q318" s="1722"/>
    </row>
    <row r="319">
      <c r="A319" s="1732"/>
      <c r="C319" s="1706"/>
      <c r="D319" s="1706"/>
      <c r="E319" s="1706"/>
      <c r="F319" s="1733"/>
      <c r="G319" s="1734"/>
      <c r="H319" s="1733"/>
      <c r="I319" s="1706"/>
      <c r="J319" s="1734"/>
      <c r="K319" s="1733"/>
      <c r="L319" s="1734"/>
      <c r="M319" s="1735"/>
      <c r="N319" s="1733"/>
      <c r="P319" s="1736"/>
      <c r="Q319" s="1722"/>
    </row>
    <row r="320">
      <c r="A320" s="1732"/>
      <c r="C320" s="1706"/>
      <c r="D320" s="1706"/>
      <c r="E320" s="1706"/>
      <c r="F320" s="1733"/>
      <c r="G320" s="1734"/>
      <c r="H320" s="1733"/>
      <c r="I320" s="1706"/>
      <c r="J320" s="1734"/>
      <c r="K320" s="1733"/>
      <c r="L320" s="1734"/>
      <c r="M320" s="1735"/>
      <c r="N320" s="1733"/>
      <c r="P320" s="1736"/>
      <c r="Q320" s="1722"/>
    </row>
    <row r="321">
      <c r="A321" s="1732"/>
      <c r="C321" s="1706"/>
      <c r="D321" s="1706"/>
      <c r="E321" s="1706"/>
      <c r="F321" s="1733"/>
      <c r="G321" s="1734"/>
      <c r="H321" s="1733"/>
      <c r="I321" s="1706"/>
      <c r="J321" s="1734"/>
      <c r="K321" s="1733"/>
      <c r="L321" s="1734"/>
      <c r="M321" s="1735"/>
      <c r="N321" s="1733"/>
      <c r="P321" s="1736"/>
      <c r="Q321" s="1722"/>
    </row>
    <row r="322">
      <c r="A322" s="1732"/>
      <c r="C322" s="1706"/>
      <c r="D322" s="1706"/>
      <c r="E322" s="1706"/>
      <c r="F322" s="1733"/>
      <c r="G322" s="1734"/>
      <c r="H322" s="1733"/>
      <c r="I322" s="1706"/>
      <c r="J322" s="1734"/>
      <c r="K322" s="1733"/>
      <c r="L322" s="1734"/>
      <c r="M322" s="1735"/>
      <c r="N322" s="1733"/>
      <c r="P322" s="1736"/>
      <c r="Q322" s="1722"/>
    </row>
    <row r="323">
      <c r="A323" s="1732"/>
      <c r="C323" s="1706"/>
      <c r="D323" s="1706"/>
      <c r="E323" s="1706"/>
      <c r="F323" s="1733"/>
      <c r="G323" s="1734"/>
      <c r="H323" s="1733"/>
      <c r="I323" s="1706"/>
      <c r="J323" s="1734"/>
      <c r="K323" s="1733"/>
      <c r="L323" s="1734"/>
      <c r="M323" s="1735"/>
      <c r="N323" s="1733"/>
      <c r="P323" s="1736"/>
      <c r="Q323" s="1722"/>
    </row>
    <row r="324">
      <c r="A324" s="1732"/>
      <c r="C324" s="1706"/>
      <c r="D324" s="1706"/>
      <c r="E324" s="1706"/>
      <c r="F324" s="1733"/>
      <c r="G324" s="1734"/>
      <c r="H324" s="1733"/>
      <c r="I324" s="1706"/>
      <c r="J324" s="1734"/>
      <c r="K324" s="1733"/>
      <c r="L324" s="1734"/>
      <c r="M324" s="1735"/>
      <c r="N324" s="1733"/>
      <c r="P324" s="1736"/>
      <c r="Q324" s="1722"/>
    </row>
    <row r="325">
      <c r="A325" s="1732"/>
      <c r="C325" s="1706"/>
      <c r="D325" s="1706"/>
      <c r="E325" s="1706"/>
      <c r="F325" s="1733"/>
      <c r="G325" s="1734"/>
      <c r="H325" s="1733"/>
      <c r="I325" s="1706"/>
      <c r="J325" s="1734"/>
      <c r="K325" s="1733"/>
      <c r="L325" s="1734"/>
      <c r="M325" s="1735"/>
      <c r="N325" s="1733"/>
      <c r="P325" s="1736"/>
      <c r="Q325" s="1722"/>
    </row>
    <row r="326">
      <c r="A326" s="1732"/>
      <c r="C326" s="1706"/>
      <c r="D326" s="1706"/>
      <c r="E326" s="1706"/>
      <c r="F326" s="1733"/>
      <c r="G326" s="1734"/>
      <c r="H326" s="1733"/>
      <c r="I326" s="1706"/>
      <c r="J326" s="1734"/>
      <c r="K326" s="1733"/>
      <c r="L326" s="1734"/>
      <c r="M326" s="1735"/>
      <c r="N326" s="1733"/>
      <c r="P326" s="1736"/>
      <c r="Q326" s="1722"/>
    </row>
    <row r="327">
      <c r="A327" s="1732"/>
      <c r="C327" s="1706"/>
      <c r="D327" s="1706"/>
      <c r="E327" s="1706"/>
      <c r="F327" s="1733"/>
      <c r="G327" s="1734"/>
      <c r="H327" s="1733"/>
      <c r="I327" s="1706"/>
      <c r="J327" s="1734"/>
      <c r="K327" s="1733"/>
      <c r="L327" s="1734"/>
      <c r="M327" s="1735"/>
      <c r="N327" s="1733"/>
      <c r="P327" s="1736"/>
      <c r="Q327" s="1722"/>
    </row>
    <row r="328">
      <c r="A328" s="1732"/>
      <c r="C328" s="1706"/>
      <c r="D328" s="1706"/>
      <c r="E328" s="1706"/>
      <c r="F328" s="1733"/>
      <c r="G328" s="1734"/>
      <c r="H328" s="1733"/>
      <c r="I328" s="1706"/>
      <c r="J328" s="1734"/>
      <c r="K328" s="1733"/>
      <c r="L328" s="1734"/>
      <c r="M328" s="1735"/>
      <c r="N328" s="1733"/>
      <c r="P328" s="1736"/>
      <c r="Q328" s="1722"/>
    </row>
    <row r="329">
      <c r="A329" s="1732"/>
      <c r="C329" s="1706"/>
      <c r="D329" s="1706"/>
      <c r="E329" s="1706"/>
      <c r="F329" s="1733"/>
      <c r="G329" s="1734"/>
      <c r="H329" s="1733"/>
      <c r="I329" s="1706"/>
      <c r="J329" s="1734"/>
      <c r="K329" s="1733"/>
      <c r="L329" s="1734"/>
      <c r="M329" s="1735"/>
      <c r="N329" s="1733"/>
      <c r="P329" s="1736"/>
      <c r="Q329" s="1722"/>
    </row>
    <row r="330">
      <c r="A330" s="1732"/>
      <c r="C330" s="1706"/>
      <c r="D330" s="1706"/>
      <c r="E330" s="1706"/>
      <c r="F330" s="1733"/>
      <c r="G330" s="1734"/>
      <c r="H330" s="1733"/>
      <c r="I330" s="1706"/>
      <c r="J330" s="1734"/>
      <c r="K330" s="1733"/>
      <c r="L330" s="1734"/>
      <c r="M330" s="1735"/>
      <c r="N330" s="1733"/>
      <c r="P330" s="1736"/>
      <c r="Q330" s="1722"/>
    </row>
    <row r="331">
      <c r="A331" s="1732"/>
      <c r="C331" s="1706"/>
      <c r="D331" s="1706"/>
      <c r="E331" s="1706"/>
      <c r="F331" s="1733"/>
      <c r="G331" s="1734"/>
      <c r="H331" s="1733"/>
      <c r="I331" s="1706"/>
      <c r="J331" s="1734"/>
      <c r="K331" s="1733"/>
      <c r="L331" s="1734"/>
      <c r="M331" s="1735"/>
      <c r="N331" s="1733"/>
      <c r="P331" s="1736"/>
      <c r="Q331" s="1722"/>
    </row>
    <row r="332">
      <c r="A332" s="1732"/>
      <c r="C332" s="1706"/>
      <c r="D332" s="1706"/>
      <c r="E332" s="1706"/>
      <c r="F332" s="1733"/>
      <c r="G332" s="1734"/>
      <c r="H332" s="1733"/>
      <c r="I332" s="1706"/>
      <c r="J332" s="1734"/>
      <c r="K332" s="1733"/>
      <c r="L332" s="1734"/>
      <c r="M332" s="1735"/>
      <c r="N332" s="1733"/>
      <c r="P332" s="1736"/>
      <c r="Q332" s="1722"/>
    </row>
    <row r="333">
      <c r="A333" s="1732"/>
      <c r="C333" s="1706"/>
      <c r="D333" s="1706"/>
      <c r="E333" s="1706"/>
      <c r="F333" s="1733"/>
      <c r="G333" s="1734"/>
      <c r="H333" s="1733"/>
      <c r="I333" s="1706"/>
      <c r="J333" s="1734"/>
      <c r="K333" s="1733"/>
      <c r="L333" s="1734"/>
      <c r="M333" s="1735"/>
      <c r="N333" s="1733"/>
      <c r="P333" s="1736"/>
      <c r="Q333" s="1722"/>
    </row>
    <row r="334">
      <c r="A334" s="1732"/>
      <c r="C334" s="1706"/>
      <c r="D334" s="1706"/>
      <c r="E334" s="1706"/>
      <c r="F334" s="1733"/>
      <c r="G334" s="1734"/>
      <c r="H334" s="1733"/>
      <c r="I334" s="1706"/>
      <c r="J334" s="1734"/>
      <c r="K334" s="1733"/>
      <c r="L334" s="1734"/>
      <c r="M334" s="1735"/>
      <c r="N334" s="1733"/>
      <c r="P334" s="1736"/>
      <c r="Q334" s="1722"/>
    </row>
    <row r="335">
      <c r="A335" s="1732"/>
      <c r="C335" s="1706"/>
      <c r="D335" s="1706"/>
      <c r="E335" s="1706"/>
      <c r="F335" s="1733"/>
      <c r="G335" s="1734"/>
      <c r="H335" s="1733"/>
      <c r="I335" s="1706"/>
      <c r="J335" s="1734"/>
      <c r="K335" s="1733"/>
      <c r="L335" s="1734"/>
      <c r="M335" s="1735"/>
      <c r="N335" s="1733"/>
      <c r="P335" s="1736"/>
      <c r="Q335" s="1722"/>
    </row>
    <row r="336">
      <c r="A336" s="1732"/>
      <c r="C336" s="1706"/>
      <c r="D336" s="1706"/>
      <c r="E336" s="1706"/>
      <c r="F336" s="1733"/>
      <c r="G336" s="1734"/>
      <c r="H336" s="1733"/>
      <c r="I336" s="1706"/>
      <c r="J336" s="1734"/>
      <c r="K336" s="1733"/>
      <c r="L336" s="1734"/>
      <c r="M336" s="1735"/>
      <c r="N336" s="1733"/>
      <c r="P336" s="1736"/>
      <c r="Q336" s="1722"/>
    </row>
    <row r="337">
      <c r="A337" s="1732"/>
      <c r="C337" s="1706"/>
      <c r="D337" s="1706"/>
      <c r="E337" s="1706"/>
      <c r="F337" s="1733"/>
      <c r="G337" s="1734"/>
      <c r="H337" s="1733"/>
      <c r="I337" s="1706"/>
      <c r="J337" s="1734"/>
      <c r="K337" s="1733"/>
      <c r="L337" s="1734"/>
      <c r="M337" s="1735"/>
      <c r="N337" s="1733"/>
      <c r="P337" s="1736"/>
      <c r="Q337" s="1722"/>
    </row>
    <row r="338">
      <c r="A338" s="1732"/>
      <c r="C338" s="1706"/>
      <c r="D338" s="1706"/>
      <c r="E338" s="1706"/>
      <c r="F338" s="1733"/>
      <c r="G338" s="1734"/>
      <c r="H338" s="1733"/>
      <c r="I338" s="1706"/>
      <c r="J338" s="1734"/>
      <c r="K338" s="1733"/>
      <c r="L338" s="1734"/>
      <c r="M338" s="1735"/>
      <c r="N338" s="1733"/>
      <c r="P338" s="1736"/>
      <c r="Q338" s="1722"/>
    </row>
    <row r="339">
      <c r="A339" s="1732"/>
      <c r="C339" s="1706"/>
      <c r="D339" s="1706"/>
      <c r="E339" s="1706"/>
      <c r="F339" s="1733"/>
      <c r="G339" s="1734"/>
      <c r="H339" s="1733"/>
      <c r="I339" s="1706"/>
      <c r="J339" s="1734"/>
      <c r="K339" s="1733"/>
      <c r="L339" s="1734"/>
      <c r="M339" s="1735"/>
      <c r="N339" s="1733"/>
      <c r="P339" s="1736"/>
      <c r="Q339" s="1722"/>
    </row>
    <row r="340">
      <c r="A340" s="1732"/>
      <c r="C340" s="1706"/>
      <c r="D340" s="1706"/>
      <c r="E340" s="1706"/>
      <c r="F340" s="1733"/>
      <c r="G340" s="1734"/>
      <c r="H340" s="1733"/>
      <c r="I340" s="1706"/>
      <c r="J340" s="1734"/>
      <c r="K340" s="1733"/>
      <c r="L340" s="1734"/>
      <c r="M340" s="1735"/>
      <c r="N340" s="1733"/>
      <c r="P340" s="1736"/>
      <c r="Q340" s="1722"/>
    </row>
    <row r="341">
      <c r="A341" s="1732"/>
      <c r="C341" s="1706"/>
      <c r="D341" s="1706"/>
      <c r="E341" s="1706"/>
      <c r="F341" s="1733"/>
      <c r="G341" s="1734"/>
      <c r="H341" s="1733"/>
      <c r="I341" s="1706"/>
      <c r="J341" s="1734"/>
      <c r="K341" s="1733"/>
      <c r="L341" s="1734"/>
      <c r="M341" s="1735"/>
      <c r="N341" s="1733"/>
      <c r="P341" s="1736"/>
      <c r="Q341" s="1722"/>
    </row>
    <row r="342">
      <c r="A342" s="1732"/>
      <c r="C342" s="1706"/>
      <c r="D342" s="1706"/>
      <c r="E342" s="1706"/>
      <c r="F342" s="1733"/>
      <c r="G342" s="1734"/>
      <c r="H342" s="1733"/>
      <c r="I342" s="1706"/>
      <c r="J342" s="1734"/>
      <c r="K342" s="1733"/>
      <c r="L342" s="1734"/>
      <c r="M342" s="1735"/>
      <c r="N342" s="1733"/>
      <c r="P342" s="1736"/>
      <c r="Q342" s="1722"/>
    </row>
    <row r="343">
      <c r="A343" s="1732"/>
      <c r="C343" s="1706"/>
      <c r="D343" s="1706"/>
      <c r="E343" s="1706"/>
      <c r="F343" s="1733"/>
      <c r="G343" s="1734"/>
      <c r="H343" s="1733"/>
      <c r="I343" s="1706"/>
      <c r="J343" s="1734"/>
      <c r="K343" s="1733"/>
      <c r="L343" s="1734"/>
      <c r="M343" s="1735"/>
      <c r="N343" s="1733"/>
      <c r="P343" s="1736"/>
      <c r="Q343" s="1722"/>
    </row>
    <row r="344">
      <c r="A344" s="1732"/>
      <c r="C344" s="1706"/>
      <c r="D344" s="1706"/>
      <c r="E344" s="1706"/>
      <c r="F344" s="1733"/>
      <c r="G344" s="1734"/>
      <c r="H344" s="1733"/>
      <c r="I344" s="1706"/>
      <c r="J344" s="1734"/>
      <c r="K344" s="1733"/>
      <c r="L344" s="1734"/>
      <c r="M344" s="1735"/>
      <c r="N344" s="1733"/>
      <c r="P344" s="1736"/>
      <c r="Q344" s="1722"/>
    </row>
    <row r="345">
      <c r="A345" s="1732"/>
      <c r="C345" s="1706"/>
      <c r="D345" s="1706"/>
      <c r="E345" s="1706"/>
      <c r="F345" s="1733"/>
      <c r="G345" s="1734"/>
      <c r="H345" s="1733"/>
      <c r="I345" s="1706"/>
      <c r="J345" s="1734"/>
      <c r="K345" s="1733"/>
      <c r="L345" s="1734"/>
      <c r="M345" s="1735"/>
      <c r="N345" s="1733"/>
      <c r="P345" s="1736"/>
      <c r="Q345" s="1722"/>
    </row>
    <row r="346">
      <c r="A346" s="1732"/>
      <c r="C346" s="1706"/>
      <c r="D346" s="1706"/>
      <c r="E346" s="1706"/>
      <c r="F346" s="1733"/>
      <c r="G346" s="1734"/>
      <c r="H346" s="1733"/>
      <c r="I346" s="1706"/>
      <c r="J346" s="1734"/>
      <c r="K346" s="1733"/>
      <c r="L346" s="1734"/>
      <c r="M346" s="1735"/>
      <c r="N346" s="1733"/>
      <c r="P346" s="1736"/>
      <c r="Q346" s="1722"/>
    </row>
    <row r="347">
      <c r="A347" s="1732"/>
      <c r="C347" s="1706"/>
      <c r="D347" s="1706"/>
      <c r="E347" s="1706"/>
      <c r="F347" s="1733"/>
      <c r="G347" s="1734"/>
      <c r="H347" s="1733"/>
      <c r="I347" s="1706"/>
      <c r="J347" s="1734"/>
      <c r="K347" s="1733"/>
      <c r="L347" s="1734"/>
      <c r="M347" s="1735"/>
      <c r="N347" s="1733"/>
      <c r="P347" s="1736"/>
      <c r="Q347" s="1722"/>
    </row>
    <row r="348">
      <c r="A348" s="1732"/>
      <c r="C348" s="1706"/>
      <c r="D348" s="1706"/>
      <c r="E348" s="1706"/>
      <c r="F348" s="1733"/>
      <c r="G348" s="1734"/>
      <c r="H348" s="1733"/>
      <c r="I348" s="1706"/>
      <c r="J348" s="1734"/>
      <c r="K348" s="1733"/>
      <c r="L348" s="1734"/>
      <c r="M348" s="1735"/>
      <c r="N348" s="1733"/>
      <c r="P348" s="1736"/>
      <c r="Q348" s="1722"/>
    </row>
    <row r="349">
      <c r="A349" s="1732"/>
      <c r="C349" s="1706"/>
      <c r="D349" s="1706"/>
      <c r="E349" s="1706"/>
      <c r="F349" s="1733"/>
      <c r="G349" s="1734"/>
      <c r="H349" s="1733"/>
      <c r="I349" s="1706"/>
      <c r="J349" s="1734"/>
      <c r="K349" s="1733"/>
      <c r="L349" s="1734"/>
      <c r="M349" s="1735"/>
      <c r="N349" s="1733"/>
      <c r="P349" s="1736"/>
      <c r="Q349" s="1722"/>
    </row>
    <row r="350">
      <c r="A350" s="1732"/>
      <c r="C350" s="1706"/>
      <c r="D350" s="1706"/>
      <c r="E350" s="1706"/>
      <c r="F350" s="1733"/>
      <c r="G350" s="1734"/>
      <c r="H350" s="1733"/>
      <c r="I350" s="1706"/>
      <c r="J350" s="1734"/>
      <c r="K350" s="1733"/>
      <c r="L350" s="1734"/>
      <c r="M350" s="1735"/>
      <c r="N350" s="1733"/>
      <c r="P350" s="1736"/>
      <c r="Q350" s="1722"/>
    </row>
    <row r="351">
      <c r="A351" s="1732"/>
      <c r="C351" s="1706"/>
      <c r="D351" s="1706"/>
      <c r="E351" s="1706"/>
      <c r="F351" s="1733"/>
      <c r="G351" s="1734"/>
      <c r="H351" s="1733"/>
      <c r="I351" s="1706"/>
      <c r="J351" s="1734"/>
      <c r="K351" s="1733"/>
      <c r="L351" s="1734"/>
      <c r="M351" s="1735"/>
      <c r="N351" s="1733"/>
      <c r="P351" s="1736"/>
      <c r="Q351" s="1722"/>
    </row>
    <row r="352">
      <c r="A352" s="1732"/>
      <c r="C352" s="1706"/>
      <c r="D352" s="1706"/>
      <c r="E352" s="1706"/>
      <c r="F352" s="1733"/>
      <c r="G352" s="1734"/>
      <c r="H352" s="1733"/>
      <c r="I352" s="1706"/>
      <c r="J352" s="1734"/>
      <c r="K352" s="1733"/>
      <c r="L352" s="1734"/>
      <c r="M352" s="1735"/>
      <c r="N352" s="1733"/>
      <c r="P352" s="1736"/>
      <c r="Q352" s="1722"/>
    </row>
    <row r="353">
      <c r="A353" s="1732"/>
      <c r="C353" s="1706"/>
      <c r="D353" s="1706"/>
      <c r="E353" s="1706"/>
      <c r="F353" s="1733"/>
      <c r="G353" s="1734"/>
      <c r="H353" s="1733"/>
      <c r="I353" s="1706"/>
      <c r="J353" s="1734"/>
      <c r="K353" s="1733"/>
      <c r="L353" s="1734"/>
      <c r="M353" s="1735"/>
      <c r="N353" s="1733"/>
      <c r="P353" s="1736"/>
      <c r="Q353" s="1722"/>
    </row>
    <row r="354">
      <c r="A354" s="1732"/>
      <c r="C354" s="1706"/>
      <c r="D354" s="1706"/>
      <c r="E354" s="1706"/>
      <c r="F354" s="1733"/>
      <c r="G354" s="1734"/>
      <c r="H354" s="1733"/>
      <c r="I354" s="1706"/>
      <c r="J354" s="1734"/>
      <c r="K354" s="1733"/>
      <c r="L354" s="1734"/>
      <c r="M354" s="1735"/>
      <c r="N354" s="1733"/>
      <c r="P354" s="1736"/>
      <c r="Q354" s="1722"/>
    </row>
    <row r="355">
      <c r="A355" s="1732"/>
      <c r="C355" s="1706"/>
      <c r="D355" s="1706"/>
      <c r="E355" s="1706"/>
      <c r="F355" s="1733"/>
      <c r="G355" s="1734"/>
      <c r="H355" s="1733"/>
      <c r="I355" s="1706"/>
      <c r="J355" s="1734"/>
      <c r="K355" s="1733"/>
      <c r="L355" s="1734"/>
      <c r="M355" s="1735"/>
      <c r="N355" s="1733"/>
      <c r="P355" s="1736"/>
      <c r="Q355" s="1722"/>
    </row>
    <row r="356">
      <c r="A356" s="1732"/>
      <c r="C356" s="1706"/>
      <c r="D356" s="1706"/>
      <c r="E356" s="1706"/>
      <c r="F356" s="1733"/>
      <c r="G356" s="1734"/>
      <c r="H356" s="1733"/>
      <c r="I356" s="1706"/>
      <c r="J356" s="1734"/>
      <c r="K356" s="1733"/>
      <c r="L356" s="1734"/>
      <c r="M356" s="1735"/>
      <c r="N356" s="1733"/>
      <c r="P356" s="1736"/>
      <c r="Q356" s="1722"/>
    </row>
    <row r="357">
      <c r="A357" s="1732"/>
      <c r="C357" s="1706"/>
      <c r="D357" s="1706"/>
      <c r="E357" s="1706"/>
      <c r="F357" s="1733"/>
      <c r="G357" s="1734"/>
      <c r="H357" s="1733"/>
      <c r="I357" s="1706"/>
      <c r="J357" s="1734"/>
      <c r="K357" s="1733"/>
      <c r="L357" s="1734"/>
      <c r="M357" s="1735"/>
      <c r="N357" s="1733"/>
      <c r="P357" s="1736"/>
      <c r="Q357" s="1722"/>
    </row>
    <row r="358">
      <c r="A358" s="1732"/>
      <c r="C358" s="1706"/>
      <c r="D358" s="1706"/>
      <c r="E358" s="1706"/>
      <c r="F358" s="1733"/>
      <c r="G358" s="1734"/>
      <c r="H358" s="1733"/>
      <c r="I358" s="1706"/>
      <c r="J358" s="1734"/>
      <c r="K358" s="1733"/>
      <c r="L358" s="1734"/>
      <c r="M358" s="1735"/>
      <c r="N358" s="1733"/>
      <c r="P358" s="1736"/>
      <c r="Q358" s="1722"/>
    </row>
    <row r="359">
      <c r="A359" s="1732"/>
      <c r="C359" s="1706"/>
      <c r="D359" s="1706"/>
      <c r="E359" s="1706"/>
      <c r="F359" s="1733"/>
      <c r="G359" s="1734"/>
      <c r="H359" s="1733"/>
      <c r="I359" s="1706"/>
      <c r="J359" s="1734"/>
      <c r="K359" s="1733"/>
      <c r="L359" s="1734"/>
      <c r="M359" s="1735"/>
      <c r="N359" s="1733"/>
      <c r="P359" s="1736"/>
      <c r="Q359" s="1722"/>
    </row>
    <row r="360">
      <c r="A360" s="1732"/>
      <c r="C360" s="1706"/>
      <c r="D360" s="1706"/>
      <c r="E360" s="1706"/>
      <c r="F360" s="1733"/>
      <c r="G360" s="1734"/>
      <c r="H360" s="1733"/>
      <c r="I360" s="1706"/>
      <c r="J360" s="1734"/>
      <c r="K360" s="1733"/>
      <c r="L360" s="1734"/>
      <c r="M360" s="1735"/>
      <c r="N360" s="1733"/>
      <c r="P360" s="1736"/>
      <c r="Q360" s="1722"/>
    </row>
    <row r="361">
      <c r="A361" s="1732"/>
      <c r="C361" s="1706"/>
      <c r="D361" s="1706"/>
      <c r="E361" s="1706"/>
      <c r="F361" s="1733"/>
      <c r="G361" s="1734"/>
      <c r="H361" s="1733"/>
      <c r="I361" s="1706"/>
      <c r="J361" s="1734"/>
      <c r="K361" s="1733"/>
      <c r="L361" s="1734"/>
      <c r="M361" s="1735"/>
      <c r="N361" s="1733"/>
      <c r="P361" s="1736"/>
      <c r="Q361" s="1722"/>
    </row>
    <row r="362">
      <c r="A362" s="1732"/>
      <c r="C362" s="1706"/>
      <c r="D362" s="1706"/>
      <c r="E362" s="1706"/>
      <c r="F362" s="1733"/>
      <c r="G362" s="1734"/>
      <c r="H362" s="1733"/>
      <c r="I362" s="1706"/>
      <c r="J362" s="1734"/>
      <c r="K362" s="1733"/>
      <c r="L362" s="1734"/>
      <c r="M362" s="1735"/>
      <c r="N362" s="1733"/>
      <c r="P362" s="1736"/>
      <c r="Q362" s="1722"/>
    </row>
    <row r="363">
      <c r="A363" s="1732"/>
      <c r="C363" s="1706"/>
      <c r="D363" s="1706"/>
      <c r="E363" s="1706"/>
      <c r="F363" s="1733"/>
      <c r="G363" s="1734"/>
      <c r="H363" s="1733"/>
      <c r="I363" s="1706"/>
      <c r="J363" s="1734"/>
      <c r="K363" s="1733"/>
      <c r="L363" s="1734"/>
      <c r="M363" s="1735"/>
      <c r="N363" s="1733"/>
      <c r="P363" s="1736"/>
      <c r="Q363" s="1722"/>
    </row>
    <row r="364">
      <c r="A364" s="1732"/>
      <c r="C364" s="1706"/>
      <c r="D364" s="1706"/>
      <c r="E364" s="1706"/>
      <c r="F364" s="1733"/>
      <c r="G364" s="1734"/>
      <c r="H364" s="1733"/>
      <c r="I364" s="1706"/>
      <c r="J364" s="1734"/>
      <c r="K364" s="1733"/>
      <c r="L364" s="1734"/>
      <c r="M364" s="1735"/>
      <c r="N364" s="1733"/>
      <c r="P364" s="1736"/>
      <c r="Q364" s="1722"/>
    </row>
    <row r="365">
      <c r="A365" s="1732"/>
      <c r="C365" s="1706"/>
      <c r="D365" s="1706"/>
      <c r="E365" s="1706"/>
      <c r="F365" s="1733"/>
      <c r="G365" s="1734"/>
      <c r="H365" s="1733"/>
      <c r="I365" s="1706"/>
      <c r="J365" s="1734"/>
      <c r="K365" s="1733"/>
      <c r="L365" s="1734"/>
      <c r="M365" s="1735"/>
      <c r="N365" s="1733"/>
      <c r="P365" s="1736"/>
      <c r="Q365" s="1722"/>
    </row>
    <row r="366">
      <c r="A366" s="1732"/>
      <c r="C366" s="1706"/>
      <c r="D366" s="1706"/>
      <c r="E366" s="1706"/>
      <c r="F366" s="1733"/>
      <c r="G366" s="1734"/>
      <c r="H366" s="1733"/>
      <c r="I366" s="1706"/>
      <c r="J366" s="1734"/>
      <c r="K366" s="1733"/>
      <c r="L366" s="1734"/>
      <c r="M366" s="1735"/>
      <c r="N366" s="1733"/>
      <c r="P366" s="1736"/>
      <c r="Q366" s="1722"/>
    </row>
    <row r="367">
      <c r="A367" s="1732"/>
      <c r="C367" s="1706"/>
      <c r="D367" s="1706"/>
      <c r="E367" s="1706"/>
      <c r="F367" s="1733"/>
      <c r="G367" s="1734"/>
      <c r="H367" s="1733"/>
      <c r="I367" s="1706"/>
      <c r="J367" s="1734"/>
      <c r="K367" s="1733"/>
      <c r="L367" s="1734"/>
      <c r="M367" s="1735"/>
      <c r="N367" s="1733"/>
      <c r="P367" s="1736"/>
      <c r="Q367" s="1722"/>
    </row>
    <row r="368">
      <c r="A368" s="1732"/>
      <c r="C368" s="1706"/>
      <c r="D368" s="1706"/>
      <c r="E368" s="1706"/>
      <c r="F368" s="1733"/>
      <c r="G368" s="1734"/>
      <c r="H368" s="1733"/>
      <c r="I368" s="1706"/>
      <c r="J368" s="1734"/>
      <c r="K368" s="1733"/>
      <c r="L368" s="1734"/>
      <c r="M368" s="1735"/>
      <c r="N368" s="1733"/>
      <c r="P368" s="1736"/>
      <c r="Q368" s="1722"/>
    </row>
    <row r="369">
      <c r="A369" s="1732"/>
      <c r="C369" s="1706"/>
      <c r="D369" s="1706"/>
      <c r="E369" s="1706"/>
      <c r="F369" s="1733"/>
      <c r="G369" s="1734"/>
      <c r="H369" s="1733"/>
      <c r="I369" s="1706"/>
      <c r="J369" s="1734"/>
      <c r="K369" s="1733"/>
      <c r="L369" s="1734"/>
      <c r="M369" s="1735"/>
      <c r="N369" s="1733"/>
      <c r="P369" s="1736"/>
      <c r="Q369" s="1722"/>
    </row>
    <row r="370">
      <c r="A370" s="1732"/>
      <c r="C370" s="1706"/>
      <c r="D370" s="1706"/>
      <c r="E370" s="1706"/>
      <c r="F370" s="1733"/>
      <c r="G370" s="1734"/>
      <c r="H370" s="1733"/>
      <c r="I370" s="1706"/>
      <c r="J370" s="1734"/>
      <c r="K370" s="1733"/>
      <c r="L370" s="1734"/>
      <c r="M370" s="1735"/>
      <c r="N370" s="1733"/>
      <c r="P370" s="1736"/>
      <c r="Q370" s="1722"/>
    </row>
    <row r="371">
      <c r="A371" s="1732"/>
      <c r="C371" s="1706"/>
      <c r="D371" s="1706"/>
      <c r="E371" s="1706"/>
      <c r="F371" s="1733"/>
      <c r="G371" s="1734"/>
      <c r="H371" s="1733"/>
      <c r="I371" s="1706"/>
      <c r="J371" s="1734"/>
      <c r="K371" s="1733"/>
      <c r="L371" s="1734"/>
      <c r="M371" s="1735"/>
      <c r="N371" s="1733"/>
      <c r="P371" s="1736"/>
      <c r="Q371" s="1722"/>
    </row>
    <row r="372">
      <c r="A372" s="1732"/>
      <c r="C372" s="1706"/>
      <c r="D372" s="1706"/>
      <c r="E372" s="1706"/>
      <c r="F372" s="1733"/>
      <c r="G372" s="1734"/>
      <c r="H372" s="1733"/>
      <c r="I372" s="1706"/>
      <c r="J372" s="1734"/>
      <c r="K372" s="1733"/>
      <c r="L372" s="1734"/>
      <c r="M372" s="1735"/>
      <c r="N372" s="1733"/>
      <c r="P372" s="1736"/>
      <c r="Q372" s="1722"/>
    </row>
    <row r="373">
      <c r="A373" s="1732"/>
      <c r="C373" s="1706"/>
      <c r="D373" s="1706"/>
      <c r="E373" s="1706"/>
      <c r="F373" s="1733"/>
      <c r="G373" s="1734"/>
      <c r="H373" s="1733"/>
      <c r="I373" s="1706"/>
      <c r="J373" s="1734"/>
      <c r="K373" s="1733"/>
      <c r="L373" s="1734"/>
      <c r="M373" s="1735"/>
      <c r="N373" s="1733"/>
      <c r="P373" s="1736"/>
      <c r="Q373" s="1722"/>
    </row>
    <row r="374">
      <c r="A374" s="1732"/>
      <c r="C374" s="1706"/>
      <c r="D374" s="1706"/>
      <c r="E374" s="1706"/>
      <c r="F374" s="1733"/>
      <c r="G374" s="1734"/>
      <c r="H374" s="1733"/>
      <c r="I374" s="1706"/>
      <c r="J374" s="1734"/>
      <c r="K374" s="1733"/>
      <c r="L374" s="1734"/>
      <c r="M374" s="1735"/>
      <c r="N374" s="1733"/>
      <c r="P374" s="1736"/>
      <c r="Q374" s="1722"/>
    </row>
    <row r="375">
      <c r="A375" s="1732"/>
      <c r="C375" s="1706"/>
      <c r="D375" s="1706"/>
      <c r="E375" s="1706"/>
      <c r="F375" s="1733"/>
      <c r="G375" s="1734"/>
      <c r="H375" s="1733"/>
      <c r="I375" s="1706"/>
      <c r="J375" s="1734"/>
      <c r="K375" s="1733"/>
      <c r="L375" s="1734"/>
      <c r="M375" s="1735"/>
      <c r="N375" s="1733"/>
      <c r="P375" s="1736"/>
      <c r="Q375" s="1722"/>
    </row>
    <row r="376">
      <c r="A376" s="1732"/>
      <c r="C376" s="1706"/>
      <c r="D376" s="1706"/>
      <c r="E376" s="1706"/>
      <c r="F376" s="1733"/>
      <c r="G376" s="1734"/>
      <c r="H376" s="1733"/>
      <c r="I376" s="1706"/>
      <c r="J376" s="1734"/>
      <c r="K376" s="1733"/>
      <c r="L376" s="1734"/>
      <c r="M376" s="1735"/>
      <c r="N376" s="1733"/>
      <c r="P376" s="1736"/>
      <c r="Q376" s="1722"/>
    </row>
    <row r="377">
      <c r="A377" s="1732"/>
      <c r="C377" s="1706"/>
      <c r="D377" s="1706"/>
      <c r="E377" s="1706"/>
      <c r="F377" s="1733"/>
      <c r="G377" s="1734"/>
      <c r="H377" s="1733"/>
      <c r="I377" s="1706"/>
      <c r="J377" s="1734"/>
      <c r="K377" s="1733"/>
      <c r="L377" s="1734"/>
      <c r="M377" s="1735"/>
      <c r="N377" s="1733"/>
      <c r="P377" s="1736"/>
      <c r="Q377" s="1722"/>
    </row>
    <row r="378">
      <c r="A378" s="1732"/>
      <c r="C378" s="1706"/>
      <c r="D378" s="1706"/>
      <c r="E378" s="1706"/>
      <c r="F378" s="1733"/>
      <c r="G378" s="1734"/>
      <c r="H378" s="1733"/>
      <c r="I378" s="1706"/>
      <c r="J378" s="1734"/>
      <c r="K378" s="1733"/>
      <c r="L378" s="1734"/>
      <c r="M378" s="1735"/>
      <c r="N378" s="1733"/>
      <c r="P378" s="1736"/>
      <c r="Q378" s="1722"/>
    </row>
    <row r="379">
      <c r="A379" s="1732"/>
      <c r="C379" s="1706"/>
      <c r="D379" s="1706"/>
      <c r="E379" s="1706"/>
      <c r="F379" s="1733"/>
      <c r="G379" s="1734"/>
      <c r="H379" s="1733"/>
      <c r="I379" s="1706"/>
      <c r="J379" s="1734"/>
      <c r="K379" s="1733"/>
      <c r="L379" s="1734"/>
      <c r="M379" s="1735"/>
      <c r="N379" s="1733"/>
      <c r="P379" s="1736"/>
      <c r="Q379" s="1722"/>
    </row>
    <row r="380">
      <c r="A380" s="1732"/>
      <c r="C380" s="1706"/>
      <c r="D380" s="1706"/>
      <c r="E380" s="1706"/>
      <c r="F380" s="1733"/>
      <c r="G380" s="1734"/>
      <c r="H380" s="1733"/>
      <c r="I380" s="1706"/>
      <c r="J380" s="1734"/>
      <c r="K380" s="1733"/>
      <c r="L380" s="1734"/>
      <c r="M380" s="1735"/>
      <c r="N380" s="1733"/>
      <c r="P380" s="1736"/>
      <c r="Q380" s="1722"/>
    </row>
    <row r="381">
      <c r="A381" s="1732"/>
      <c r="C381" s="1706"/>
      <c r="D381" s="1706"/>
      <c r="E381" s="1706"/>
      <c r="F381" s="1733"/>
      <c r="G381" s="1734"/>
      <c r="H381" s="1733"/>
      <c r="I381" s="1706"/>
      <c r="J381" s="1734"/>
      <c r="K381" s="1733"/>
      <c r="L381" s="1734"/>
      <c r="M381" s="1735"/>
      <c r="N381" s="1733"/>
      <c r="P381" s="1736"/>
      <c r="Q381" s="1722"/>
    </row>
    <row r="382">
      <c r="A382" s="1732"/>
      <c r="C382" s="1706"/>
      <c r="D382" s="1706"/>
      <c r="E382" s="1706"/>
      <c r="F382" s="1733"/>
      <c r="G382" s="1734"/>
      <c r="H382" s="1733"/>
      <c r="I382" s="1706"/>
      <c r="J382" s="1734"/>
      <c r="K382" s="1733"/>
      <c r="L382" s="1734"/>
      <c r="M382" s="1735"/>
      <c r="N382" s="1733"/>
      <c r="P382" s="1736"/>
      <c r="Q382" s="1722"/>
    </row>
    <row r="383">
      <c r="A383" s="1732"/>
      <c r="C383" s="1706"/>
      <c r="D383" s="1706"/>
      <c r="E383" s="1706"/>
      <c r="F383" s="1733"/>
      <c r="G383" s="1734"/>
      <c r="H383" s="1733"/>
      <c r="I383" s="1706"/>
      <c r="J383" s="1734"/>
      <c r="K383" s="1733"/>
      <c r="L383" s="1734"/>
      <c r="M383" s="1735"/>
      <c r="N383" s="1733"/>
      <c r="P383" s="1736"/>
      <c r="Q383" s="1722"/>
    </row>
    <row r="384">
      <c r="A384" s="1732"/>
      <c r="C384" s="1706"/>
      <c r="D384" s="1706"/>
      <c r="E384" s="1706"/>
      <c r="F384" s="1733"/>
      <c r="G384" s="1734"/>
      <c r="H384" s="1733"/>
      <c r="I384" s="1706"/>
      <c r="J384" s="1734"/>
      <c r="K384" s="1733"/>
      <c r="L384" s="1734"/>
      <c r="M384" s="1735"/>
      <c r="N384" s="1733"/>
      <c r="P384" s="1736"/>
      <c r="Q384" s="1722"/>
    </row>
    <row r="385">
      <c r="A385" s="1732"/>
      <c r="C385" s="1706"/>
      <c r="D385" s="1706"/>
      <c r="E385" s="1706"/>
      <c r="F385" s="1733"/>
      <c r="G385" s="1734"/>
      <c r="H385" s="1733"/>
      <c r="I385" s="1706"/>
      <c r="J385" s="1734"/>
      <c r="K385" s="1733"/>
      <c r="L385" s="1734"/>
      <c r="M385" s="1735"/>
      <c r="N385" s="1733"/>
      <c r="P385" s="1736"/>
      <c r="Q385" s="1722"/>
    </row>
    <row r="386">
      <c r="A386" s="1732"/>
      <c r="C386" s="1706"/>
      <c r="D386" s="1706"/>
      <c r="E386" s="1706"/>
      <c r="F386" s="1733"/>
      <c r="G386" s="1734"/>
      <c r="H386" s="1733"/>
      <c r="I386" s="1706"/>
      <c r="J386" s="1734"/>
      <c r="K386" s="1733"/>
      <c r="L386" s="1734"/>
      <c r="M386" s="1735"/>
      <c r="N386" s="1733"/>
      <c r="P386" s="1736"/>
      <c r="Q386" s="1722"/>
    </row>
    <row r="387">
      <c r="A387" s="1732"/>
      <c r="C387" s="1706"/>
      <c r="D387" s="1706"/>
      <c r="E387" s="1706"/>
      <c r="F387" s="1733"/>
      <c r="G387" s="1734"/>
      <c r="H387" s="1733"/>
      <c r="I387" s="1706"/>
      <c r="J387" s="1734"/>
      <c r="K387" s="1733"/>
      <c r="L387" s="1734"/>
      <c r="M387" s="1735"/>
      <c r="N387" s="1733"/>
      <c r="P387" s="1736"/>
      <c r="Q387" s="1722"/>
    </row>
    <row r="388">
      <c r="A388" s="1732"/>
      <c r="C388" s="1706"/>
      <c r="D388" s="1706"/>
      <c r="E388" s="1706"/>
      <c r="F388" s="1733"/>
      <c r="G388" s="1734"/>
      <c r="H388" s="1733"/>
      <c r="I388" s="1706"/>
      <c r="J388" s="1734"/>
      <c r="K388" s="1733"/>
      <c r="L388" s="1734"/>
      <c r="M388" s="1735"/>
      <c r="N388" s="1733"/>
      <c r="P388" s="1736"/>
      <c r="Q388" s="1722"/>
    </row>
    <row r="389">
      <c r="A389" s="1732"/>
      <c r="C389" s="1706"/>
      <c r="D389" s="1706"/>
      <c r="E389" s="1706"/>
      <c r="F389" s="1733"/>
      <c r="G389" s="1734"/>
      <c r="H389" s="1733"/>
      <c r="I389" s="1706"/>
      <c r="J389" s="1734"/>
      <c r="K389" s="1733"/>
      <c r="L389" s="1734"/>
      <c r="M389" s="1735"/>
      <c r="N389" s="1733"/>
      <c r="P389" s="1736"/>
      <c r="Q389" s="1722"/>
    </row>
    <row r="390">
      <c r="A390" s="1732"/>
      <c r="C390" s="1706"/>
      <c r="D390" s="1706"/>
      <c r="E390" s="1706"/>
      <c r="F390" s="1733"/>
      <c r="G390" s="1734"/>
      <c r="H390" s="1733"/>
      <c r="I390" s="1706"/>
      <c r="J390" s="1734"/>
      <c r="K390" s="1733"/>
      <c r="L390" s="1734"/>
      <c r="M390" s="1735"/>
      <c r="N390" s="1733"/>
      <c r="P390" s="1736"/>
      <c r="Q390" s="1722"/>
    </row>
    <row r="391">
      <c r="A391" s="1732"/>
      <c r="C391" s="1706"/>
      <c r="D391" s="1706"/>
      <c r="E391" s="1706"/>
      <c r="F391" s="1733"/>
      <c r="G391" s="1734"/>
      <c r="H391" s="1733"/>
      <c r="I391" s="1706"/>
      <c r="J391" s="1734"/>
      <c r="K391" s="1733"/>
      <c r="L391" s="1734"/>
      <c r="M391" s="1735"/>
      <c r="N391" s="1733"/>
      <c r="P391" s="1736"/>
      <c r="Q391" s="1722"/>
    </row>
    <row r="392">
      <c r="A392" s="1732"/>
      <c r="C392" s="1706"/>
      <c r="D392" s="1706"/>
      <c r="E392" s="1706"/>
      <c r="F392" s="1733"/>
      <c r="G392" s="1734"/>
      <c r="H392" s="1733"/>
      <c r="I392" s="1706"/>
      <c r="J392" s="1734"/>
      <c r="K392" s="1733"/>
      <c r="L392" s="1734"/>
      <c r="M392" s="1735"/>
      <c r="N392" s="1733"/>
      <c r="P392" s="1736"/>
      <c r="Q392" s="1722"/>
    </row>
    <row r="393">
      <c r="A393" s="1732"/>
      <c r="C393" s="1706"/>
      <c r="D393" s="1706"/>
      <c r="E393" s="1706"/>
      <c r="F393" s="1733"/>
      <c r="G393" s="1734"/>
      <c r="H393" s="1733"/>
      <c r="I393" s="1706"/>
      <c r="J393" s="1734"/>
      <c r="K393" s="1733"/>
      <c r="L393" s="1734"/>
      <c r="M393" s="1735"/>
      <c r="N393" s="1733"/>
      <c r="P393" s="1736"/>
      <c r="Q393" s="1722"/>
    </row>
    <row r="394">
      <c r="A394" s="1732"/>
      <c r="C394" s="1706"/>
      <c r="D394" s="1706"/>
      <c r="E394" s="1706"/>
      <c r="F394" s="1733"/>
      <c r="G394" s="1734"/>
      <c r="H394" s="1733"/>
      <c r="I394" s="1706"/>
      <c r="J394" s="1734"/>
      <c r="K394" s="1733"/>
      <c r="L394" s="1734"/>
      <c r="M394" s="1735"/>
      <c r="N394" s="1733"/>
      <c r="P394" s="1736"/>
      <c r="Q394" s="1722"/>
    </row>
    <row r="395">
      <c r="A395" s="1732"/>
      <c r="C395" s="1706"/>
      <c r="D395" s="1706"/>
      <c r="E395" s="1706"/>
      <c r="F395" s="1733"/>
      <c r="G395" s="1734"/>
      <c r="H395" s="1733"/>
      <c r="I395" s="1706"/>
      <c r="J395" s="1734"/>
      <c r="K395" s="1733"/>
      <c r="L395" s="1734"/>
      <c r="M395" s="1735"/>
      <c r="N395" s="1733"/>
      <c r="P395" s="1736"/>
      <c r="Q395" s="1722"/>
    </row>
    <row r="396">
      <c r="A396" s="1732"/>
      <c r="C396" s="1706"/>
      <c r="D396" s="1706"/>
      <c r="E396" s="1706"/>
      <c r="F396" s="1733"/>
      <c r="G396" s="1734"/>
      <c r="H396" s="1733"/>
      <c r="I396" s="1706"/>
      <c r="J396" s="1734"/>
      <c r="K396" s="1733"/>
      <c r="L396" s="1734"/>
      <c r="M396" s="1735"/>
      <c r="N396" s="1733"/>
      <c r="P396" s="1736"/>
      <c r="Q396" s="1722"/>
    </row>
    <row r="397">
      <c r="A397" s="1732"/>
      <c r="C397" s="1706"/>
      <c r="D397" s="1706"/>
      <c r="E397" s="1706"/>
      <c r="F397" s="1733"/>
      <c r="G397" s="1734"/>
      <c r="H397" s="1733"/>
      <c r="I397" s="1706"/>
      <c r="J397" s="1734"/>
      <c r="K397" s="1733"/>
      <c r="L397" s="1734"/>
      <c r="M397" s="1735"/>
      <c r="N397" s="1733"/>
      <c r="P397" s="1736"/>
      <c r="Q397" s="1722"/>
    </row>
    <row r="398">
      <c r="A398" s="1732"/>
      <c r="C398" s="1706"/>
      <c r="D398" s="1706"/>
      <c r="E398" s="1706"/>
      <c r="F398" s="1733"/>
      <c r="G398" s="1734"/>
      <c r="H398" s="1733"/>
      <c r="I398" s="1706"/>
      <c r="J398" s="1734"/>
      <c r="K398" s="1733"/>
      <c r="L398" s="1734"/>
      <c r="M398" s="1735"/>
      <c r="N398" s="1733"/>
      <c r="P398" s="1736"/>
      <c r="Q398" s="1722"/>
    </row>
    <row r="399">
      <c r="A399" s="1732"/>
      <c r="C399" s="1706"/>
      <c r="D399" s="1706"/>
      <c r="E399" s="1706"/>
      <c r="F399" s="1733"/>
      <c r="G399" s="1734"/>
      <c r="H399" s="1733"/>
      <c r="I399" s="1706"/>
      <c r="J399" s="1734"/>
      <c r="K399" s="1733"/>
      <c r="L399" s="1734"/>
      <c r="M399" s="1735"/>
      <c r="N399" s="1733"/>
      <c r="P399" s="1736"/>
      <c r="Q399" s="1722"/>
    </row>
    <row r="400">
      <c r="A400" s="1732"/>
      <c r="C400" s="1706"/>
      <c r="D400" s="1706"/>
      <c r="E400" s="1706"/>
      <c r="F400" s="1733"/>
      <c r="G400" s="1734"/>
      <c r="H400" s="1733"/>
      <c r="I400" s="1706"/>
      <c r="J400" s="1734"/>
      <c r="K400" s="1733"/>
      <c r="L400" s="1734"/>
      <c r="M400" s="1735"/>
      <c r="N400" s="1733"/>
      <c r="P400" s="1736"/>
      <c r="Q400" s="1722"/>
    </row>
    <row r="401">
      <c r="A401" s="1732"/>
      <c r="C401" s="1706"/>
      <c r="D401" s="1706"/>
      <c r="E401" s="1706"/>
      <c r="F401" s="1733"/>
      <c r="G401" s="1734"/>
      <c r="H401" s="1733"/>
      <c r="I401" s="1706"/>
      <c r="J401" s="1734"/>
      <c r="K401" s="1733"/>
      <c r="L401" s="1734"/>
      <c r="M401" s="1735"/>
      <c r="N401" s="1733"/>
      <c r="P401" s="1736"/>
      <c r="Q401" s="1722"/>
    </row>
    <row r="402">
      <c r="A402" s="1732"/>
      <c r="C402" s="1706"/>
      <c r="D402" s="1706"/>
      <c r="E402" s="1706"/>
      <c r="F402" s="1733"/>
      <c r="G402" s="1734"/>
      <c r="H402" s="1733"/>
      <c r="I402" s="1706"/>
      <c r="J402" s="1734"/>
      <c r="K402" s="1733"/>
      <c r="L402" s="1734"/>
      <c r="M402" s="1735"/>
      <c r="N402" s="1733"/>
      <c r="P402" s="1736"/>
      <c r="Q402" s="1722"/>
    </row>
    <row r="403">
      <c r="A403" s="1732"/>
      <c r="C403" s="1706"/>
      <c r="D403" s="1706"/>
      <c r="E403" s="1706"/>
      <c r="F403" s="1733"/>
      <c r="G403" s="1734"/>
      <c r="H403" s="1733"/>
      <c r="I403" s="1706"/>
      <c r="J403" s="1734"/>
      <c r="K403" s="1733"/>
      <c r="L403" s="1734"/>
      <c r="M403" s="1735"/>
      <c r="N403" s="1733"/>
      <c r="P403" s="1736"/>
      <c r="Q403" s="1722"/>
    </row>
    <row r="404">
      <c r="A404" s="1732"/>
      <c r="C404" s="1706"/>
      <c r="D404" s="1706"/>
      <c r="E404" s="1706"/>
      <c r="F404" s="1733"/>
      <c r="G404" s="1734"/>
      <c r="H404" s="1733"/>
      <c r="I404" s="1706"/>
      <c r="J404" s="1734"/>
      <c r="K404" s="1733"/>
      <c r="L404" s="1734"/>
      <c r="M404" s="1735"/>
      <c r="N404" s="1733"/>
      <c r="P404" s="1736"/>
      <c r="Q404" s="1722"/>
    </row>
    <row r="405">
      <c r="A405" s="1732"/>
      <c r="C405" s="1706"/>
      <c r="D405" s="1706"/>
      <c r="E405" s="1706"/>
      <c r="F405" s="1733"/>
      <c r="G405" s="1734"/>
      <c r="H405" s="1733"/>
      <c r="I405" s="1706"/>
      <c r="J405" s="1734"/>
      <c r="K405" s="1733"/>
      <c r="L405" s="1734"/>
      <c r="M405" s="1735"/>
      <c r="N405" s="1733"/>
      <c r="P405" s="1736"/>
      <c r="Q405" s="1722"/>
    </row>
    <row r="406">
      <c r="A406" s="1732"/>
      <c r="C406" s="1706"/>
      <c r="D406" s="1706"/>
      <c r="E406" s="1706"/>
      <c r="F406" s="1733"/>
      <c r="G406" s="1734"/>
      <c r="H406" s="1733"/>
      <c r="I406" s="1706"/>
      <c r="J406" s="1734"/>
      <c r="K406" s="1733"/>
      <c r="L406" s="1734"/>
      <c r="M406" s="1735"/>
      <c r="N406" s="1733"/>
      <c r="P406" s="1736"/>
      <c r="Q406" s="1722"/>
    </row>
    <row r="407">
      <c r="A407" s="1732"/>
      <c r="C407" s="1706"/>
      <c r="D407" s="1706"/>
      <c r="E407" s="1706"/>
      <c r="F407" s="1733"/>
      <c r="G407" s="1734"/>
      <c r="H407" s="1733"/>
      <c r="I407" s="1706"/>
      <c r="J407" s="1734"/>
      <c r="K407" s="1733"/>
      <c r="L407" s="1734"/>
      <c r="M407" s="1735"/>
      <c r="N407" s="1733"/>
      <c r="P407" s="1736"/>
      <c r="Q407" s="1722"/>
    </row>
    <row r="408">
      <c r="A408" s="1732"/>
      <c r="C408" s="1706"/>
      <c r="D408" s="1706"/>
      <c r="E408" s="1706"/>
      <c r="F408" s="1733"/>
      <c r="G408" s="1734"/>
      <c r="H408" s="1733"/>
      <c r="I408" s="1706"/>
      <c r="J408" s="1734"/>
      <c r="K408" s="1733"/>
      <c r="L408" s="1734"/>
      <c r="M408" s="1735"/>
      <c r="N408" s="1733"/>
      <c r="P408" s="1736"/>
      <c r="Q408" s="1722"/>
    </row>
    <row r="409">
      <c r="A409" s="1732"/>
      <c r="C409" s="1706"/>
      <c r="D409" s="1706"/>
      <c r="E409" s="1706"/>
      <c r="F409" s="1733"/>
      <c r="G409" s="1734"/>
      <c r="H409" s="1733"/>
      <c r="I409" s="1706"/>
      <c r="J409" s="1734"/>
      <c r="K409" s="1733"/>
      <c r="L409" s="1734"/>
      <c r="M409" s="1735"/>
      <c r="N409" s="1733"/>
      <c r="P409" s="1736"/>
      <c r="Q409" s="1722"/>
    </row>
    <row r="410">
      <c r="A410" s="1732"/>
      <c r="C410" s="1706"/>
      <c r="D410" s="1706"/>
      <c r="E410" s="1706"/>
      <c r="F410" s="1733"/>
      <c r="G410" s="1734"/>
      <c r="H410" s="1733"/>
      <c r="I410" s="1706"/>
      <c r="J410" s="1734"/>
      <c r="K410" s="1733"/>
      <c r="L410" s="1734"/>
      <c r="M410" s="1735"/>
      <c r="N410" s="1733"/>
      <c r="P410" s="1736"/>
      <c r="Q410" s="1722"/>
    </row>
    <row r="411">
      <c r="A411" s="1732"/>
      <c r="C411" s="1706"/>
      <c r="D411" s="1706"/>
      <c r="E411" s="1706"/>
      <c r="F411" s="1733"/>
      <c r="G411" s="1734"/>
      <c r="H411" s="1733"/>
      <c r="I411" s="1706"/>
      <c r="J411" s="1734"/>
      <c r="K411" s="1733"/>
      <c r="L411" s="1734"/>
      <c r="M411" s="1735"/>
      <c r="N411" s="1733"/>
      <c r="P411" s="1736"/>
      <c r="Q411" s="1722"/>
    </row>
    <row r="412">
      <c r="A412" s="1732"/>
      <c r="C412" s="1706"/>
      <c r="D412" s="1706"/>
      <c r="E412" s="1706"/>
      <c r="F412" s="1733"/>
      <c r="G412" s="1734"/>
      <c r="H412" s="1733"/>
      <c r="I412" s="1706"/>
      <c r="J412" s="1734"/>
      <c r="K412" s="1733"/>
      <c r="L412" s="1734"/>
      <c r="M412" s="1735"/>
      <c r="N412" s="1733"/>
      <c r="P412" s="1736"/>
      <c r="Q412" s="1722"/>
    </row>
    <row r="413">
      <c r="A413" s="1732"/>
      <c r="C413" s="1706"/>
      <c r="D413" s="1706"/>
      <c r="E413" s="1706"/>
      <c r="F413" s="1733"/>
      <c r="G413" s="1734"/>
      <c r="H413" s="1733"/>
      <c r="I413" s="1706"/>
      <c r="J413" s="1734"/>
      <c r="K413" s="1733"/>
      <c r="L413" s="1734"/>
      <c r="M413" s="1735"/>
      <c r="N413" s="1733"/>
      <c r="P413" s="1736"/>
      <c r="Q413" s="1722"/>
    </row>
    <row r="414">
      <c r="A414" s="1732"/>
      <c r="C414" s="1706"/>
      <c r="D414" s="1706"/>
      <c r="E414" s="1706"/>
      <c r="F414" s="1733"/>
      <c r="G414" s="1734"/>
      <c r="H414" s="1733"/>
      <c r="I414" s="1706"/>
      <c r="J414" s="1734"/>
      <c r="K414" s="1733"/>
      <c r="L414" s="1734"/>
      <c r="M414" s="1735"/>
      <c r="N414" s="1733"/>
      <c r="P414" s="1736"/>
      <c r="Q414" s="1722"/>
    </row>
    <row r="415">
      <c r="A415" s="1732"/>
      <c r="C415" s="1706"/>
      <c r="D415" s="1706"/>
      <c r="E415" s="1706"/>
      <c r="F415" s="1733"/>
      <c r="G415" s="1734"/>
      <c r="H415" s="1733"/>
      <c r="I415" s="1706"/>
      <c r="J415" s="1734"/>
      <c r="K415" s="1733"/>
      <c r="L415" s="1734"/>
      <c r="M415" s="1735"/>
      <c r="N415" s="1733"/>
      <c r="P415" s="1736"/>
      <c r="Q415" s="1722"/>
    </row>
    <row r="416">
      <c r="A416" s="1732"/>
      <c r="C416" s="1706"/>
      <c r="D416" s="1706"/>
      <c r="E416" s="1706"/>
      <c r="F416" s="1733"/>
      <c r="G416" s="1734"/>
      <c r="H416" s="1733"/>
      <c r="I416" s="1706"/>
      <c r="J416" s="1734"/>
      <c r="K416" s="1733"/>
      <c r="L416" s="1734"/>
      <c r="M416" s="1735"/>
      <c r="N416" s="1733"/>
      <c r="P416" s="1736"/>
      <c r="Q416" s="1722"/>
    </row>
    <row r="417">
      <c r="A417" s="1732"/>
      <c r="C417" s="1706"/>
      <c r="D417" s="1706"/>
      <c r="E417" s="1706"/>
      <c r="F417" s="1733"/>
      <c r="G417" s="1734"/>
      <c r="H417" s="1733"/>
      <c r="I417" s="1706"/>
      <c r="J417" s="1734"/>
      <c r="K417" s="1733"/>
      <c r="L417" s="1734"/>
      <c r="M417" s="1735"/>
      <c r="N417" s="1733"/>
      <c r="P417" s="1736"/>
      <c r="Q417" s="1722"/>
    </row>
    <row r="418">
      <c r="A418" s="1732"/>
      <c r="C418" s="1706"/>
      <c r="D418" s="1706"/>
      <c r="E418" s="1706"/>
      <c r="F418" s="1733"/>
      <c r="G418" s="1734"/>
      <c r="H418" s="1733"/>
      <c r="I418" s="1706"/>
      <c r="J418" s="1734"/>
      <c r="K418" s="1733"/>
      <c r="L418" s="1734"/>
      <c r="M418" s="1735"/>
      <c r="N418" s="1733"/>
      <c r="P418" s="1736"/>
      <c r="Q418" s="1722"/>
    </row>
    <row r="419">
      <c r="A419" s="1732"/>
      <c r="C419" s="1706"/>
      <c r="D419" s="1706"/>
      <c r="E419" s="1706"/>
      <c r="F419" s="1733"/>
      <c r="G419" s="1734"/>
      <c r="H419" s="1733"/>
      <c r="I419" s="1706"/>
      <c r="J419" s="1734"/>
      <c r="K419" s="1733"/>
      <c r="L419" s="1734"/>
      <c r="M419" s="1735"/>
      <c r="N419" s="1733"/>
      <c r="P419" s="1736"/>
      <c r="Q419" s="1722"/>
    </row>
    <row r="420">
      <c r="A420" s="1732"/>
      <c r="C420" s="1706"/>
      <c r="D420" s="1706"/>
      <c r="E420" s="1706"/>
      <c r="F420" s="1733"/>
      <c r="G420" s="1734"/>
      <c r="H420" s="1733"/>
      <c r="I420" s="1706"/>
      <c r="J420" s="1734"/>
      <c r="K420" s="1733"/>
      <c r="L420" s="1734"/>
      <c r="M420" s="1735"/>
      <c r="N420" s="1733"/>
      <c r="P420" s="1736"/>
      <c r="Q420" s="1722"/>
    </row>
    <row r="421">
      <c r="A421" s="1732"/>
      <c r="C421" s="1706"/>
      <c r="D421" s="1706"/>
      <c r="E421" s="1706"/>
      <c r="F421" s="1733"/>
      <c r="G421" s="1734"/>
      <c r="H421" s="1733"/>
      <c r="I421" s="1706"/>
      <c r="J421" s="1734"/>
      <c r="K421" s="1733"/>
      <c r="L421" s="1734"/>
      <c r="M421" s="1735"/>
      <c r="N421" s="1733"/>
      <c r="P421" s="1736"/>
      <c r="Q421" s="1722"/>
    </row>
    <row r="422">
      <c r="A422" s="1732"/>
      <c r="C422" s="1706"/>
      <c r="D422" s="1706"/>
      <c r="E422" s="1706"/>
      <c r="F422" s="1733"/>
      <c r="G422" s="1734"/>
      <c r="H422" s="1733"/>
      <c r="I422" s="1706"/>
      <c r="J422" s="1734"/>
      <c r="K422" s="1733"/>
      <c r="L422" s="1734"/>
      <c r="M422" s="1735"/>
      <c r="N422" s="1733"/>
      <c r="P422" s="1736"/>
      <c r="Q422" s="1722"/>
    </row>
    <row r="423">
      <c r="A423" s="1732"/>
      <c r="C423" s="1706"/>
      <c r="D423" s="1706"/>
      <c r="E423" s="1706"/>
      <c r="F423" s="1733"/>
      <c r="G423" s="1734"/>
      <c r="H423" s="1733"/>
      <c r="I423" s="1706"/>
      <c r="J423" s="1734"/>
      <c r="K423" s="1733"/>
      <c r="L423" s="1734"/>
      <c r="M423" s="1735"/>
      <c r="N423" s="1733"/>
      <c r="P423" s="1736"/>
      <c r="Q423" s="1722"/>
    </row>
    <row r="424">
      <c r="A424" s="1732"/>
      <c r="C424" s="1706"/>
      <c r="D424" s="1706"/>
      <c r="E424" s="1706"/>
      <c r="F424" s="1733"/>
      <c r="G424" s="1734"/>
      <c r="H424" s="1733"/>
      <c r="I424" s="1706"/>
      <c r="J424" s="1734"/>
      <c r="K424" s="1733"/>
      <c r="L424" s="1734"/>
      <c r="M424" s="1735"/>
      <c r="N424" s="1733"/>
      <c r="P424" s="1736"/>
      <c r="Q424" s="1722"/>
    </row>
    <row r="425">
      <c r="A425" s="1732"/>
      <c r="C425" s="1706"/>
      <c r="D425" s="1706"/>
      <c r="E425" s="1706"/>
      <c r="F425" s="1733"/>
      <c r="G425" s="1734"/>
      <c r="H425" s="1733"/>
      <c r="I425" s="1706"/>
      <c r="J425" s="1734"/>
      <c r="K425" s="1733"/>
      <c r="L425" s="1734"/>
      <c r="M425" s="1735"/>
      <c r="N425" s="1733"/>
      <c r="P425" s="1736"/>
      <c r="Q425" s="1722"/>
    </row>
    <row r="426">
      <c r="A426" s="1732"/>
      <c r="C426" s="1706"/>
      <c r="D426" s="1706"/>
      <c r="E426" s="1706"/>
      <c r="F426" s="1733"/>
      <c r="G426" s="1734"/>
      <c r="H426" s="1733"/>
      <c r="I426" s="1706"/>
      <c r="J426" s="1734"/>
      <c r="K426" s="1733"/>
      <c r="L426" s="1734"/>
      <c r="M426" s="1735"/>
      <c r="N426" s="1733"/>
      <c r="P426" s="1736"/>
      <c r="Q426" s="1722"/>
    </row>
    <row r="427">
      <c r="A427" s="1732"/>
      <c r="C427" s="1706"/>
      <c r="D427" s="1706"/>
      <c r="E427" s="1706"/>
      <c r="F427" s="1733"/>
      <c r="G427" s="1734"/>
      <c r="H427" s="1733"/>
      <c r="I427" s="1706"/>
      <c r="J427" s="1734"/>
      <c r="K427" s="1733"/>
      <c r="L427" s="1734"/>
      <c r="M427" s="1735"/>
      <c r="N427" s="1733"/>
      <c r="P427" s="1736"/>
      <c r="Q427" s="1722"/>
    </row>
    <row r="428">
      <c r="A428" s="1732"/>
      <c r="C428" s="1706"/>
      <c r="D428" s="1706"/>
      <c r="E428" s="1706"/>
      <c r="F428" s="1733"/>
      <c r="G428" s="1734"/>
      <c r="H428" s="1733"/>
      <c r="I428" s="1706"/>
      <c r="J428" s="1734"/>
      <c r="K428" s="1733"/>
      <c r="L428" s="1734"/>
      <c r="M428" s="1735"/>
      <c r="N428" s="1733"/>
      <c r="P428" s="1736"/>
      <c r="Q428" s="1722"/>
    </row>
    <row r="429">
      <c r="A429" s="1732"/>
      <c r="C429" s="1706"/>
      <c r="D429" s="1706"/>
      <c r="E429" s="1706"/>
      <c r="F429" s="1733"/>
      <c r="G429" s="1734"/>
      <c r="H429" s="1733"/>
      <c r="I429" s="1706"/>
      <c r="J429" s="1734"/>
      <c r="K429" s="1733"/>
      <c r="L429" s="1734"/>
      <c r="M429" s="1735"/>
      <c r="N429" s="1733"/>
      <c r="P429" s="1736"/>
      <c r="Q429" s="1722"/>
    </row>
    <row r="430">
      <c r="A430" s="1732"/>
      <c r="C430" s="1706"/>
      <c r="D430" s="1706"/>
      <c r="E430" s="1706"/>
      <c r="F430" s="1733"/>
      <c r="G430" s="1734"/>
      <c r="H430" s="1733"/>
      <c r="I430" s="1706"/>
      <c r="J430" s="1734"/>
      <c r="K430" s="1733"/>
      <c r="L430" s="1734"/>
      <c r="M430" s="1735"/>
      <c r="N430" s="1733"/>
      <c r="P430" s="1736"/>
      <c r="Q430" s="1722"/>
    </row>
    <row r="431">
      <c r="A431" s="1732"/>
      <c r="C431" s="1706"/>
      <c r="D431" s="1706"/>
      <c r="E431" s="1706"/>
      <c r="F431" s="1733"/>
      <c r="G431" s="1734"/>
      <c r="H431" s="1733"/>
      <c r="I431" s="1706"/>
      <c r="J431" s="1734"/>
      <c r="K431" s="1733"/>
      <c r="L431" s="1734"/>
      <c r="M431" s="1735"/>
      <c r="N431" s="1733"/>
      <c r="P431" s="1736"/>
      <c r="Q431" s="1722"/>
    </row>
    <row r="432">
      <c r="A432" s="1732"/>
      <c r="C432" s="1706"/>
      <c r="D432" s="1706"/>
      <c r="E432" s="1706"/>
      <c r="F432" s="1733"/>
      <c r="G432" s="1734"/>
      <c r="H432" s="1733"/>
      <c r="I432" s="1706"/>
      <c r="J432" s="1734"/>
      <c r="K432" s="1733"/>
      <c r="L432" s="1734"/>
      <c r="M432" s="1735"/>
      <c r="N432" s="1733"/>
      <c r="P432" s="1736"/>
      <c r="Q432" s="1722"/>
    </row>
    <row r="433">
      <c r="A433" s="1732"/>
      <c r="C433" s="1706"/>
      <c r="D433" s="1706"/>
      <c r="E433" s="1706"/>
      <c r="F433" s="1733"/>
      <c r="G433" s="1734"/>
      <c r="H433" s="1733"/>
      <c r="I433" s="1706"/>
      <c r="J433" s="1734"/>
      <c r="K433" s="1733"/>
      <c r="L433" s="1734"/>
      <c r="M433" s="1735"/>
      <c r="N433" s="1733"/>
      <c r="P433" s="1736"/>
      <c r="Q433" s="1722"/>
    </row>
    <row r="434">
      <c r="A434" s="1732"/>
      <c r="C434" s="1706"/>
      <c r="D434" s="1706"/>
      <c r="E434" s="1706"/>
      <c r="F434" s="1733"/>
      <c r="G434" s="1734"/>
      <c r="H434" s="1733"/>
      <c r="I434" s="1706"/>
      <c r="J434" s="1734"/>
      <c r="K434" s="1733"/>
      <c r="L434" s="1734"/>
      <c r="M434" s="1735"/>
      <c r="N434" s="1733"/>
      <c r="P434" s="1736"/>
      <c r="Q434" s="1722"/>
    </row>
    <row r="435">
      <c r="A435" s="1732"/>
      <c r="C435" s="1706"/>
      <c r="D435" s="1706"/>
      <c r="E435" s="1706"/>
      <c r="F435" s="1733"/>
      <c r="G435" s="1734"/>
      <c r="H435" s="1733"/>
      <c r="I435" s="1706"/>
      <c r="J435" s="1734"/>
      <c r="K435" s="1733"/>
      <c r="L435" s="1734"/>
      <c r="M435" s="1735"/>
      <c r="N435" s="1733"/>
      <c r="P435" s="1736"/>
      <c r="Q435" s="1722"/>
    </row>
    <row r="436">
      <c r="A436" s="1732"/>
      <c r="C436" s="1706"/>
      <c r="D436" s="1706"/>
      <c r="E436" s="1706"/>
      <c r="F436" s="1733"/>
      <c r="G436" s="1734"/>
      <c r="H436" s="1733"/>
      <c r="I436" s="1706"/>
      <c r="J436" s="1734"/>
      <c r="K436" s="1733"/>
      <c r="L436" s="1734"/>
      <c r="M436" s="1735"/>
      <c r="N436" s="1733"/>
      <c r="P436" s="1736"/>
      <c r="Q436" s="1722"/>
    </row>
    <row r="437">
      <c r="A437" s="1732"/>
      <c r="C437" s="1706"/>
      <c r="D437" s="1706"/>
      <c r="E437" s="1706"/>
      <c r="F437" s="1733"/>
      <c r="G437" s="1734"/>
      <c r="H437" s="1733"/>
      <c r="I437" s="1706"/>
      <c r="J437" s="1734"/>
      <c r="K437" s="1733"/>
      <c r="L437" s="1734"/>
      <c r="M437" s="1735"/>
      <c r="N437" s="1733"/>
      <c r="P437" s="1736"/>
      <c r="Q437" s="1722"/>
    </row>
    <row r="438">
      <c r="A438" s="1732"/>
      <c r="C438" s="1706"/>
      <c r="D438" s="1706"/>
      <c r="E438" s="1706"/>
      <c r="F438" s="1733"/>
      <c r="G438" s="1734"/>
      <c r="H438" s="1733"/>
      <c r="I438" s="1706"/>
      <c r="J438" s="1734"/>
      <c r="K438" s="1733"/>
      <c r="L438" s="1734"/>
      <c r="M438" s="1735"/>
      <c r="N438" s="1733"/>
      <c r="P438" s="1736"/>
      <c r="Q438" s="1722"/>
    </row>
    <row r="439">
      <c r="A439" s="1732"/>
      <c r="C439" s="1706"/>
      <c r="D439" s="1706"/>
      <c r="E439" s="1706"/>
      <c r="F439" s="1733"/>
      <c r="G439" s="1734"/>
      <c r="H439" s="1733"/>
      <c r="I439" s="1706"/>
      <c r="J439" s="1734"/>
      <c r="K439" s="1733"/>
      <c r="L439" s="1734"/>
      <c r="M439" s="1735"/>
      <c r="N439" s="1733"/>
      <c r="P439" s="1736"/>
      <c r="Q439" s="1722"/>
    </row>
    <row r="440">
      <c r="A440" s="1732"/>
      <c r="C440" s="1706"/>
      <c r="D440" s="1706"/>
      <c r="E440" s="1706"/>
      <c r="F440" s="1733"/>
      <c r="G440" s="1734"/>
      <c r="H440" s="1733"/>
      <c r="I440" s="1706"/>
      <c r="J440" s="1734"/>
      <c r="K440" s="1733"/>
      <c r="L440" s="1734"/>
      <c r="M440" s="1735"/>
      <c r="N440" s="1733"/>
      <c r="P440" s="1736"/>
      <c r="Q440" s="1722"/>
    </row>
    <row r="441">
      <c r="A441" s="1732"/>
      <c r="C441" s="1706"/>
      <c r="D441" s="1706"/>
      <c r="E441" s="1706"/>
      <c r="F441" s="1733"/>
      <c r="G441" s="1734"/>
      <c r="H441" s="1733"/>
      <c r="I441" s="1706"/>
      <c r="J441" s="1734"/>
      <c r="K441" s="1733"/>
      <c r="L441" s="1734"/>
      <c r="M441" s="1735"/>
      <c r="N441" s="1733"/>
      <c r="P441" s="1736"/>
      <c r="Q441" s="1722"/>
    </row>
    <row r="442">
      <c r="A442" s="1732"/>
      <c r="C442" s="1706"/>
      <c r="D442" s="1706"/>
      <c r="E442" s="1706"/>
      <c r="F442" s="1733"/>
      <c r="G442" s="1734"/>
      <c r="H442" s="1733"/>
      <c r="I442" s="1706"/>
      <c r="J442" s="1734"/>
      <c r="K442" s="1733"/>
      <c r="L442" s="1734"/>
      <c r="M442" s="1735"/>
      <c r="N442" s="1733"/>
      <c r="P442" s="1736"/>
      <c r="Q442" s="1722"/>
    </row>
    <row r="443">
      <c r="A443" s="1732"/>
      <c r="C443" s="1706"/>
      <c r="D443" s="1706"/>
      <c r="E443" s="1706"/>
      <c r="F443" s="1733"/>
      <c r="G443" s="1734"/>
      <c r="H443" s="1733"/>
      <c r="I443" s="1706"/>
      <c r="J443" s="1734"/>
      <c r="K443" s="1733"/>
      <c r="L443" s="1734"/>
      <c r="M443" s="1735"/>
      <c r="N443" s="1733"/>
      <c r="P443" s="1736"/>
      <c r="Q443" s="1722"/>
    </row>
    <row r="444">
      <c r="A444" s="1732"/>
      <c r="C444" s="1706"/>
      <c r="D444" s="1706"/>
      <c r="E444" s="1706"/>
      <c r="F444" s="1733"/>
      <c r="G444" s="1734"/>
      <c r="H444" s="1733"/>
      <c r="I444" s="1706"/>
      <c r="J444" s="1734"/>
      <c r="K444" s="1733"/>
      <c r="L444" s="1734"/>
      <c r="M444" s="1735"/>
      <c r="N444" s="1733"/>
      <c r="P444" s="1736"/>
      <c r="Q444" s="1722"/>
    </row>
    <row r="445">
      <c r="A445" s="1732"/>
      <c r="C445" s="1706"/>
      <c r="D445" s="1706"/>
      <c r="E445" s="1706"/>
      <c r="F445" s="1733"/>
      <c r="G445" s="1734"/>
      <c r="H445" s="1733"/>
      <c r="I445" s="1706"/>
      <c r="J445" s="1734"/>
      <c r="K445" s="1733"/>
      <c r="L445" s="1734"/>
      <c r="M445" s="1735"/>
      <c r="N445" s="1733"/>
      <c r="P445" s="1736"/>
      <c r="Q445" s="1722"/>
    </row>
    <row r="446">
      <c r="A446" s="1732"/>
      <c r="C446" s="1706"/>
      <c r="D446" s="1706"/>
      <c r="E446" s="1706"/>
      <c r="F446" s="1733"/>
      <c r="G446" s="1734"/>
      <c r="H446" s="1733"/>
      <c r="I446" s="1706"/>
      <c r="J446" s="1734"/>
      <c r="K446" s="1733"/>
      <c r="L446" s="1734"/>
      <c r="M446" s="1735"/>
      <c r="N446" s="1733"/>
      <c r="P446" s="1736"/>
      <c r="Q446" s="1722"/>
    </row>
    <row r="447">
      <c r="A447" s="1732"/>
      <c r="C447" s="1706"/>
      <c r="D447" s="1706"/>
      <c r="E447" s="1706"/>
      <c r="F447" s="1733"/>
      <c r="G447" s="1734"/>
      <c r="H447" s="1733"/>
      <c r="I447" s="1706"/>
      <c r="J447" s="1734"/>
      <c r="K447" s="1733"/>
      <c r="L447" s="1734"/>
      <c r="M447" s="1735"/>
      <c r="N447" s="1733"/>
      <c r="P447" s="1736"/>
      <c r="Q447" s="1722"/>
    </row>
    <row r="448">
      <c r="A448" s="1732"/>
      <c r="C448" s="1706"/>
      <c r="D448" s="1706"/>
      <c r="E448" s="1706"/>
      <c r="F448" s="1733"/>
      <c r="G448" s="1734"/>
      <c r="H448" s="1733"/>
      <c r="I448" s="1706"/>
      <c r="J448" s="1734"/>
      <c r="K448" s="1733"/>
      <c r="L448" s="1734"/>
      <c r="M448" s="1735"/>
      <c r="N448" s="1733"/>
      <c r="P448" s="1736"/>
      <c r="Q448" s="1722"/>
    </row>
    <row r="449">
      <c r="A449" s="1732"/>
      <c r="C449" s="1706"/>
      <c r="D449" s="1706"/>
      <c r="E449" s="1706"/>
      <c r="F449" s="1733"/>
      <c r="G449" s="1734"/>
      <c r="H449" s="1733"/>
      <c r="I449" s="1706"/>
      <c r="J449" s="1734"/>
      <c r="K449" s="1733"/>
      <c r="L449" s="1734"/>
      <c r="M449" s="1735"/>
      <c r="N449" s="1733"/>
      <c r="P449" s="1736"/>
      <c r="Q449" s="1722"/>
    </row>
    <row r="450">
      <c r="A450" s="1732"/>
      <c r="C450" s="1706"/>
      <c r="D450" s="1706"/>
      <c r="E450" s="1706"/>
      <c r="F450" s="1733"/>
      <c r="G450" s="1734"/>
      <c r="H450" s="1733"/>
      <c r="I450" s="1706"/>
      <c r="J450" s="1734"/>
      <c r="K450" s="1733"/>
      <c r="L450" s="1734"/>
      <c r="M450" s="1735"/>
      <c r="N450" s="1733"/>
      <c r="P450" s="1736"/>
      <c r="Q450" s="1722"/>
    </row>
    <row r="451">
      <c r="A451" s="1732"/>
      <c r="C451" s="1706"/>
      <c r="D451" s="1706"/>
      <c r="E451" s="1706"/>
      <c r="F451" s="1733"/>
      <c r="G451" s="1734"/>
      <c r="H451" s="1733"/>
      <c r="I451" s="1706"/>
      <c r="J451" s="1734"/>
      <c r="K451" s="1733"/>
      <c r="L451" s="1734"/>
      <c r="M451" s="1735"/>
      <c r="N451" s="1733"/>
      <c r="P451" s="1736"/>
      <c r="Q451" s="1722"/>
    </row>
    <row r="452">
      <c r="A452" s="1732"/>
      <c r="C452" s="1706"/>
      <c r="D452" s="1706"/>
      <c r="E452" s="1706"/>
      <c r="F452" s="1733"/>
      <c r="G452" s="1734"/>
      <c r="H452" s="1733"/>
      <c r="I452" s="1706"/>
      <c r="J452" s="1734"/>
      <c r="K452" s="1733"/>
      <c r="L452" s="1734"/>
      <c r="M452" s="1735"/>
      <c r="N452" s="1733"/>
      <c r="P452" s="1736"/>
      <c r="Q452" s="1722"/>
    </row>
    <row r="453">
      <c r="A453" s="1732"/>
      <c r="C453" s="1706"/>
      <c r="D453" s="1706"/>
      <c r="E453" s="1706"/>
      <c r="F453" s="1733"/>
      <c r="G453" s="1734"/>
      <c r="H453" s="1733"/>
      <c r="I453" s="1706"/>
      <c r="J453" s="1734"/>
      <c r="K453" s="1733"/>
      <c r="L453" s="1734"/>
      <c r="M453" s="1735"/>
      <c r="N453" s="1733"/>
      <c r="P453" s="1736"/>
      <c r="Q453" s="1722"/>
    </row>
    <row r="454">
      <c r="A454" s="1732"/>
      <c r="C454" s="1706"/>
      <c r="D454" s="1706"/>
      <c r="E454" s="1706"/>
      <c r="F454" s="1733"/>
      <c r="G454" s="1734"/>
      <c r="H454" s="1733"/>
      <c r="I454" s="1706"/>
      <c r="J454" s="1734"/>
      <c r="K454" s="1733"/>
      <c r="L454" s="1734"/>
      <c r="M454" s="1735"/>
      <c r="N454" s="1733"/>
      <c r="P454" s="1736"/>
      <c r="Q454" s="1722"/>
    </row>
    <row r="455">
      <c r="A455" s="1732"/>
      <c r="C455" s="1706"/>
      <c r="D455" s="1706"/>
      <c r="E455" s="1706"/>
      <c r="F455" s="1733"/>
      <c r="G455" s="1734"/>
      <c r="H455" s="1733"/>
      <c r="I455" s="1706"/>
      <c r="J455" s="1734"/>
      <c r="K455" s="1733"/>
      <c r="L455" s="1734"/>
      <c r="M455" s="1735"/>
      <c r="N455" s="1733"/>
      <c r="P455" s="1736"/>
      <c r="Q455" s="1722"/>
    </row>
    <row r="456">
      <c r="A456" s="1732"/>
      <c r="C456" s="1706"/>
      <c r="D456" s="1706"/>
      <c r="E456" s="1706"/>
      <c r="F456" s="1733"/>
      <c r="G456" s="1734"/>
      <c r="H456" s="1733"/>
      <c r="I456" s="1706"/>
      <c r="J456" s="1734"/>
      <c r="K456" s="1733"/>
      <c r="L456" s="1734"/>
      <c r="M456" s="1735"/>
      <c r="N456" s="1733"/>
      <c r="P456" s="1736"/>
      <c r="Q456" s="1722"/>
    </row>
    <row r="457">
      <c r="A457" s="1732"/>
      <c r="C457" s="1706"/>
      <c r="D457" s="1706"/>
      <c r="E457" s="1706"/>
      <c r="F457" s="1733"/>
      <c r="G457" s="1734"/>
      <c r="H457" s="1733"/>
      <c r="I457" s="1706"/>
      <c r="J457" s="1734"/>
      <c r="K457" s="1733"/>
      <c r="L457" s="1734"/>
      <c r="M457" s="1735"/>
      <c r="N457" s="1733"/>
      <c r="P457" s="1736"/>
      <c r="Q457" s="1722"/>
    </row>
    <row r="458">
      <c r="A458" s="1732"/>
      <c r="C458" s="1706"/>
      <c r="D458" s="1706"/>
      <c r="E458" s="1706"/>
      <c r="F458" s="1733"/>
      <c r="G458" s="1734"/>
      <c r="H458" s="1733"/>
      <c r="I458" s="1706"/>
      <c r="J458" s="1734"/>
      <c r="K458" s="1733"/>
      <c r="L458" s="1734"/>
      <c r="M458" s="1735"/>
      <c r="N458" s="1733"/>
      <c r="P458" s="1736"/>
      <c r="Q458" s="1722"/>
    </row>
    <row r="459">
      <c r="A459" s="1732"/>
      <c r="C459" s="1706"/>
      <c r="D459" s="1706"/>
      <c r="E459" s="1706"/>
      <c r="F459" s="1733"/>
      <c r="G459" s="1734"/>
      <c r="H459" s="1733"/>
      <c r="I459" s="1706"/>
      <c r="J459" s="1734"/>
      <c r="K459" s="1733"/>
      <c r="L459" s="1734"/>
      <c r="M459" s="1735"/>
      <c r="N459" s="1733"/>
      <c r="P459" s="1736"/>
      <c r="Q459" s="1722"/>
    </row>
    <row r="460">
      <c r="A460" s="1732"/>
      <c r="C460" s="1706"/>
      <c r="D460" s="1706"/>
      <c r="E460" s="1706"/>
      <c r="F460" s="1733"/>
      <c r="G460" s="1734"/>
      <c r="H460" s="1733"/>
      <c r="I460" s="1706"/>
      <c r="J460" s="1734"/>
      <c r="K460" s="1733"/>
      <c r="L460" s="1734"/>
      <c r="M460" s="1735"/>
      <c r="N460" s="1733"/>
      <c r="P460" s="1736"/>
      <c r="Q460" s="1722"/>
    </row>
    <row r="461">
      <c r="A461" s="1732"/>
      <c r="C461" s="1706"/>
      <c r="D461" s="1706"/>
      <c r="E461" s="1706"/>
      <c r="F461" s="1733"/>
      <c r="G461" s="1734"/>
      <c r="H461" s="1733"/>
      <c r="I461" s="1706"/>
      <c r="J461" s="1734"/>
      <c r="K461" s="1733"/>
      <c r="L461" s="1734"/>
      <c r="M461" s="1735"/>
      <c r="N461" s="1733"/>
      <c r="P461" s="1736"/>
      <c r="Q461" s="1722"/>
    </row>
    <row r="462">
      <c r="A462" s="1732"/>
      <c r="C462" s="1706"/>
      <c r="D462" s="1706"/>
      <c r="E462" s="1706"/>
      <c r="F462" s="1733"/>
      <c r="G462" s="1734"/>
      <c r="H462" s="1733"/>
      <c r="I462" s="1706"/>
      <c r="J462" s="1734"/>
      <c r="K462" s="1733"/>
      <c r="L462" s="1734"/>
      <c r="M462" s="1735"/>
      <c r="N462" s="1733"/>
      <c r="P462" s="1736"/>
      <c r="Q462" s="1722"/>
    </row>
    <row r="463">
      <c r="A463" s="1732"/>
      <c r="C463" s="1706"/>
      <c r="D463" s="1706"/>
      <c r="E463" s="1706"/>
      <c r="F463" s="1733"/>
      <c r="G463" s="1734"/>
      <c r="H463" s="1733"/>
      <c r="I463" s="1706"/>
      <c r="J463" s="1734"/>
      <c r="K463" s="1733"/>
      <c r="L463" s="1734"/>
      <c r="M463" s="1735"/>
      <c r="N463" s="1733"/>
      <c r="P463" s="1736"/>
      <c r="Q463" s="1722"/>
    </row>
    <row r="464">
      <c r="A464" s="1732"/>
      <c r="C464" s="1706"/>
      <c r="D464" s="1706"/>
      <c r="E464" s="1706"/>
      <c r="F464" s="1733"/>
      <c r="G464" s="1734"/>
      <c r="H464" s="1733"/>
      <c r="I464" s="1706"/>
      <c r="J464" s="1734"/>
      <c r="K464" s="1733"/>
      <c r="L464" s="1734"/>
      <c r="M464" s="1735"/>
      <c r="N464" s="1733"/>
      <c r="P464" s="1736"/>
      <c r="Q464" s="1722"/>
    </row>
    <row r="465">
      <c r="A465" s="1732"/>
      <c r="C465" s="1706"/>
      <c r="D465" s="1706"/>
      <c r="E465" s="1706"/>
      <c r="F465" s="1733"/>
      <c r="G465" s="1734"/>
      <c r="H465" s="1733"/>
      <c r="I465" s="1706"/>
      <c r="J465" s="1734"/>
      <c r="K465" s="1733"/>
      <c r="L465" s="1734"/>
      <c r="M465" s="1735"/>
      <c r="N465" s="1733"/>
      <c r="P465" s="1736"/>
      <c r="Q465" s="1722"/>
    </row>
    <row r="466">
      <c r="A466" s="1732"/>
      <c r="C466" s="1706"/>
      <c r="D466" s="1706"/>
      <c r="E466" s="1706"/>
      <c r="F466" s="1733"/>
      <c r="G466" s="1734"/>
      <c r="H466" s="1733"/>
      <c r="I466" s="1706"/>
      <c r="J466" s="1734"/>
      <c r="K466" s="1733"/>
      <c r="L466" s="1734"/>
      <c r="M466" s="1735"/>
      <c r="N466" s="1733"/>
      <c r="P466" s="1736"/>
      <c r="Q466" s="1722"/>
    </row>
    <row r="467">
      <c r="A467" s="1732"/>
      <c r="C467" s="1706"/>
      <c r="D467" s="1706"/>
      <c r="E467" s="1706"/>
      <c r="F467" s="1733"/>
      <c r="G467" s="1734"/>
      <c r="H467" s="1733"/>
      <c r="I467" s="1706"/>
      <c r="J467" s="1734"/>
      <c r="K467" s="1733"/>
      <c r="L467" s="1734"/>
      <c r="M467" s="1735"/>
      <c r="N467" s="1733"/>
      <c r="P467" s="1736"/>
      <c r="Q467" s="1722"/>
    </row>
    <row r="468">
      <c r="A468" s="1732"/>
      <c r="C468" s="1706"/>
      <c r="D468" s="1706"/>
      <c r="E468" s="1706"/>
      <c r="F468" s="1733"/>
      <c r="G468" s="1734"/>
      <c r="H468" s="1733"/>
      <c r="I468" s="1706"/>
      <c r="J468" s="1734"/>
      <c r="K468" s="1733"/>
      <c r="L468" s="1734"/>
      <c r="M468" s="1735"/>
      <c r="N468" s="1733"/>
      <c r="P468" s="1736"/>
      <c r="Q468" s="1722"/>
    </row>
    <row r="469">
      <c r="A469" s="1732"/>
      <c r="C469" s="1706"/>
      <c r="D469" s="1706"/>
      <c r="E469" s="1706"/>
      <c r="F469" s="1733"/>
      <c r="G469" s="1734"/>
      <c r="H469" s="1733"/>
      <c r="I469" s="1706"/>
      <c r="J469" s="1734"/>
      <c r="K469" s="1733"/>
      <c r="L469" s="1734"/>
      <c r="M469" s="1735"/>
      <c r="N469" s="1733"/>
      <c r="P469" s="1736"/>
      <c r="Q469" s="1722"/>
    </row>
    <row r="470">
      <c r="A470" s="1732"/>
      <c r="C470" s="1706"/>
      <c r="D470" s="1706"/>
      <c r="E470" s="1706"/>
      <c r="F470" s="1733"/>
      <c r="G470" s="1734"/>
      <c r="H470" s="1733"/>
      <c r="I470" s="1706"/>
      <c r="J470" s="1734"/>
      <c r="K470" s="1733"/>
      <c r="L470" s="1734"/>
      <c r="M470" s="1735"/>
      <c r="N470" s="1733"/>
      <c r="P470" s="1736"/>
      <c r="Q470" s="1722"/>
    </row>
    <row r="471">
      <c r="A471" s="1732"/>
      <c r="C471" s="1706"/>
      <c r="D471" s="1706"/>
      <c r="E471" s="1706"/>
      <c r="F471" s="1733"/>
      <c r="G471" s="1734"/>
      <c r="H471" s="1733"/>
      <c r="I471" s="1706"/>
      <c r="J471" s="1734"/>
      <c r="K471" s="1733"/>
      <c r="L471" s="1734"/>
      <c r="M471" s="1735"/>
      <c r="N471" s="1733"/>
      <c r="P471" s="1736"/>
      <c r="Q471" s="1722"/>
    </row>
    <row r="472">
      <c r="A472" s="1732"/>
      <c r="C472" s="1706"/>
      <c r="D472" s="1706"/>
      <c r="E472" s="1706"/>
      <c r="F472" s="1733"/>
      <c r="G472" s="1734"/>
      <c r="H472" s="1733"/>
      <c r="I472" s="1706"/>
      <c r="J472" s="1734"/>
      <c r="K472" s="1733"/>
      <c r="L472" s="1734"/>
      <c r="M472" s="1735"/>
      <c r="N472" s="1733"/>
      <c r="P472" s="1736"/>
      <c r="Q472" s="1722"/>
    </row>
    <row r="473">
      <c r="A473" s="1732"/>
      <c r="C473" s="1706"/>
      <c r="D473" s="1706"/>
      <c r="E473" s="1706"/>
      <c r="F473" s="1733"/>
      <c r="G473" s="1734"/>
      <c r="H473" s="1733"/>
      <c r="I473" s="1706"/>
      <c r="J473" s="1734"/>
      <c r="K473" s="1733"/>
      <c r="L473" s="1734"/>
      <c r="M473" s="1735"/>
      <c r="N473" s="1733"/>
      <c r="P473" s="1736"/>
      <c r="Q473" s="1722"/>
    </row>
    <row r="474">
      <c r="A474" s="1732"/>
      <c r="C474" s="1706"/>
      <c r="D474" s="1706"/>
      <c r="E474" s="1706"/>
      <c r="F474" s="1733"/>
      <c r="G474" s="1734"/>
      <c r="H474" s="1733"/>
      <c r="I474" s="1706"/>
      <c r="J474" s="1734"/>
      <c r="K474" s="1733"/>
      <c r="L474" s="1734"/>
      <c r="M474" s="1735"/>
      <c r="N474" s="1733"/>
      <c r="P474" s="1736"/>
      <c r="Q474" s="1722"/>
    </row>
    <row r="475">
      <c r="A475" s="1732"/>
      <c r="C475" s="1706"/>
      <c r="D475" s="1706"/>
      <c r="E475" s="1706"/>
      <c r="F475" s="1733"/>
      <c r="G475" s="1734"/>
      <c r="H475" s="1733"/>
      <c r="I475" s="1706"/>
      <c r="J475" s="1734"/>
      <c r="K475" s="1733"/>
      <c r="L475" s="1734"/>
      <c r="M475" s="1735"/>
      <c r="N475" s="1733"/>
      <c r="P475" s="1736"/>
      <c r="Q475" s="1722"/>
    </row>
    <row r="476">
      <c r="A476" s="1732"/>
      <c r="C476" s="1706"/>
      <c r="D476" s="1706"/>
      <c r="E476" s="1706"/>
      <c r="F476" s="1733"/>
      <c r="G476" s="1734"/>
      <c r="H476" s="1733"/>
      <c r="I476" s="1706"/>
      <c r="J476" s="1734"/>
      <c r="K476" s="1733"/>
      <c r="L476" s="1734"/>
      <c r="M476" s="1735"/>
      <c r="N476" s="1733"/>
      <c r="P476" s="1736"/>
      <c r="Q476" s="1722"/>
    </row>
    <row r="477">
      <c r="A477" s="1732"/>
      <c r="C477" s="1706"/>
      <c r="D477" s="1706"/>
      <c r="E477" s="1706"/>
      <c r="F477" s="1733"/>
      <c r="G477" s="1734"/>
      <c r="H477" s="1733"/>
      <c r="I477" s="1706"/>
      <c r="J477" s="1734"/>
      <c r="K477" s="1733"/>
      <c r="L477" s="1734"/>
      <c r="M477" s="1735"/>
      <c r="N477" s="1733"/>
      <c r="P477" s="1736"/>
      <c r="Q477" s="1722"/>
    </row>
    <row r="478">
      <c r="A478" s="1732"/>
      <c r="C478" s="1706"/>
      <c r="D478" s="1706"/>
      <c r="E478" s="1706"/>
      <c r="F478" s="1733"/>
      <c r="G478" s="1734"/>
      <c r="H478" s="1733"/>
      <c r="I478" s="1706"/>
      <c r="J478" s="1734"/>
      <c r="K478" s="1733"/>
      <c r="L478" s="1734"/>
      <c r="M478" s="1735"/>
      <c r="N478" s="1733"/>
      <c r="P478" s="1736"/>
      <c r="Q478" s="1722"/>
    </row>
    <row r="479">
      <c r="A479" s="1732"/>
      <c r="C479" s="1706"/>
      <c r="D479" s="1706"/>
      <c r="E479" s="1706"/>
      <c r="F479" s="1733"/>
      <c r="G479" s="1734"/>
      <c r="H479" s="1733"/>
      <c r="I479" s="1706"/>
      <c r="J479" s="1734"/>
      <c r="K479" s="1733"/>
      <c r="L479" s="1734"/>
      <c r="M479" s="1735"/>
      <c r="N479" s="1733"/>
      <c r="P479" s="1736"/>
      <c r="Q479" s="1722"/>
    </row>
    <row r="480">
      <c r="A480" s="1732"/>
      <c r="C480" s="1706"/>
      <c r="D480" s="1706"/>
      <c r="E480" s="1706"/>
      <c r="F480" s="1733"/>
      <c r="G480" s="1734"/>
      <c r="H480" s="1733"/>
      <c r="I480" s="1706"/>
      <c r="J480" s="1734"/>
      <c r="K480" s="1733"/>
      <c r="L480" s="1734"/>
      <c r="M480" s="1735"/>
      <c r="N480" s="1733"/>
      <c r="P480" s="1736"/>
      <c r="Q480" s="1722"/>
    </row>
    <row r="481">
      <c r="A481" s="1732"/>
      <c r="C481" s="1706"/>
      <c r="D481" s="1706"/>
      <c r="E481" s="1706"/>
      <c r="F481" s="1733"/>
      <c r="G481" s="1734"/>
      <c r="H481" s="1733"/>
      <c r="I481" s="1706"/>
      <c r="J481" s="1734"/>
      <c r="K481" s="1733"/>
      <c r="L481" s="1734"/>
      <c r="M481" s="1735"/>
      <c r="N481" s="1733"/>
      <c r="P481" s="1736"/>
      <c r="Q481" s="1722"/>
    </row>
    <row r="482">
      <c r="A482" s="1732"/>
      <c r="C482" s="1706"/>
      <c r="D482" s="1706"/>
      <c r="E482" s="1706"/>
      <c r="F482" s="1733"/>
      <c r="G482" s="1734"/>
      <c r="H482" s="1733"/>
      <c r="I482" s="1706"/>
      <c r="J482" s="1734"/>
      <c r="K482" s="1733"/>
      <c r="L482" s="1734"/>
      <c r="M482" s="1735"/>
      <c r="N482" s="1733"/>
      <c r="P482" s="1736"/>
      <c r="Q482" s="1722"/>
    </row>
    <row r="483">
      <c r="A483" s="1732"/>
      <c r="C483" s="1706"/>
      <c r="D483" s="1706"/>
      <c r="E483" s="1706"/>
      <c r="F483" s="1733"/>
      <c r="G483" s="1734"/>
      <c r="H483" s="1733"/>
      <c r="I483" s="1706"/>
      <c r="J483" s="1734"/>
      <c r="K483" s="1733"/>
      <c r="L483" s="1734"/>
      <c r="M483" s="1735"/>
      <c r="N483" s="1733"/>
      <c r="P483" s="1736"/>
      <c r="Q483" s="1722"/>
    </row>
    <row r="484">
      <c r="A484" s="1732"/>
      <c r="C484" s="1706"/>
      <c r="D484" s="1706"/>
      <c r="E484" s="1706"/>
      <c r="F484" s="1733"/>
      <c r="G484" s="1734"/>
      <c r="H484" s="1733"/>
      <c r="I484" s="1706"/>
      <c r="J484" s="1734"/>
      <c r="K484" s="1733"/>
      <c r="L484" s="1734"/>
      <c r="M484" s="1735"/>
      <c r="N484" s="1733"/>
      <c r="P484" s="1736"/>
      <c r="Q484" s="1722"/>
    </row>
    <row r="485">
      <c r="A485" s="1732"/>
      <c r="C485" s="1706"/>
      <c r="D485" s="1706"/>
      <c r="E485" s="1706"/>
      <c r="F485" s="1733"/>
      <c r="G485" s="1734"/>
      <c r="H485" s="1733"/>
      <c r="I485" s="1706"/>
      <c r="J485" s="1734"/>
      <c r="K485" s="1733"/>
      <c r="L485" s="1734"/>
      <c r="M485" s="1735"/>
      <c r="N485" s="1733"/>
      <c r="P485" s="1736"/>
      <c r="Q485" s="1722"/>
    </row>
    <row r="486">
      <c r="A486" s="1732"/>
      <c r="C486" s="1706"/>
      <c r="D486" s="1706"/>
      <c r="E486" s="1706"/>
      <c r="F486" s="1733"/>
      <c r="G486" s="1734"/>
      <c r="H486" s="1733"/>
      <c r="I486" s="1706"/>
      <c r="J486" s="1734"/>
      <c r="K486" s="1733"/>
      <c r="L486" s="1734"/>
      <c r="M486" s="1735"/>
      <c r="N486" s="1733"/>
      <c r="P486" s="1736"/>
      <c r="Q486" s="1722"/>
    </row>
    <row r="487">
      <c r="A487" s="1732"/>
      <c r="C487" s="1706"/>
      <c r="D487" s="1706"/>
      <c r="E487" s="1706"/>
      <c r="F487" s="1733"/>
      <c r="G487" s="1734"/>
      <c r="H487" s="1733"/>
      <c r="I487" s="1706"/>
      <c r="J487" s="1734"/>
      <c r="K487" s="1733"/>
      <c r="L487" s="1734"/>
      <c r="M487" s="1735"/>
      <c r="N487" s="1733"/>
      <c r="P487" s="1736"/>
      <c r="Q487" s="1722"/>
    </row>
    <row r="488">
      <c r="A488" s="1732"/>
      <c r="C488" s="1706"/>
      <c r="D488" s="1706"/>
      <c r="E488" s="1706"/>
      <c r="F488" s="1733"/>
      <c r="G488" s="1734"/>
      <c r="H488" s="1733"/>
      <c r="I488" s="1706"/>
      <c r="J488" s="1734"/>
      <c r="K488" s="1733"/>
      <c r="L488" s="1734"/>
      <c r="M488" s="1735"/>
      <c r="N488" s="1733"/>
      <c r="P488" s="1736"/>
      <c r="Q488" s="1722"/>
    </row>
    <row r="489">
      <c r="A489" s="1732"/>
      <c r="C489" s="1706"/>
      <c r="D489" s="1706"/>
      <c r="E489" s="1706"/>
      <c r="F489" s="1733"/>
      <c r="G489" s="1734"/>
      <c r="H489" s="1733"/>
      <c r="I489" s="1706"/>
      <c r="J489" s="1734"/>
      <c r="K489" s="1733"/>
      <c r="L489" s="1734"/>
      <c r="M489" s="1735"/>
      <c r="N489" s="1733"/>
      <c r="P489" s="1736"/>
      <c r="Q489" s="1722"/>
    </row>
    <row r="490">
      <c r="A490" s="1732"/>
      <c r="C490" s="1706"/>
      <c r="D490" s="1706"/>
      <c r="E490" s="1706"/>
      <c r="F490" s="1733"/>
      <c r="G490" s="1734"/>
      <c r="H490" s="1733"/>
      <c r="I490" s="1706"/>
      <c r="J490" s="1734"/>
      <c r="K490" s="1733"/>
      <c r="L490" s="1734"/>
      <c r="M490" s="1735"/>
      <c r="N490" s="1733"/>
      <c r="P490" s="1736"/>
      <c r="Q490" s="1722"/>
    </row>
    <row r="491">
      <c r="A491" s="1732"/>
      <c r="C491" s="1706"/>
      <c r="D491" s="1706"/>
      <c r="E491" s="1706"/>
      <c r="F491" s="1733"/>
      <c r="G491" s="1734"/>
      <c r="H491" s="1733"/>
      <c r="I491" s="1706"/>
      <c r="J491" s="1734"/>
      <c r="K491" s="1733"/>
      <c r="L491" s="1734"/>
      <c r="M491" s="1735"/>
      <c r="N491" s="1733"/>
      <c r="P491" s="1736"/>
      <c r="Q491" s="1722"/>
    </row>
    <row r="492">
      <c r="A492" s="1732"/>
      <c r="C492" s="1706"/>
      <c r="D492" s="1706"/>
      <c r="E492" s="1706"/>
      <c r="F492" s="1733"/>
      <c r="G492" s="1734"/>
      <c r="H492" s="1733"/>
      <c r="I492" s="1706"/>
      <c r="J492" s="1734"/>
      <c r="K492" s="1733"/>
      <c r="L492" s="1734"/>
      <c r="M492" s="1735"/>
      <c r="N492" s="1733"/>
      <c r="P492" s="1736"/>
      <c r="Q492" s="1722"/>
    </row>
    <row r="493">
      <c r="A493" s="1732"/>
      <c r="C493" s="1706"/>
      <c r="D493" s="1706"/>
      <c r="E493" s="1706"/>
      <c r="F493" s="1733"/>
      <c r="G493" s="1734"/>
      <c r="H493" s="1733"/>
      <c r="I493" s="1706"/>
      <c r="J493" s="1734"/>
      <c r="K493" s="1733"/>
      <c r="L493" s="1734"/>
      <c r="M493" s="1735"/>
      <c r="N493" s="1733"/>
      <c r="P493" s="1736"/>
      <c r="Q493" s="1722"/>
    </row>
    <row r="494">
      <c r="A494" s="1732"/>
      <c r="C494" s="1706"/>
      <c r="D494" s="1706"/>
      <c r="E494" s="1706"/>
      <c r="F494" s="1733"/>
      <c r="G494" s="1734"/>
      <c r="H494" s="1733"/>
      <c r="I494" s="1706"/>
      <c r="J494" s="1734"/>
      <c r="K494" s="1733"/>
      <c r="L494" s="1734"/>
      <c r="M494" s="1735"/>
      <c r="N494" s="1733"/>
      <c r="P494" s="1736"/>
      <c r="Q494" s="1722"/>
    </row>
    <row r="495">
      <c r="A495" s="1732"/>
      <c r="C495" s="1706"/>
      <c r="D495" s="1706"/>
      <c r="E495" s="1706"/>
      <c r="F495" s="1733"/>
      <c r="G495" s="1734"/>
      <c r="H495" s="1733"/>
      <c r="I495" s="1706"/>
      <c r="J495" s="1734"/>
      <c r="K495" s="1733"/>
      <c r="L495" s="1734"/>
      <c r="M495" s="1735"/>
      <c r="N495" s="1733"/>
      <c r="P495" s="1736"/>
      <c r="Q495" s="1722"/>
    </row>
    <row r="496">
      <c r="A496" s="1732"/>
      <c r="C496" s="1706"/>
      <c r="D496" s="1706"/>
      <c r="E496" s="1706"/>
      <c r="F496" s="1733"/>
      <c r="G496" s="1734"/>
      <c r="H496" s="1733"/>
      <c r="I496" s="1706"/>
      <c r="J496" s="1734"/>
      <c r="K496" s="1733"/>
      <c r="L496" s="1734"/>
      <c r="M496" s="1735"/>
      <c r="N496" s="1733"/>
      <c r="P496" s="1736"/>
      <c r="Q496" s="1722"/>
    </row>
    <row r="497">
      <c r="A497" s="1732"/>
      <c r="C497" s="1706"/>
      <c r="D497" s="1706"/>
      <c r="E497" s="1706"/>
      <c r="F497" s="1733"/>
      <c r="G497" s="1734"/>
      <c r="H497" s="1733"/>
      <c r="I497" s="1706"/>
      <c r="J497" s="1734"/>
      <c r="K497" s="1733"/>
      <c r="L497" s="1734"/>
      <c r="M497" s="1735"/>
      <c r="N497" s="1733"/>
      <c r="P497" s="1736"/>
      <c r="Q497" s="1722"/>
    </row>
    <row r="498">
      <c r="A498" s="1732"/>
      <c r="C498" s="1706"/>
      <c r="D498" s="1706"/>
      <c r="E498" s="1706"/>
      <c r="F498" s="1733"/>
      <c r="G498" s="1734"/>
      <c r="H498" s="1733"/>
      <c r="I498" s="1706"/>
      <c r="J498" s="1734"/>
      <c r="K498" s="1733"/>
      <c r="L498" s="1734"/>
      <c r="M498" s="1735"/>
      <c r="N498" s="1733"/>
      <c r="P498" s="1736"/>
      <c r="Q498" s="1722"/>
    </row>
    <row r="499">
      <c r="A499" s="1732"/>
      <c r="C499" s="1706"/>
      <c r="D499" s="1706"/>
      <c r="E499" s="1706"/>
      <c r="F499" s="1733"/>
      <c r="G499" s="1734"/>
      <c r="H499" s="1733"/>
      <c r="I499" s="1706"/>
      <c r="J499" s="1734"/>
      <c r="K499" s="1733"/>
      <c r="L499" s="1734"/>
      <c r="M499" s="1735"/>
      <c r="N499" s="1733"/>
      <c r="P499" s="1736"/>
      <c r="Q499" s="1722"/>
    </row>
    <row r="500">
      <c r="A500" s="1732"/>
      <c r="C500" s="1706"/>
      <c r="D500" s="1706"/>
      <c r="E500" s="1706"/>
      <c r="F500" s="1733"/>
      <c r="G500" s="1734"/>
      <c r="H500" s="1733"/>
      <c r="I500" s="1706"/>
      <c r="J500" s="1734"/>
      <c r="K500" s="1733"/>
      <c r="L500" s="1734"/>
      <c r="M500" s="1735"/>
      <c r="N500" s="1733"/>
      <c r="P500" s="1736"/>
      <c r="Q500" s="1722"/>
    </row>
    <row r="501">
      <c r="A501" s="1732"/>
      <c r="C501" s="1706"/>
      <c r="D501" s="1706"/>
      <c r="E501" s="1706"/>
      <c r="F501" s="1733"/>
      <c r="G501" s="1734"/>
      <c r="H501" s="1733"/>
      <c r="I501" s="1706"/>
      <c r="J501" s="1734"/>
      <c r="K501" s="1733"/>
      <c r="L501" s="1734"/>
      <c r="M501" s="1735"/>
      <c r="N501" s="1733"/>
      <c r="P501" s="1736"/>
      <c r="Q501" s="1722"/>
    </row>
    <row r="502">
      <c r="A502" s="1732"/>
      <c r="C502" s="1706"/>
      <c r="D502" s="1706"/>
      <c r="E502" s="1706"/>
      <c r="F502" s="1733"/>
      <c r="G502" s="1734"/>
      <c r="H502" s="1733"/>
      <c r="I502" s="1706"/>
      <c r="J502" s="1734"/>
      <c r="K502" s="1733"/>
      <c r="L502" s="1734"/>
      <c r="M502" s="1735"/>
      <c r="N502" s="1733"/>
      <c r="P502" s="1736"/>
      <c r="Q502" s="1722"/>
    </row>
    <row r="503">
      <c r="A503" s="1732"/>
      <c r="C503" s="1706"/>
      <c r="D503" s="1706"/>
      <c r="E503" s="1706"/>
      <c r="F503" s="1733"/>
      <c r="G503" s="1734"/>
      <c r="H503" s="1733"/>
      <c r="I503" s="1706"/>
      <c r="J503" s="1734"/>
      <c r="K503" s="1733"/>
      <c r="L503" s="1734"/>
      <c r="M503" s="1735"/>
      <c r="N503" s="1733"/>
      <c r="P503" s="1736"/>
      <c r="Q503" s="1722"/>
    </row>
    <row r="504">
      <c r="A504" s="1732"/>
      <c r="C504" s="1706"/>
      <c r="D504" s="1706"/>
      <c r="E504" s="1706"/>
      <c r="F504" s="1733"/>
      <c r="G504" s="1734"/>
      <c r="H504" s="1733"/>
      <c r="I504" s="1706"/>
      <c r="J504" s="1734"/>
      <c r="K504" s="1733"/>
      <c r="L504" s="1734"/>
      <c r="M504" s="1735"/>
      <c r="N504" s="1733"/>
      <c r="P504" s="1736"/>
      <c r="Q504" s="1722"/>
    </row>
    <row r="505">
      <c r="A505" s="1732"/>
      <c r="C505" s="1706"/>
      <c r="D505" s="1706"/>
      <c r="E505" s="1706"/>
      <c r="F505" s="1733"/>
      <c r="G505" s="1734"/>
      <c r="H505" s="1733"/>
      <c r="I505" s="1706"/>
      <c r="J505" s="1734"/>
      <c r="K505" s="1733"/>
      <c r="L505" s="1734"/>
      <c r="M505" s="1735"/>
      <c r="N505" s="1733"/>
      <c r="P505" s="1736"/>
      <c r="Q505" s="1722"/>
    </row>
    <row r="506">
      <c r="A506" s="1732"/>
      <c r="C506" s="1706"/>
      <c r="D506" s="1706"/>
      <c r="E506" s="1706"/>
      <c r="F506" s="1733"/>
      <c r="G506" s="1734"/>
      <c r="H506" s="1733"/>
      <c r="I506" s="1706"/>
      <c r="J506" s="1734"/>
      <c r="K506" s="1733"/>
      <c r="L506" s="1734"/>
      <c r="M506" s="1735"/>
      <c r="N506" s="1733"/>
      <c r="P506" s="1736"/>
      <c r="Q506" s="1722"/>
    </row>
    <row r="507">
      <c r="A507" s="1732"/>
      <c r="C507" s="1706"/>
      <c r="D507" s="1706"/>
      <c r="E507" s="1706"/>
      <c r="F507" s="1733"/>
      <c r="G507" s="1734"/>
      <c r="H507" s="1733"/>
      <c r="I507" s="1706"/>
      <c r="J507" s="1734"/>
      <c r="K507" s="1733"/>
      <c r="L507" s="1734"/>
      <c r="M507" s="1735"/>
      <c r="N507" s="1733"/>
      <c r="P507" s="1736"/>
      <c r="Q507" s="1722"/>
    </row>
    <row r="508">
      <c r="A508" s="1732"/>
      <c r="C508" s="1706"/>
      <c r="D508" s="1706"/>
      <c r="E508" s="1706"/>
      <c r="F508" s="1733"/>
      <c r="G508" s="1734"/>
      <c r="H508" s="1733"/>
      <c r="I508" s="1706"/>
      <c r="J508" s="1734"/>
      <c r="K508" s="1733"/>
      <c r="L508" s="1734"/>
      <c r="M508" s="1735"/>
      <c r="N508" s="1733"/>
      <c r="P508" s="1736"/>
      <c r="Q508" s="1722"/>
    </row>
    <row r="509">
      <c r="A509" s="1732"/>
      <c r="C509" s="1706"/>
      <c r="D509" s="1706"/>
      <c r="E509" s="1706"/>
      <c r="F509" s="1733"/>
      <c r="G509" s="1734"/>
      <c r="H509" s="1733"/>
      <c r="I509" s="1706"/>
      <c r="J509" s="1734"/>
      <c r="K509" s="1733"/>
      <c r="L509" s="1734"/>
      <c r="M509" s="1735"/>
      <c r="N509" s="1733"/>
      <c r="P509" s="1736"/>
      <c r="Q509" s="1722"/>
    </row>
    <row r="510">
      <c r="A510" s="1732"/>
      <c r="C510" s="1706"/>
      <c r="D510" s="1706"/>
      <c r="E510" s="1706"/>
      <c r="F510" s="1733"/>
      <c r="G510" s="1734"/>
      <c r="H510" s="1733"/>
      <c r="I510" s="1706"/>
      <c r="J510" s="1734"/>
      <c r="K510" s="1733"/>
      <c r="L510" s="1734"/>
      <c r="M510" s="1735"/>
      <c r="N510" s="1733"/>
      <c r="P510" s="1736"/>
      <c r="Q510" s="1722"/>
    </row>
    <row r="511">
      <c r="A511" s="1732"/>
      <c r="C511" s="1706"/>
      <c r="D511" s="1706"/>
      <c r="E511" s="1706"/>
      <c r="F511" s="1733"/>
      <c r="G511" s="1734"/>
      <c r="H511" s="1733"/>
      <c r="I511" s="1706"/>
      <c r="J511" s="1734"/>
      <c r="K511" s="1733"/>
      <c r="L511" s="1734"/>
      <c r="M511" s="1735"/>
      <c r="N511" s="1733"/>
      <c r="P511" s="1736"/>
      <c r="Q511" s="1722"/>
    </row>
    <row r="512">
      <c r="A512" s="1732"/>
      <c r="C512" s="1706"/>
      <c r="D512" s="1706"/>
      <c r="E512" s="1706"/>
      <c r="F512" s="1733"/>
      <c r="G512" s="1734"/>
      <c r="H512" s="1733"/>
      <c r="I512" s="1706"/>
      <c r="J512" s="1734"/>
      <c r="K512" s="1733"/>
      <c r="L512" s="1734"/>
      <c r="M512" s="1735"/>
      <c r="N512" s="1733"/>
      <c r="P512" s="1736"/>
      <c r="Q512" s="1722"/>
    </row>
    <row r="513">
      <c r="A513" s="1732"/>
      <c r="C513" s="1706"/>
      <c r="D513" s="1706"/>
      <c r="E513" s="1706"/>
      <c r="F513" s="1733"/>
      <c r="G513" s="1734"/>
      <c r="H513" s="1733"/>
      <c r="I513" s="1706"/>
      <c r="J513" s="1734"/>
      <c r="K513" s="1733"/>
      <c r="L513" s="1734"/>
      <c r="M513" s="1735"/>
      <c r="N513" s="1733"/>
      <c r="P513" s="1736"/>
      <c r="Q513" s="1722"/>
    </row>
    <row r="514">
      <c r="A514" s="1732"/>
      <c r="C514" s="1706"/>
      <c r="D514" s="1706"/>
      <c r="E514" s="1706"/>
      <c r="F514" s="1733"/>
      <c r="G514" s="1734"/>
      <c r="H514" s="1733"/>
      <c r="I514" s="1706"/>
      <c r="J514" s="1734"/>
      <c r="K514" s="1733"/>
      <c r="L514" s="1734"/>
      <c r="M514" s="1735"/>
      <c r="N514" s="1733"/>
      <c r="P514" s="1736"/>
      <c r="Q514" s="1722"/>
    </row>
    <row r="515">
      <c r="A515" s="1732"/>
      <c r="C515" s="1706"/>
      <c r="D515" s="1706"/>
      <c r="E515" s="1706"/>
      <c r="F515" s="1733"/>
      <c r="G515" s="1734"/>
      <c r="H515" s="1733"/>
      <c r="I515" s="1706"/>
      <c r="J515" s="1734"/>
      <c r="K515" s="1733"/>
      <c r="L515" s="1734"/>
      <c r="M515" s="1735"/>
      <c r="N515" s="1733"/>
      <c r="P515" s="1736"/>
      <c r="Q515" s="1722"/>
    </row>
    <row r="516">
      <c r="A516" s="1732"/>
      <c r="C516" s="1706"/>
      <c r="D516" s="1706"/>
      <c r="E516" s="1706"/>
      <c r="F516" s="1733"/>
      <c r="G516" s="1734"/>
      <c r="H516" s="1733"/>
      <c r="I516" s="1706"/>
      <c r="J516" s="1734"/>
      <c r="K516" s="1733"/>
      <c r="L516" s="1734"/>
      <c r="M516" s="1735"/>
      <c r="N516" s="1733"/>
      <c r="P516" s="1736"/>
      <c r="Q516" s="1722"/>
    </row>
    <row r="517">
      <c r="A517" s="1732"/>
      <c r="C517" s="1706"/>
      <c r="D517" s="1706"/>
      <c r="E517" s="1706"/>
      <c r="F517" s="1733"/>
      <c r="G517" s="1734"/>
      <c r="H517" s="1733"/>
      <c r="I517" s="1706"/>
      <c r="J517" s="1734"/>
      <c r="K517" s="1733"/>
      <c r="L517" s="1734"/>
      <c r="M517" s="1735"/>
      <c r="N517" s="1733"/>
      <c r="P517" s="1736"/>
      <c r="Q517" s="1722"/>
    </row>
    <row r="518">
      <c r="A518" s="1732"/>
      <c r="C518" s="1706"/>
      <c r="D518" s="1706"/>
      <c r="E518" s="1706"/>
      <c r="F518" s="1733"/>
      <c r="G518" s="1734"/>
      <c r="H518" s="1733"/>
      <c r="I518" s="1706"/>
      <c r="J518" s="1734"/>
      <c r="K518" s="1733"/>
      <c r="L518" s="1734"/>
      <c r="M518" s="1735"/>
      <c r="N518" s="1733"/>
      <c r="P518" s="1736"/>
      <c r="Q518" s="1722"/>
    </row>
    <row r="519">
      <c r="A519" s="1732"/>
      <c r="C519" s="1706"/>
      <c r="D519" s="1706"/>
      <c r="E519" s="1706"/>
      <c r="F519" s="1733"/>
      <c r="G519" s="1734"/>
      <c r="H519" s="1733"/>
      <c r="I519" s="1706"/>
      <c r="J519" s="1734"/>
      <c r="K519" s="1733"/>
      <c r="L519" s="1734"/>
      <c r="M519" s="1735"/>
      <c r="N519" s="1733"/>
      <c r="P519" s="1736"/>
      <c r="Q519" s="1722"/>
    </row>
    <row r="520">
      <c r="A520" s="1732"/>
      <c r="C520" s="1706"/>
      <c r="D520" s="1706"/>
      <c r="E520" s="1706"/>
      <c r="F520" s="1733"/>
      <c r="G520" s="1734"/>
      <c r="H520" s="1733"/>
      <c r="I520" s="1706"/>
      <c r="J520" s="1734"/>
      <c r="K520" s="1733"/>
      <c r="L520" s="1734"/>
      <c r="M520" s="1735"/>
      <c r="N520" s="1733"/>
      <c r="P520" s="1736"/>
      <c r="Q520" s="1722"/>
    </row>
    <row r="521">
      <c r="A521" s="1732"/>
      <c r="C521" s="1706"/>
      <c r="D521" s="1706"/>
      <c r="E521" s="1706"/>
      <c r="F521" s="1733"/>
      <c r="G521" s="1734"/>
      <c r="H521" s="1733"/>
      <c r="I521" s="1706"/>
      <c r="J521" s="1734"/>
      <c r="K521" s="1733"/>
      <c r="L521" s="1734"/>
      <c r="M521" s="1735"/>
      <c r="N521" s="1733"/>
      <c r="P521" s="1736"/>
      <c r="Q521" s="1722"/>
    </row>
    <row r="522">
      <c r="A522" s="1732"/>
      <c r="C522" s="1706"/>
      <c r="D522" s="1706"/>
      <c r="E522" s="1706"/>
      <c r="F522" s="1733"/>
      <c r="G522" s="1734"/>
      <c r="H522" s="1733"/>
      <c r="I522" s="1706"/>
      <c r="J522" s="1734"/>
      <c r="K522" s="1733"/>
      <c r="L522" s="1734"/>
      <c r="M522" s="1735"/>
      <c r="N522" s="1733"/>
      <c r="P522" s="1736"/>
      <c r="Q522" s="1722"/>
    </row>
    <row r="523">
      <c r="A523" s="1732"/>
      <c r="C523" s="1706"/>
      <c r="D523" s="1706"/>
      <c r="E523" s="1706"/>
      <c r="F523" s="1733"/>
      <c r="G523" s="1734"/>
      <c r="H523" s="1733"/>
      <c r="I523" s="1706"/>
      <c r="J523" s="1734"/>
      <c r="K523" s="1733"/>
      <c r="L523" s="1734"/>
      <c r="M523" s="1735"/>
      <c r="N523" s="1733"/>
      <c r="P523" s="1736"/>
      <c r="Q523" s="1722"/>
    </row>
    <row r="524">
      <c r="A524" s="1732"/>
      <c r="C524" s="1706"/>
      <c r="D524" s="1706"/>
      <c r="E524" s="1706"/>
      <c r="F524" s="1733"/>
      <c r="G524" s="1734"/>
      <c r="H524" s="1733"/>
      <c r="I524" s="1706"/>
      <c r="J524" s="1734"/>
      <c r="K524" s="1733"/>
      <c r="L524" s="1734"/>
      <c r="M524" s="1735"/>
      <c r="N524" s="1733"/>
      <c r="P524" s="1736"/>
      <c r="Q524" s="1722"/>
    </row>
    <row r="525">
      <c r="A525" s="1732"/>
      <c r="C525" s="1706"/>
      <c r="D525" s="1706"/>
      <c r="E525" s="1706"/>
      <c r="F525" s="1733"/>
      <c r="G525" s="1734"/>
      <c r="H525" s="1733"/>
      <c r="I525" s="1706"/>
      <c r="J525" s="1734"/>
      <c r="K525" s="1733"/>
      <c r="L525" s="1734"/>
      <c r="M525" s="1735"/>
      <c r="N525" s="1733"/>
      <c r="P525" s="1736"/>
      <c r="Q525" s="1722"/>
    </row>
    <row r="526">
      <c r="A526" s="1732"/>
      <c r="C526" s="1706"/>
      <c r="D526" s="1706"/>
      <c r="E526" s="1706"/>
      <c r="F526" s="1733"/>
      <c r="G526" s="1734"/>
      <c r="H526" s="1733"/>
      <c r="I526" s="1706"/>
      <c r="J526" s="1734"/>
      <c r="K526" s="1733"/>
      <c r="L526" s="1734"/>
      <c r="M526" s="1735"/>
      <c r="N526" s="1733"/>
      <c r="P526" s="1736"/>
      <c r="Q526" s="1722"/>
    </row>
    <row r="527">
      <c r="A527" s="1732"/>
      <c r="C527" s="1706"/>
      <c r="D527" s="1706"/>
      <c r="E527" s="1706"/>
      <c r="F527" s="1733"/>
      <c r="G527" s="1734"/>
      <c r="H527" s="1733"/>
      <c r="I527" s="1706"/>
      <c r="J527" s="1734"/>
      <c r="K527" s="1733"/>
      <c r="L527" s="1734"/>
      <c r="M527" s="1735"/>
      <c r="N527" s="1733"/>
      <c r="P527" s="1736"/>
      <c r="Q527" s="1722"/>
    </row>
    <row r="528">
      <c r="A528" s="1732"/>
      <c r="C528" s="1706"/>
      <c r="D528" s="1706"/>
      <c r="E528" s="1706"/>
      <c r="F528" s="1733"/>
      <c r="G528" s="1734"/>
      <c r="H528" s="1733"/>
      <c r="I528" s="1706"/>
      <c r="J528" s="1734"/>
      <c r="K528" s="1733"/>
      <c r="L528" s="1734"/>
      <c r="M528" s="1735"/>
      <c r="N528" s="1733"/>
      <c r="P528" s="1736"/>
      <c r="Q528" s="1722"/>
    </row>
    <row r="529">
      <c r="A529" s="1732"/>
      <c r="C529" s="1706"/>
      <c r="D529" s="1706"/>
      <c r="E529" s="1706"/>
      <c r="F529" s="1733"/>
      <c r="G529" s="1734"/>
      <c r="H529" s="1733"/>
      <c r="I529" s="1706"/>
      <c r="J529" s="1734"/>
      <c r="K529" s="1733"/>
      <c r="L529" s="1734"/>
      <c r="M529" s="1735"/>
      <c r="N529" s="1733"/>
      <c r="P529" s="1736"/>
      <c r="Q529" s="1722"/>
    </row>
    <row r="530">
      <c r="A530" s="1732"/>
      <c r="C530" s="1706"/>
      <c r="D530" s="1706"/>
      <c r="E530" s="1706"/>
      <c r="F530" s="1733"/>
      <c r="G530" s="1734"/>
      <c r="H530" s="1733"/>
      <c r="I530" s="1706"/>
      <c r="J530" s="1734"/>
      <c r="K530" s="1733"/>
      <c r="L530" s="1734"/>
      <c r="M530" s="1735"/>
      <c r="N530" s="1733"/>
      <c r="P530" s="1736"/>
      <c r="Q530" s="1722"/>
    </row>
    <row r="531">
      <c r="A531" s="1732"/>
      <c r="C531" s="1706"/>
      <c r="D531" s="1706"/>
      <c r="E531" s="1706"/>
      <c r="F531" s="1733"/>
      <c r="G531" s="1734"/>
      <c r="H531" s="1733"/>
      <c r="I531" s="1706"/>
      <c r="J531" s="1734"/>
      <c r="K531" s="1733"/>
      <c r="L531" s="1734"/>
      <c r="M531" s="1735"/>
      <c r="N531" s="1733"/>
      <c r="P531" s="1736"/>
      <c r="Q531" s="1722"/>
    </row>
    <row r="532">
      <c r="A532" s="1732"/>
      <c r="C532" s="1706"/>
      <c r="D532" s="1706"/>
      <c r="E532" s="1706"/>
      <c r="F532" s="1733"/>
      <c r="G532" s="1734"/>
      <c r="H532" s="1733"/>
      <c r="I532" s="1706"/>
      <c r="J532" s="1734"/>
      <c r="K532" s="1733"/>
      <c r="L532" s="1734"/>
      <c r="M532" s="1735"/>
      <c r="N532" s="1733"/>
      <c r="P532" s="1736"/>
      <c r="Q532" s="1722"/>
    </row>
    <row r="533">
      <c r="A533" s="1732"/>
      <c r="C533" s="1706"/>
      <c r="D533" s="1706"/>
      <c r="E533" s="1706"/>
      <c r="F533" s="1733"/>
      <c r="G533" s="1734"/>
      <c r="H533" s="1733"/>
      <c r="I533" s="1706"/>
      <c r="J533" s="1734"/>
      <c r="K533" s="1733"/>
      <c r="L533" s="1734"/>
      <c r="M533" s="1735"/>
      <c r="N533" s="1733"/>
      <c r="P533" s="1736"/>
      <c r="Q533" s="1722"/>
    </row>
    <row r="534">
      <c r="A534" s="1732"/>
      <c r="C534" s="1706"/>
      <c r="D534" s="1706"/>
      <c r="E534" s="1706"/>
      <c r="F534" s="1733"/>
      <c r="G534" s="1734"/>
      <c r="H534" s="1733"/>
      <c r="I534" s="1706"/>
      <c r="J534" s="1734"/>
      <c r="K534" s="1733"/>
      <c r="L534" s="1734"/>
      <c r="M534" s="1735"/>
      <c r="N534" s="1733"/>
      <c r="P534" s="1736"/>
      <c r="Q534" s="1722"/>
    </row>
    <row r="535">
      <c r="A535" s="1732"/>
      <c r="C535" s="1706"/>
      <c r="D535" s="1706"/>
      <c r="E535" s="1706"/>
      <c r="F535" s="1733"/>
      <c r="G535" s="1734"/>
      <c r="H535" s="1733"/>
      <c r="I535" s="1706"/>
      <c r="J535" s="1734"/>
      <c r="K535" s="1733"/>
      <c r="L535" s="1734"/>
      <c r="M535" s="1735"/>
      <c r="N535" s="1733"/>
      <c r="P535" s="1736"/>
      <c r="Q535" s="1722"/>
    </row>
    <row r="536">
      <c r="A536" s="1732"/>
      <c r="C536" s="1706"/>
      <c r="D536" s="1706"/>
      <c r="E536" s="1706"/>
      <c r="F536" s="1733"/>
      <c r="G536" s="1734"/>
      <c r="H536" s="1733"/>
      <c r="I536" s="1706"/>
      <c r="J536" s="1734"/>
      <c r="K536" s="1733"/>
      <c r="L536" s="1734"/>
      <c r="M536" s="1735"/>
      <c r="N536" s="1733"/>
      <c r="P536" s="1736"/>
      <c r="Q536" s="1722"/>
    </row>
    <row r="537">
      <c r="A537" s="1732"/>
      <c r="C537" s="1706"/>
      <c r="D537" s="1706"/>
      <c r="E537" s="1706"/>
      <c r="F537" s="1733"/>
      <c r="G537" s="1734"/>
      <c r="H537" s="1733"/>
      <c r="I537" s="1706"/>
      <c r="J537" s="1734"/>
      <c r="K537" s="1733"/>
      <c r="L537" s="1734"/>
      <c r="M537" s="1735"/>
      <c r="N537" s="1733"/>
      <c r="P537" s="1736"/>
      <c r="Q537" s="1722"/>
    </row>
    <row r="538">
      <c r="A538" s="1732"/>
      <c r="C538" s="1706"/>
      <c r="D538" s="1706"/>
      <c r="E538" s="1706"/>
      <c r="F538" s="1733"/>
      <c r="G538" s="1734"/>
      <c r="H538" s="1733"/>
      <c r="I538" s="1706"/>
      <c r="J538" s="1734"/>
      <c r="K538" s="1733"/>
      <c r="L538" s="1734"/>
      <c r="M538" s="1735"/>
      <c r="N538" s="1733"/>
      <c r="P538" s="1736"/>
      <c r="Q538" s="1722"/>
    </row>
    <row r="539">
      <c r="A539" s="1732"/>
      <c r="C539" s="1706"/>
      <c r="D539" s="1706"/>
      <c r="E539" s="1706"/>
      <c r="F539" s="1733"/>
      <c r="G539" s="1734"/>
      <c r="H539" s="1733"/>
      <c r="I539" s="1706"/>
      <c r="J539" s="1734"/>
      <c r="K539" s="1733"/>
      <c r="L539" s="1734"/>
      <c r="M539" s="1735"/>
      <c r="N539" s="1733"/>
      <c r="P539" s="1736"/>
      <c r="Q539" s="1722"/>
    </row>
    <row r="540">
      <c r="A540" s="1732"/>
      <c r="C540" s="1706"/>
      <c r="D540" s="1706"/>
      <c r="E540" s="1706"/>
      <c r="F540" s="1733"/>
      <c r="G540" s="1734"/>
      <c r="H540" s="1733"/>
      <c r="I540" s="1706"/>
      <c r="J540" s="1734"/>
      <c r="K540" s="1733"/>
      <c r="L540" s="1734"/>
      <c r="M540" s="1735"/>
      <c r="N540" s="1733"/>
      <c r="P540" s="1736"/>
      <c r="Q540" s="1722"/>
    </row>
    <row r="541">
      <c r="A541" s="1732"/>
      <c r="C541" s="1706"/>
      <c r="D541" s="1706"/>
      <c r="E541" s="1706"/>
      <c r="F541" s="1733"/>
      <c r="G541" s="1734"/>
      <c r="H541" s="1733"/>
      <c r="I541" s="1706"/>
      <c r="J541" s="1734"/>
      <c r="K541" s="1733"/>
      <c r="L541" s="1734"/>
      <c r="M541" s="1735"/>
      <c r="N541" s="1733"/>
      <c r="P541" s="1736"/>
      <c r="Q541" s="1722"/>
    </row>
    <row r="542">
      <c r="A542" s="1732"/>
      <c r="C542" s="1706"/>
      <c r="D542" s="1706"/>
      <c r="E542" s="1706"/>
      <c r="F542" s="1733"/>
      <c r="G542" s="1734"/>
      <c r="H542" s="1733"/>
      <c r="I542" s="1706"/>
      <c r="J542" s="1734"/>
      <c r="K542" s="1733"/>
      <c r="L542" s="1734"/>
      <c r="M542" s="1735"/>
      <c r="N542" s="1733"/>
      <c r="P542" s="1736"/>
      <c r="Q542" s="1722"/>
    </row>
    <row r="543">
      <c r="A543" s="1732"/>
      <c r="C543" s="1706"/>
      <c r="D543" s="1706"/>
      <c r="E543" s="1706"/>
      <c r="F543" s="1733"/>
      <c r="G543" s="1734"/>
      <c r="H543" s="1733"/>
      <c r="I543" s="1706"/>
      <c r="J543" s="1734"/>
      <c r="K543" s="1733"/>
      <c r="L543" s="1734"/>
      <c r="M543" s="1735"/>
      <c r="N543" s="1733"/>
      <c r="P543" s="1736"/>
      <c r="Q543" s="1722"/>
    </row>
    <row r="544">
      <c r="A544" s="1732"/>
      <c r="C544" s="1706"/>
      <c r="D544" s="1706"/>
      <c r="E544" s="1706"/>
      <c r="F544" s="1733"/>
      <c r="G544" s="1734"/>
      <c r="H544" s="1733"/>
      <c r="I544" s="1706"/>
      <c r="J544" s="1734"/>
      <c r="K544" s="1733"/>
      <c r="L544" s="1734"/>
      <c r="M544" s="1735"/>
      <c r="N544" s="1733"/>
      <c r="P544" s="1736"/>
      <c r="Q544" s="1722"/>
    </row>
    <row r="545">
      <c r="A545" s="1732"/>
      <c r="C545" s="1706"/>
      <c r="D545" s="1706"/>
      <c r="E545" s="1706"/>
      <c r="F545" s="1733"/>
      <c r="G545" s="1734"/>
      <c r="H545" s="1733"/>
      <c r="I545" s="1706"/>
      <c r="J545" s="1734"/>
      <c r="K545" s="1733"/>
      <c r="L545" s="1734"/>
      <c r="M545" s="1735"/>
      <c r="N545" s="1733"/>
      <c r="P545" s="1736"/>
      <c r="Q545" s="1722"/>
    </row>
    <row r="546">
      <c r="A546" s="1732"/>
      <c r="C546" s="1706"/>
      <c r="D546" s="1706"/>
      <c r="E546" s="1706"/>
      <c r="F546" s="1733"/>
      <c r="G546" s="1734"/>
      <c r="H546" s="1733"/>
      <c r="I546" s="1706"/>
      <c r="J546" s="1734"/>
      <c r="K546" s="1733"/>
      <c r="L546" s="1734"/>
      <c r="M546" s="1735"/>
      <c r="N546" s="1733"/>
      <c r="P546" s="1736"/>
      <c r="Q546" s="1722"/>
    </row>
    <row r="547">
      <c r="A547" s="1732"/>
      <c r="C547" s="1706"/>
      <c r="D547" s="1706"/>
      <c r="E547" s="1706"/>
      <c r="F547" s="1733"/>
      <c r="G547" s="1734"/>
      <c r="H547" s="1733"/>
      <c r="I547" s="1706"/>
      <c r="J547" s="1734"/>
      <c r="K547" s="1733"/>
      <c r="L547" s="1734"/>
      <c r="M547" s="1735"/>
      <c r="N547" s="1733"/>
      <c r="P547" s="1736"/>
      <c r="Q547" s="1722"/>
    </row>
    <row r="548">
      <c r="A548" s="1732"/>
      <c r="C548" s="1706"/>
      <c r="D548" s="1706"/>
      <c r="E548" s="1706"/>
      <c r="F548" s="1733"/>
      <c r="G548" s="1734"/>
      <c r="H548" s="1733"/>
      <c r="I548" s="1706"/>
      <c r="J548" s="1734"/>
      <c r="K548" s="1733"/>
      <c r="L548" s="1734"/>
      <c r="M548" s="1735"/>
      <c r="N548" s="1733"/>
      <c r="P548" s="1736"/>
      <c r="Q548" s="1722"/>
    </row>
    <row r="549">
      <c r="A549" s="1732"/>
      <c r="C549" s="1706"/>
      <c r="D549" s="1706"/>
      <c r="E549" s="1706"/>
      <c r="F549" s="1733"/>
      <c r="G549" s="1734"/>
      <c r="H549" s="1733"/>
      <c r="I549" s="1706"/>
      <c r="J549" s="1734"/>
      <c r="K549" s="1733"/>
      <c r="L549" s="1734"/>
      <c r="M549" s="1735"/>
      <c r="N549" s="1733"/>
      <c r="P549" s="1736"/>
      <c r="Q549" s="1722"/>
    </row>
    <row r="550">
      <c r="A550" s="1732"/>
      <c r="C550" s="1706"/>
      <c r="D550" s="1706"/>
      <c r="E550" s="1706"/>
      <c r="F550" s="1733"/>
      <c r="G550" s="1734"/>
      <c r="H550" s="1733"/>
      <c r="I550" s="1706"/>
      <c r="J550" s="1734"/>
      <c r="K550" s="1733"/>
      <c r="L550" s="1734"/>
      <c r="M550" s="1735"/>
      <c r="N550" s="1733"/>
      <c r="P550" s="1736"/>
      <c r="Q550" s="1722"/>
    </row>
    <row r="551">
      <c r="A551" s="1732"/>
      <c r="C551" s="1706"/>
      <c r="D551" s="1706"/>
      <c r="E551" s="1706"/>
      <c r="F551" s="1733"/>
      <c r="G551" s="1734"/>
      <c r="H551" s="1733"/>
      <c r="I551" s="1706"/>
      <c r="J551" s="1734"/>
      <c r="K551" s="1733"/>
      <c r="L551" s="1734"/>
      <c r="M551" s="1735"/>
      <c r="N551" s="1733"/>
      <c r="P551" s="1736"/>
      <c r="Q551" s="1722"/>
    </row>
    <row r="552">
      <c r="A552" s="1732"/>
      <c r="C552" s="1706"/>
      <c r="D552" s="1706"/>
      <c r="E552" s="1706"/>
      <c r="F552" s="1733"/>
      <c r="G552" s="1734"/>
      <c r="H552" s="1733"/>
      <c r="I552" s="1706"/>
      <c r="J552" s="1734"/>
      <c r="K552" s="1733"/>
      <c r="L552" s="1734"/>
      <c r="M552" s="1735"/>
      <c r="N552" s="1733"/>
      <c r="P552" s="1736"/>
      <c r="Q552" s="1722"/>
    </row>
    <row r="553">
      <c r="A553" s="1732"/>
      <c r="C553" s="1706"/>
      <c r="D553" s="1706"/>
      <c r="E553" s="1706"/>
      <c r="F553" s="1733"/>
      <c r="G553" s="1734"/>
      <c r="H553" s="1733"/>
      <c r="I553" s="1706"/>
      <c r="J553" s="1734"/>
      <c r="K553" s="1733"/>
      <c r="L553" s="1734"/>
      <c r="M553" s="1735"/>
      <c r="N553" s="1733"/>
      <c r="P553" s="1736"/>
      <c r="Q553" s="1722"/>
    </row>
    <row r="554">
      <c r="A554" s="1732"/>
      <c r="C554" s="1706"/>
      <c r="D554" s="1706"/>
      <c r="E554" s="1706"/>
      <c r="F554" s="1733"/>
      <c r="G554" s="1734"/>
      <c r="H554" s="1733"/>
      <c r="I554" s="1706"/>
      <c r="J554" s="1734"/>
      <c r="K554" s="1733"/>
      <c r="L554" s="1734"/>
      <c r="M554" s="1735"/>
      <c r="N554" s="1733"/>
      <c r="P554" s="1736"/>
      <c r="Q554" s="1722"/>
    </row>
    <row r="555">
      <c r="A555" s="1732"/>
      <c r="C555" s="1706"/>
      <c r="D555" s="1706"/>
      <c r="E555" s="1706"/>
      <c r="F555" s="1733"/>
      <c r="G555" s="1734"/>
      <c r="H555" s="1733"/>
      <c r="I555" s="1706"/>
      <c r="J555" s="1734"/>
      <c r="K555" s="1733"/>
      <c r="L555" s="1734"/>
      <c r="M555" s="1735"/>
      <c r="N555" s="1733"/>
      <c r="P555" s="1736"/>
      <c r="Q555" s="1722"/>
    </row>
    <row r="556">
      <c r="A556" s="1732"/>
      <c r="C556" s="1706"/>
      <c r="D556" s="1706"/>
      <c r="E556" s="1706"/>
      <c r="F556" s="1733"/>
      <c r="G556" s="1734"/>
      <c r="H556" s="1733"/>
      <c r="I556" s="1706"/>
      <c r="J556" s="1734"/>
      <c r="K556" s="1733"/>
      <c r="L556" s="1734"/>
      <c r="M556" s="1735"/>
      <c r="N556" s="1733"/>
      <c r="P556" s="1736"/>
      <c r="Q556" s="1722"/>
    </row>
    <row r="557">
      <c r="A557" s="1732"/>
      <c r="C557" s="1706"/>
      <c r="D557" s="1706"/>
      <c r="E557" s="1706"/>
      <c r="F557" s="1733"/>
      <c r="G557" s="1734"/>
      <c r="H557" s="1733"/>
      <c r="I557" s="1706"/>
      <c r="J557" s="1734"/>
      <c r="K557" s="1733"/>
      <c r="L557" s="1734"/>
      <c r="M557" s="1735"/>
      <c r="N557" s="1733"/>
      <c r="P557" s="1736"/>
      <c r="Q557" s="1722"/>
    </row>
    <row r="558">
      <c r="A558" s="1732"/>
      <c r="C558" s="1706"/>
      <c r="D558" s="1706"/>
      <c r="E558" s="1706"/>
      <c r="F558" s="1733"/>
      <c r="G558" s="1734"/>
      <c r="H558" s="1733"/>
      <c r="I558" s="1706"/>
      <c r="J558" s="1734"/>
      <c r="K558" s="1733"/>
      <c r="L558" s="1734"/>
      <c r="M558" s="1735"/>
      <c r="N558" s="1733"/>
      <c r="P558" s="1736"/>
      <c r="Q558" s="1722"/>
    </row>
    <row r="559">
      <c r="A559" s="1732"/>
      <c r="C559" s="1706"/>
      <c r="D559" s="1706"/>
      <c r="E559" s="1706"/>
      <c r="F559" s="1733"/>
      <c r="G559" s="1734"/>
      <c r="H559" s="1733"/>
      <c r="I559" s="1706"/>
      <c r="J559" s="1734"/>
      <c r="K559" s="1733"/>
      <c r="L559" s="1734"/>
      <c r="M559" s="1735"/>
      <c r="N559" s="1733"/>
      <c r="P559" s="1736"/>
      <c r="Q559" s="1722"/>
    </row>
    <row r="560">
      <c r="A560" s="1732"/>
      <c r="C560" s="1706"/>
      <c r="D560" s="1706"/>
      <c r="E560" s="1706"/>
      <c r="F560" s="1733"/>
      <c r="G560" s="1734"/>
      <c r="H560" s="1733"/>
      <c r="I560" s="1706"/>
      <c r="J560" s="1734"/>
      <c r="K560" s="1733"/>
      <c r="L560" s="1734"/>
      <c r="M560" s="1735"/>
      <c r="N560" s="1733"/>
      <c r="P560" s="1736"/>
      <c r="Q560" s="1722"/>
    </row>
    <row r="561">
      <c r="A561" s="1732"/>
      <c r="C561" s="1706"/>
      <c r="D561" s="1706"/>
      <c r="E561" s="1706"/>
      <c r="F561" s="1733"/>
      <c r="G561" s="1734"/>
      <c r="H561" s="1733"/>
      <c r="I561" s="1706"/>
      <c r="J561" s="1734"/>
      <c r="K561" s="1733"/>
      <c r="L561" s="1734"/>
      <c r="M561" s="1735"/>
      <c r="N561" s="1733"/>
      <c r="P561" s="1736"/>
      <c r="Q561" s="1722"/>
    </row>
    <row r="562">
      <c r="A562" s="1732"/>
      <c r="C562" s="1706"/>
      <c r="D562" s="1706"/>
      <c r="E562" s="1706"/>
      <c r="F562" s="1733"/>
      <c r="G562" s="1734"/>
      <c r="H562" s="1733"/>
      <c r="I562" s="1706"/>
      <c r="J562" s="1734"/>
      <c r="K562" s="1733"/>
      <c r="L562" s="1734"/>
      <c r="M562" s="1735"/>
      <c r="N562" s="1733"/>
      <c r="P562" s="1736"/>
      <c r="Q562" s="1722"/>
    </row>
    <row r="563">
      <c r="A563" s="1732"/>
      <c r="C563" s="1706"/>
      <c r="D563" s="1706"/>
      <c r="E563" s="1706"/>
      <c r="F563" s="1733"/>
      <c r="G563" s="1734"/>
      <c r="H563" s="1733"/>
      <c r="I563" s="1706"/>
      <c r="J563" s="1734"/>
      <c r="K563" s="1733"/>
      <c r="L563" s="1734"/>
      <c r="M563" s="1735"/>
      <c r="N563" s="1733"/>
      <c r="P563" s="1736"/>
      <c r="Q563" s="1722"/>
    </row>
    <row r="564">
      <c r="A564" s="1732"/>
      <c r="C564" s="1706"/>
      <c r="D564" s="1706"/>
      <c r="E564" s="1706"/>
      <c r="F564" s="1733"/>
      <c r="G564" s="1734"/>
      <c r="H564" s="1733"/>
      <c r="I564" s="1706"/>
      <c r="J564" s="1734"/>
      <c r="K564" s="1733"/>
      <c r="L564" s="1734"/>
      <c r="M564" s="1735"/>
      <c r="N564" s="1733"/>
      <c r="P564" s="1736"/>
      <c r="Q564" s="1722"/>
    </row>
    <row r="565">
      <c r="A565" s="1732"/>
      <c r="C565" s="1706"/>
      <c r="D565" s="1706"/>
      <c r="E565" s="1706"/>
      <c r="F565" s="1733"/>
      <c r="G565" s="1734"/>
      <c r="H565" s="1733"/>
      <c r="I565" s="1706"/>
      <c r="J565" s="1734"/>
      <c r="K565" s="1733"/>
      <c r="L565" s="1734"/>
      <c r="M565" s="1735"/>
      <c r="N565" s="1733"/>
      <c r="P565" s="1736"/>
      <c r="Q565" s="1722"/>
    </row>
    <row r="566">
      <c r="A566" s="1732"/>
      <c r="C566" s="1706"/>
      <c r="D566" s="1706"/>
      <c r="E566" s="1706"/>
      <c r="F566" s="1733"/>
      <c r="G566" s="1734"/>
      <c r="H566" s="1733"/>
      <c r="I566" s="1706"/>
      <c r="J566" s="1734"/>
      <c r="K566" s="1733"/>
      <c r="L566" s="1734"/>
      <c r="M566" s="1735"/>
      <c r="N566" s="1733"/>
      <c r="P566" s="1736"/>
      <c r="Q566" s="1722"/>
    </row>
    <row r="567">
      <c r="A567" s="1732"/>
      <c r="C567" s="1706"/>
      <c r="D567" s="1706"/>
      <c r="E567" s="1706"/>
      <c r="F567" s="1733"/>
      <c r="G567" s="1734"/>
      <c r="H567" s="1733"/>
      <c r="I567" s="1706"/>
      <c r="J567" s="1734"/>
      <c r="K567" s="1733"/>
      <c r="L567" s="1734"/>
      <c r="M567" s="1735"/>
      <c r="N567" s="1733"/>
      <c r="P567" s="1736"/>
      <c r="Q567" s="1722"/>
    </row>
    <row r="568">
      <c r="A568" s="1732"/>
      <c r="C568" s="1706"/>
      <c r="D568" s="1706"/>
      <c r="E568" s="1706"/>
      <c r="F568" s="1733"/>
      <c r="G568" s="1734"/>
      <c r="H568" s="1733"/>
      <c r="I568" s="1706"/>
      <c r="J568" s="1734"/>
      <c r="K568" s="1733"/>
      <c r="L568" s="1734"/>
      <c r="M568" s="1735"/>
      <c r="N568" s="1733"/>
      <c r="P568" s="1736"/>
      <c r="Q568" s="1722"/>
    </row>
    <row r="569">
      <c r="A569" s="1732"/>
      <c r="C569" s="1706"/>
      <c r="D569" s="1706"/>
      <c r="E569" s="1706"/>
      <c r="F569" s="1733"/>
      <c r="G569" s="1734"/>
      <c r="H569" s="1733"/>
      <c r="I569" s="1706"/>
      <c r="J569" s="1734"/>
      <c r="K569" s="1733"/>
      <c r="L569" s="1734"/>
      <c r="M569" s="1735"/>
      <c r="N569" s="1733"/>
      <c r="P569" s="1736"/>
      <c r="Q569" s="1722"/>
    </row>
    <row r="570">
      <c r="A570" s="1732"/>
      <c r="C570" s="1706"/>
      <c r="D570" s="1706"/>
      <c r="E570" s="1706"/>
      <c r="F570" s="1733"/>
      <c r="G570" s="1734"/>
      <c r="H570" s="1733"/>
      <c r="I570" s="1706"/>
      <c r="J570" s="1734"/>
      <c r="K570" s="1733"/>
      <c r="L570" s="1734"/>
      <c r="M570" s="1735"/>
      <c r="N570" s="1733"/>
      <c r="P570" s="1736"/>
      <c r="Q570" s="1722"/>
    </row>
    <row r="571">
      <c r="A571" s="1732"/>
      <c r="C571" s="1706"/>
      <c r="D571" s="1706"/>
      <c r="E571" s="1706"/>
      <c r="F571" s="1733"/>
      <c r="G571" s="1734"/>
      <c r="H571" s="1733"/>
      <c r="I571" s="1706"/>
      <c r="J571" s="1734"/>
      <c r="K571" s="1733"/>
      <c r="L571" s="1734"/>
      <c r="M571" s="1735"/>
      <c r="N571" s="1733"/>
      <c r="P571" s="1736"/>
      <c r="Q571" s="1722"/>
    </row>
    <row r="572">
      <c r="A572" s="1732"/>
      <c r="C572" s="1706"/>
      <c r="D572" s="1706"/>
      <c r="E572" s="1706"/>
      <c r="F572" s="1733"/>
      <c r="G572" s="1734"/>
      <c r="H572" s="1733"/>
      <c r="I572" s="1706"/>
      <c r="J572" s="1734"/>
      <c r="K572" s="1733"/>
      <c r="L572" s="1734"/>
      <c r="M572" s="1735"/>
      <c r="N572" s="1733"/>
      <c r="P572" s="1736"/>
      <c r="Q572" s="1722"/>
    </row>
    <row r="573">
      <c r="A573" s="1732"/>
      <c r="C573" s="1706"/>
      <c r="D573" s="1706"/>
      <c r="E573" s="1706"/>
      <c r="F573" s="1733"/>
      <c r="G573" s="1734"/>
      <c r="H573" s="1733"/>
      <c r="I573" s="1706"/>
      <c r="J573" s="1734"/>
      <c r="K573" s="1733"/>
      <c r="L573" s="1734"/>
      <c r="M573" s="1735"/>
      <c r="N573" s="1733"/>
      <c r="P573" s="1736"/>
      <c r="Q573" s="1722"/>
    </row>
    <row r="574">
      <c r="A574" s="1732"/>
      <c r="C574" s="1706"/>
      <c r="D574" s="1706"/>
      <c r="E574" s="1706"/>
      <c r="F574" s="1733"/>
      <c r="G574" s="1734"/>
      <c r="H574" s="1733"/>
      <c r="I574" s="1706"/>
      <c r="J574" s="1734"/>
      <c r="K574" s="1733"/>
      <c r="L574" s="1734"/>
      <c r="M574" s="1735"/>
      <c r="N574" s="1733"/>
      <c r="P574" s="1736"/>
      <c r="Q574" s="1722"/>
    </row>
    <row r="575">
      <c r="A575" s="1732"/>
      <c r="C575" s="1706"/>
      <c r="D575" s="1706"/>
      <c r="E575" s="1706"/>
      <c r="F575" s="1733"/>
      <c r="G575" s="1734"/>
      <c r="H575" s="1733"/>
      <c r="I575" s="1706"/>
      <c r="J575" s="1734"/>
      <c r="K575" s="1733"/>
      <c r="L575" s="1734"/>
      <c r="M575" s="1735"/>
      <c r="N575" s="1733"/>
      <c r="P575" s="1736"/>
      <c r="Q575" s="1722"/>
    </row>
    <row r="576">
      <c r="A576" s="1732"/>
      <c r="C576" s="1706"/>
      <c r="D576" s="1706"/>
      <c r="E576" s="1706"/>
      <c r="F576" s="1733"/>
      <c r="G576" s="1734"/>
      <c r="H576" s="1733"/>
      <c r="I576" s="1706"/>
      <c r="J576" s="1734"/>
      <c r="K576" s="1733"/>
      <c r="L576" s="1734"/>
      <c r="M576" s="1735"/>
      <c r="N576" s="1733"/>
      <c r="P576" s="1736"/>
      <c r="Q576" s="1722"/>
    </row>
    <row r="577">
      <c r="A577" s="1732"/>
      <c r="C577" s="1706"/>
      <c r="D577" s="1706"/>
      <c r="E577" s="1706"/>
      <c r="F577" s="1733"/>
      <c r="G577" s="1734"/>
      <c r="H577" s="1733"/>
      <c r="I577" s="1706"/>
      <c r="J577" s="1734"/>
      <c r="K577" s="1733"/>
      <c r="L577" s="1734"/>
      <c r="M577" s="1735"/>
      <c r="N577" s="1733"/>
      <c r="P577" s="1736"/>
      <c r="Q577" s="1722"/>
    </row>
    <row r="578">
      <c r="A578" s="1732"/>
      <c r="C578" s="1706"/>
      <c r="D578" s="1706"/>
      <c r="E578" s="1706"/>
      <c r="F578" s="1733"/>
      <c r="G578" s="1734"/>
      <c r="H578" s="1733"/>
      <c r="I578" s="1706"/>
      <c r="J578" s="1734"/>
      <c r="K578" s="1733"/>
      <c r="L578" s="1734"/>
      <c r="M578" s="1735"/>
      <c r="N578" s="1733"/>
      <c r="P578" s="1736"/>
      <c r="Q578" s="1722"/>
    </row>
    <row r="579">
      <c r="A579" s="1732"/>
      <c r="C579" s="1706"/>
      <c r="D579" s="1706"/>
      <c r="E579" s="1706"/>
      <c r="F579" s="1733"/>
      <c r="G579" s="1734"/>
      <c r="H579" s="1733"/>
      <c r="I579" s="1706"/>
      <c r="J579" s="1734"/>
      <c r="K579" s="1733"/>
      <c r="L579" s="1734"/>
      <c r="M579" s="1735"/>
      <c r="N579" s="1733"/>
      <c r="P579" s="1736"/>
      <c r="Q579" s="1722"/>
    </row>
    <row r="580">
      <c r="A580" s="1732"/>
      <c r="C580" s="1706"/>
      <c r="D580" s="1706"/>
      <c r="E580" s="1706"/>
      <c r="F580" s="1733"/>
      <c r="G580" s="1734"/>
      <c r="H580" s="1733"/>
      <c r="I580" s="1706"/>
      <c r="J580" s="1734"/>
      <c r="K580" s="1733"/>
      <c r="L580" s="1734"/>
      <c r="M580" s="1735"/>
      <c r="N580" s="1733"/>
      <c r="P580" s="1736"/>
      <c r="Q580" s="1722"/>
    </row>
    <row r="581">
      <c r="A581" s="1732"/>
      <c r="C581" s="1706"/>
      <c r="D581" s="1706"/>
      <c r="E581" s="1706"/>
      <c r="F581" s="1733"/>
      <c r="G581" s="1734"/>
      <c r="H581" s="1733"/>
      <c r="I581" s="1706"/>
      <c r="J581" s="1734"/>
      <c r="K581" s="1733"/>
      <c r="L581" s="1734"/>
      <c r="M581" s="1735"/>
      <c r="N581" s="1733"/>
      <c r="P581" s="1736"/>
      <c r="Q581" s="1722"/>
    </row>
    <row r="582">
      <c r="A582" s="1732"/>
      <c r="C582" s="1706"/>
      <c r="D582" s="1706"/>
      <c r="E582" s="1706"/>
      <c r="F582" s="1733"/>
      <c r="G582" s="1734"/>
      <c r="H582" s="1733"/>
      <c r="I582" s="1706"/>
      <c r="J582" s="1734"/>
      <c r="K582" s="1733"/>
      <c r="L582" s="1734"/>
      <c r="M582" s="1735"/>
      <c r="N582" s="1733"/>
      <c r="P582" s="1736"/>
      <c r="Q582" s="1722"/>
    </row>
    <row r="583">
      <c r="A583" s="1732"/>
      <c r="C583" s="1706"/>
      <c r="D583" s="1706"/>
      <c r="E583" s="1706"/>
      <c r="F583" s="1733"/>
      <c r="G583" s="1734"/>
      <c r="H583" s="1733"/>
      <c r="I583" s="1706"/>
      <c r="J583" s="1734"/>
      <c r="K583" s="1733"/>
      <c r="L583" s="1734"/>
      <c r="M583" s="1735"/>
      <c r="N583" s="1733"/>
      <c r="P583" s="1736"/>
      <c r="Q583" s="1722"/>
    </row>
    <row r="584">
      <c r="A584" s="1732"/>
      <c r="C584" s="1706"/>
      <c r="D584" s="1706"/>
      <c r="E584" s="1706"/>
      <c r="F584" s="1733"/>
      <c r="G584" s="1734"/>
      <c r="H584" s="1733"/>
      <c r="I584" s="1706"/>
      <c r="J584" s="1734"/>
      <c r="K584" s="1733"/>
      <c r="L584" s="1734"/>
      <c r="M584" s="1735"/>
      <c r="N584" s="1733"/>
      <c r="P584" s="1736"/>
      <c r="Q584" s="1722"/>
    </row>
    <row r="585">
      <c r="A585" s="1732"/>
      <c r="C585" s="1706"/>
      <c r="D585" s="1706"/>
      <c r="E585" s="1706"/>
      <c r="F585" s="1733"/>
      <c r="G585" s="1734"/>
      <c r="H585" s="1733"/>
      <c r="I585" s="1706"/>
      <c r="J585" s="1734"/>
      <c r="K585" s="1733"/>
      <c r="L585" s="1734"/>
      <c r="M585" s="1735"/>
      <c r="N585" s="1733"/>
      <c r="P585" s="1736"/>
      <c r="Q585" s="1722"/>
    </row>
    <row r="586">
      <c r="A586" s="1732"/>
      <c r="C586" s="1706"/>
      <c r="D586" s="1706"/>
      <c r="E586" s="1706"/>
      <c r="F586" s="1733"/>
      <c r="G586" s="1734"/>
      <c r="H586" s="1733"/>
      <c r="I586" s="1706"/>
      <c r="J586" s="1734"/>
      <c r="K586" s="1733"/>
      <c r="L586" s="1734"/>
      <c r="M586" s="1735"/>
      <c r="N586" s="1733"/>
      <c r="P586" s="1736"/>
      <c r="Q586" s="1722"/>
    </row>
    <row r="587">
      <c r="A587" s="1732"/>
      <c r="C587" s="1706"/>
      <c r="D587" s="1706"/>
      <c r="E587" s="1706"/>
      <c r="F587" s="1733"/>
      <c r="G587" s="1734"/>
      <c r="H587" s="1733"/>
      <c r="I587" s="1706"/>
      <c r="J587" s="1734"/>
      <c r="K587" s="1733"/>
      <c r="L587" s="1734"/>
      <c r="M587" s="1735"/>
      <c r="N587" s="1733"/>
      <c r="P587" s="1736"/>
      <c r="Q587" s="1722"/>
    </row>
    <row r="588">
      <c r="A588" s="1732"/>
      <c r="C588" s="1706"/>
      <c r="D588" s="1706"/>
      <c r="E588" s="1706"/>
      <c r="F588" s="1733"/>
      <c r="G588" s="1734"/>
      <c r="H588" s="1733"/>
      <c r="I588" s="1706"/>
      <c r="J588" s="1734"/>
      <c r="K588" s="1733"/>
      <c r="L588" s="1734"/>
      <c r="M588" s="1735"/>
      <c r="N588" s="1733"/>
      <c r="P588" s="1736"/>
      <c r="Q588" s="1722"/>
    </row>
    <row r="589">
      <c r="A589" s="1732"/>
      <c r="C589" s="1706"/>
      <c r="D589" s="1706"/>
      <c r="E589" s="1706"/>
      <c r="F589" s="1733"/>
      <c r="G589" s="1734"/>
      <c r="H589" s="1733"/>
      <c r="I589" s="1706"/>
      <c r="J589" s="1734"/>
      <c r="K589" s="1733"/>
      <c r="L589" s="1734"/>
      <c r="M589" s="1735"/>
      <c r="N589" s="1733"/>
      <c r="P589" s="1736"/>
      <c r="Q589" s="1722"/>
    </row>
    <row r="590">
      <c r="A590" s="1732"/>
      <c r="C590" s="1706"/>
      <c r="D590" s="1706"/>
      <c r="E590" s="1706"/>
      <c r="F590" s="1733"/>
      <c r="G590" s="1734"/>
      <c r="H590" s="1733"/>
      <c r="I590" s="1706"/>
      <c r="J590" s="1734"/>
      <c r="K590" s="1733"/>
      <c r="L590" s="1734"/>
      <c r="M590" s="1735"/>
      <c r="N590" s="1733"/>
      <c r="P590" s="1736"/>
      <c r="Q590" s="1722"/>
    </row>
    <row r="591">
      <c r="A591" s="1732"/>
      <c r="C591" s="1706"/>
      <c r="D591" s="1706"/>
      <c r="E591" s="1706"/>
      <c r="F591" s="1733"/>
      <c r="G591" s="1734"/>
      <c r="H591" s="1733"/>
      <c r="I591" s="1706"/>
      <c r="J591" s="1734"/>
      <c r="K591" s="1733"/>
      <c r="L591" s="1734"/>
      <c r="M591" s="1735"/>
      <c r="N591" s="1733"/>
      <c r="P591" s="1736"/>
      <c r="Q591" s="1722"/>
    </row>
    <row r="592">
      <c r="A592" s="1732"/>
      <c r="C592" s="1706"/>
      <c r="D592" s="1706"/>
      <c r="E592" s="1706"/>
      <c r="F592" s="1733"/>
      <c r="G592" s="1734"/>
      <c r="H592" s="1733"/>
      <c r="I592" s="1706"/>
      <c r="J592" s="1734"/>
      <c r="K592" s="1733"/>
      <c r="L592" s="1734"/>
      <c r="M592" s="1735"/>
      <c r="N592" s="1733"/>
      <c r="P592" s="1736"/>
      <c r="Q592" s="1722"/>
    </row>
    <row r="593">
      <c r="A593" s="1732"/>
      <c r="C593" s="1706"/>
      <c r="D593" s="1706"/>
      <c r="E593" s="1706"/>
      <c r="F593" s="1733"/>
      <c r="G593" s="1734"/>
      <c r="H593" s="1733"/>
      <c r="I593" s="1706"/>
      <c r="J593" s="1734"/>
      <c r="K593" s="1733"/>
      <c r="L593" s="1734"/>
      <c r="M593" s="1735"/>
      <c r="N593" s="1733"/>
      <c r="P593" s="1736"/>
      <c r="Q593" s="1722"/>
    </row>
    <row r="594">
      <c r="A594" s="1732"/>
      <c r="C594" s="1706"/>
      <c r="D594" s="1706"/>
      <c r="E594" s="1706"/>
      <c r="F594" s="1733"/>
      <c r="G594" s="1734"/>
      <c r="H594" s="1733"/>
      <c r="I594" s="1706"/>
      <c r="J594" s="1734"/>
      <c r="K594" s="1733"/>
      <c r="L594" s="1734"/>
      <c r="M594" s="1735"/>
      <c r="N594" s="1733"/>
      <c r="P594" s="1736"/>
      <c r="Q594" s="1722"/>
    </row>
    <row r="595">
      <c r="A595" s="1732"/>
      <c r="C595" s="1706"/>
      <c r="D595" s="1706"/>
      <c r="E595" s="1706"/>
      <c r="F595" s="1733"/>
      <c r="G595" s="1734"/>
      <c r="H595" s="1733"/>
      <c r="I595" s="1706"/>
      <c r="J595" s="1734"/>
      <c r="K595" s="1733"/>
      <c r="L595" s="1734"/>
      <c r="M595" s="1735"/>
      <c r="N595" s="1733"/>
      <c r="P595" s="1736"/>
      <c r="Q595" s="1722"/>
    </row>
    <row r="596">
      <c r="A596" s="1732"/>
      <c r="C596" s="1706"/>
      <c r="D596" s="1706"/>
      <c r="E596" s="1706"/>
      <c r="F596" s="1733"/>
      <c r="G596" s="1734"/>
      <c r="H596" s="1733"/>
      <c r="I596" s="1706"/>
      <c r="J596" s="1734"/>
      <c r="K596" s="1733"/>
      <c r="L596" s="1734"/>
      <c r="M596" s="1735"/>
      <c r="N596" s="1733"/>
      <c r="P596" s="1736"/>
      <c r="Q596" s="1722"/>
    </row>
    <row r="597">
      <c r="A597" s="1732"/>
      <c r="C597" s="1706"/>
      <c r="D597" s="1706"/>
      <c r="E597" s="1706"/>
      <c r="F597" s="1733"/>
      <c r="G597" s="1734"/>
      <c r="H597" s="1733"/>
      <c r="I597" s="1706"/>
      <c r="J597" s="1734"/>
      <c r="K597" s="1733"/>
      <c r="L597" s="1734"/>
      <c r="M597" s="1735"/>
      <c r="N597" s="1733"/>
      <c r="P597" s="1736"/>
      <c r="Q597" s="1722"/>
    </row>
    <row r="598">
      <c r="A598" s="1732"/>
      <c r="C598" s="1706"/>
      <c r="D598" s="1706"/>
      <c r="E598" s="1706"/>
      <c r="F598" s="1733"/>
      <c r="G598" s="1734"/>
      <c r="H598" s="1733"/>
      <c r="I598" s="1706"/>
      <c r="J598" s="1734"/>
      <c r="K598" s="1733"/>
      <c r="L598" s="1734"/>
      <c r="M598" s="1735"/>
      <c r="N598" s="1733"/>
      <c r="P598" s="1736"/>
      <c r="Q598" s="1722"/>
    </row>
    <row r="599">
      <c r="A599" s="1732"/>
      <c r="C599" s="1706"/>
      <c r="D599" s="1706"/>
      <c r="E599" s="1706"/>
      <c r="F599" s="1733"/>
      <c r="G599" s="1734"/>
      <c r="H599" s="1733"/>
      <c r="I599" s="1706"/>
      <c r="J599" s="1734"/>
      <c r="K599" s="1733"/>
      <c r="L599" s="1734"/>
      <c r="M599" s="1735"/>
      <c r="N599" s="1733"/>
      <c r="P599" s="1736"/>
      <c r="Q599" s="1722"/>
    </row>
    <row r="600">
      <c r="A600" s="1732"/>
      <c r="C600" s="1706"/>
      <c r="D600" s="1706"/>
      <c r="E600" s="1706"/>
      <c r="F600" s="1733"/>
      <c r="G600" s="1734"/>
      <c r="H600" s="1733"/>
      <c r="I600" s="1706"/>
      <c r="J600" s="1734"/>
      <c r="K600" s="1733"/>
      <c r="L600" s="1734"/>
      <c r="M600" s="1735"/>
      <c r="N600" s="1733"/>
      <c r="P600" s="1736"/>
      <c r="Q600" s="1722"/>
    </row>
    <row r="601">
      <c r="A601" s="1732"/>
      <c r="C601" s="1706"/>
      <c r="D601" s="1706"/>
      <c r="E601" s="1706"/>
      <c r="F601" s="1733"/>
      <c r="G601" s="1734"/>
      <c r="H601" s="1733"/>
      <c r="I601" s="1706"/>
      <c r="J601" s="1734"/>
      <c r="K601" s="1733"/>
      <c r="L601" s="1734"/>
      <c r="M601" s="1735"/>
      <c r="N601" s="1733"/>
      <c r="P601" s="1736"/>
      <c r="Q601" s="1722"/>
    </row>
    <row r="602">
      <c r="A602" s="1732"/>
      <c r="C602" s="1706"/>
      <c r="D602" s="1706"/>
      <c r="E602" s="1706"/>
      <c r="F602" s="1733"/>
      <c r="G602" s="1734"/>
      <c r="H602" s="1733"/>
      <c r="I602" s="1706"/>
      <c r="J602" s="1734"/>
      <c r="K602" s="1733"/>
      <c r="L602" s="1734"/>
      <c r="M602" s="1735"/>
      <c r="N602" s="1733"/>
      <c r="P602" s="1736"/>
      <c r="Q602" s="1722"/>
    </row>
    <row r="603">
      <c r="A603" s="1732"/>
      <c r="C603" s="1706"/>
      <c r="D603" s="1706"/>
      <c r="E603" s="1706"/>
      <c r="F603" s="1733"/>
      <c r="G603" s="1734"/>
      <c r="H603" s="1733"/>
      <c r="I603" s="1706"/>
      <c r="J603" s="1734"/>
      <c r="K603" s="1733"/>
      <c r="L603" s="1734"/>
      <c r="M603" s="1735"/>
      <c r="N603" s="1733"/>
      <c r="P603" s="1736"/>
      <c r="Q603" s="1722"/>
    </row>
    <row r="604">
      <c r="A604" s="1732"/>
      <c r="C604" s="1706"/>
      <c r="D604" s="1706"/>
      <c r="E604" s="1706"/>
      <c r="F604" s="1733"/>
      <c r="G604" s="1734"/>
      <c r="H604" s="1733"/>
      <c r="I604" s="1706"/>
      <c r="J604" s="1734"/>
      <c r="K604" s="1733"/>
      <c r="L604" s="1734"/>
      <c r="M604" s="1735"/>
      <c r="N604" s="1733"/>
      <c r="P604" s="1736"/>
      <c r="Q604" s="1722"/>
    </row>
    <row r="605">
      <c r="A605" s="1732"/>
      <c r="C605" s="1706"/>
      <c r="D605" s="1706"/>
      <c r="E605" s="1706"/>
      <c r="F605" s="1733"/>
      <c r="G605" s="1734"/>
      <c r="H605" s="1733"/>
      <c r="I605" s="1706"/>
      <c r="J605" s="1734"/>
      <c r="K605" s="1733"/>
      <c r="L605" s="1734"/>
      <c r="M605" s="1735"/>
      <c r="N605" s="1733"/>
      <c r="P605" s="1736"/>
      <c r="Q605" s="1722"/>
    </row>
    <row r="606">
      <c r="A606" s="1732"/>
      <c r="C606" s="1706"/>
      <c r="D606" s="1706"/>
      <c r="E606" s="1706"/>
      <c r="F606" s="1733"/>
      <c r="G606" s="1734"/>
      <c r="H606" s="1733"/>
      <c r="I606" s="1706"/>
      <c r="J606" s="1734"/>
      <c r="K606" s="1733"/>
      <c r="L606" s="1734"/>
      <c r="M606" s="1735"/>
      <c r="N606" s="1733"/>
      <c r="P606" s="1736"/>
      <c r="Q606" s="1722"/>
    </row>
    <row r="607">
      <c r="A607" s="1732"/>
      <c r="C607" s="1706"/>
      <c r="D607" s="1706"/>
      <c r="E607" s="1706"/>
      <c r="F607" s="1733"/>
      <c r="G607" s="1734"/>
      <c r="H607" s="1733"/>
      <c r="I607" s="1706"/>
      <c r="J607" s="1734"/>
      <c r="K607" s="1733"/>
      <c r="L607" s="1734"/>
      <c r="M607" s="1735"/>
      <c r="N607" s="1733"/>
      <c r="P607" s="1736"/>
      <c r="Q607" s="1722"/>
    </row>
    <row r="608">
      <c r="A608" s="1732"/>
      <c r="C608" s="1706"/>
      <c r="D608" s="1706"/>
      <c r="E608" s="1706"/>
      <c r="F608" s="1733"/>
      <c r="G608" s="1734"/>
      <c r="H608" s="1733"/>
      <c r="I608" s="1706"/>
      <c r="J608" s="1734"/>
      <c r="K608" s="1733"/>
      <c r="L608" s="1734"/>
      <c r="M608" s="1735"/>
      <c r="N608" s="1733"/>
      <c r="P608" s="1736"/>
      <c r="Q608" s="1722"/>
    </row>
    <row r="609">
      <c r="A609" s="1732"/>
      <c r="C609" s="1706"/>
      <c r="D609" s="1706"/>
      <c r="E609" s="1706"/>
      <c r="F609" s="1733"/>
      <c r="G609" s="1734"/>
      <c r="H609" s="1733"/>
      <c r="I609" s="1706"/>
      <c r="J609" s="1734"/>
      <c r="K609" s="1733"/>
      <c r="L609" s="1734"/>
      <c r="M609" s="1735"/>
      <c r="N609" s="1733"/>
      <c r="P609" s="1736"/>
      <c r="Q609" s="1722"/>
    </row>
    <row r="610">
      <c r="A610" s="1732"/>
      <c r="C610" s="1706"/>
      <c r="D610" s="1706"/>
      <c r="E610" s="1706"/>
      <c r="F610" s="1733"/>
      <c r="G610" s="1734"/>
      <c r="H610" s="1733"/>
      <c r="I610" s="1706"/>
      <c r="J610" s="1734"/>
      <c r="K610" s="1733"/>
      <c r="L610" s="1734"/>
      <c r="M610" s="1735"/>
      <c r="N610" s="1733"/>
      <c r="P610" s="1736"/>
      <c r="Q610" s="1722"/>
    </row>
    <row r="611">
      <c r="A611" s="1732"/>
      <c r="C611" s="1706"/>
      <c r="D611" s="1706"/>
      <c r="E611" s="1706"/>
      <c r="F611" s="1733"/>
      <c r="G611" s="1734"/>
      <c r="H611" s="1733"/>
      <c r="I611" s="1706"/>
      <c r="J611" s="1734"/>
      <c r="K611" s="1733"/>
      <c r="L611" s="1734"/>
      <c r="M611" s="1735"/>
      <c r="N611" s="1733"/>
      <c r="P611" s="1736"/>
      <c r="Q611" s="1722"/>
    </row>
    <row r="612">
      <c r="A612" s="1732"/>
      <c r="C612" s="1706"/>
      <c r="D612" s="1706"/>
      <c r="E612" s="1706"/>
      <c r="F612" s="1733"/>
      <c r="G612" s="1734"/>
      <c r="H612" s="1733"/>
      <c r="I612" s="1706"/>
      <c r="J612" s="1734"/>
      <c r="K612" s="1733"/>
      <c r="L612" s="1734"/>
      <c r="M612" s="1735"/>
      <c r="N612" s="1733"/>
      <c r="P612" s="1736"/>
      <c r="Q612" s="1722"/>
    </row>
    <row r="613">
      <c r="A613" s="1732"/>
      <c r="C613" s="1706"/>
      <c r="D613" s="1706"/>
      <c r="E613" s="1706"/>
      <c r="F613" s="1733"/>
      <c r="G613" s="1734"/>
      <c r="H613" s="1733"/>
      <c r="I613" s="1706"/>
      <c r="J613" s="1734"/>
      <c r="K613" s="1733"/>
      <c r="L613" s="1734"/>
      <c r="M613" s="1735"/>
      <c r="N613" s="1733"/>
      <c r="P613" s="1736"/>
      <c r="Q613" s="1722"/>
    </row>
    <row r="614">
      <c r="A614" s="1732"/>
      <c r="C614" s="1706"/>
      <c r="D614" s="1706"/>
      <c r="E614" s="1706"/>
      <c r="F614" s="1733"/>
      <c r="G614" s="1734"/>
      <c r="H614" s="1733"/>
      <c r="I614" s="1706"/>
      <c r="J614" s="1734"/>
      <c r="K614" s="1733"/>
      <c r="L614" s="1734"/>
      <c r="M614" s="1735"/>
      <c r="N614" s="1733"/>
      <c r="P614" s="1736"/>
      <c r="Q614" s="1722"/>
    </row>
    <row r="615">
      <c r="A615" s="1732"/>
      <c r="C615" s="1706"/>
      <c r="D615" s="1706"/>
      <c r="E615" s="1706"/>
      <c r="F615" s="1733"/>
      <c r="G615" s="1734"/>
      <c r="H615" s="1733"/>
      <c r="I615" s="1706"/>
      <c r="J615" s="1734"/>
      <c r="K615" s="1733"/>
      <c r="L615" s="1734"/>
      <c r="M615" s="1735"/>
      <c r="N615" s="1733"/>
      <c r="P615" s="1736"/>
      <c r="Q615" s="1722"/>
    </row>
    <row r="616">
      <c r="A616" s="1732"/>
      <c r="C616" s="1706"/>
      <c r="D616" s="1706"/>
      <c r="E616" s="1706"/>
      <c r="F616" s="1733"/>
      <c r="G616" s="1734"/>
      <c r="H616" s="1733"/>
      <c r="I616" s="1706"/>
      <c r="J616" s="1734"/>
      <c r="K616" s="1733"/>
      <c r="L616" s="1734"/>
      <c r="M616" s="1735"/>
      <c r="N616" s="1733"/>
      <c r="P616" s="1736"/>
      <c r="Q616" s="1722"/>
    </row>
    <row r="617">
      <c r="A617" s="1732"/>
      <c r="C617" s="1706"/>
      <c r="D617" s="1706"/>
      <c r="E617" s="1706"/>
      <c r="F617" s="1733"/>
      <c r="G617" s="1734"/>
      <c r="H617" s="1733"/>
      <c r="I617" s="1706"/>
      <c r="J617" s="1734"/>
      <c r="K617" s="1733"/>
      <c r="L617" s="1734"/>
      <c r="M617" s="1735"/>
      <c r="N617" s="1733"/>
      <c r="P617" s="1736"/>
      <c r="Q617" s="1722"/>
    </row>
    <row r="618">
      <c r="A618" s="1732"/>
      <c r="C618" s="1706"/>
      <c r="D618" s="1706"/>
      <c r="E618" s="1706"/>
      <c r="F618" s="1733"/>
      <c r="G618" s="1734"/>
      <c r="H618" s="1733"/>
      <c r="I618" s="1706"/>
      <c r="J618" s="1734"/>
      <c r="K618" s="1733"/>
      <c r="L618" s="1734"/>
      <c r="M618" s="1735"/>
      <c r="N618" s="1733"/>
      <c r="P618" s="1736"/>
      <c r="Q618" s="1722"/>
    </row>
    <row r="619">
      <c r="A619" s="1732"/>
      <c r="C619" s="1706"/>
      <c r="D619" s="1706"/>
      <c r="E619" s="1706"/>
      <c r="F619" s="1733"/>
      <c r="G619" s="1734"/>
      <c r="H619" s="1733"/>
      <c r="I619" s="1706"/>
      <c r="J619" s="1734"/>
      <c r="K619" s="1733"/>
      <c r="L619" s="1734"/>
      <c r="M619" s="1735"/>
      <c r="N619" s="1733"/>
      <c r="P619" s="1736"/>
      <c r="Q619" s="1722"/>
    </row>
    <row r="620">
      <c r="A620" s="1732"/>
      <c r="C620" s="1706"/>
      <c r="D620" s="1706"/>
      <c r="E620" s="1706"/>
      <c r="F620" s="1733"/>
      <c r="G620" s="1734"/>
      <c r="H620" s="1733"/>
      <c r="I620" s="1706"/>
      <c r="J620" s="1734"/>
      <c r="K620" s="1733"/>
      <c r="L620" s="1734"/>
      <c r="M620" s="1735"/>
      <c r="N620" s="1733"/>
      <c r="P620" s="1736"/>
      <c r="Q620" s="1722"/>
    </row>
    <row r="621">
      <c r="A621" s="1732"/>
      <c r="C621" s="1706"/>
      <c r="D621" s="1706"/>
      <c r="E621" s="1706"/>
      <c r="F621" s="1733"/>
      <c r="G621" s="1734"/>
      <c r="H621" s="1733"/>
      <c r="I621" s="1706"/>
      <c r="J621" s="1734"/>
      <c r="K621" s="1733"/>
      <c r="L621" s="1734"/>
      <c r="M621" s="1735"/>
      <c r="N621" s="1733"/>
      <c r="P621" s="1736"/>
      <c r="Q621" s="1722"/>
    </row>
    <row r="622">
      <c r="A622" s="1732"/>
      <c r="C622" s="1706"/>
      <c r="D622" s="1706"/>
      <c r="E622" s="1706"/>
      <c r="F622" s="1733"/>
      <c r="G622" s="1734"/>
      <c r="H622" s="1733"/>
      <c r="I622" s="1706"/>
      <c r="J622" s="1734"/>
      <c r="K622" s="1733"/>
      <c r="L622" s="1734"/>
      <c r="M622" s="1735"/>
      <c r="N622" s="1733"/>
      <c r="P622" s="1736"/>
      <c r="Q622" s="1722"/>
    </row>
    <row r="623">
      <c r="A623" s="1732"/>
      <c r="C623" s="1706"/>
      <c r="D623" s="1706"/>
      <c r="E623" s="1706"/>
      <c r="F623" s="1733"/>
      <c r="G623" s="1734"/>
      <c r="H623" s="1733"/>
      <c r="I623" s="1706"/>
      <c r="J623" s="1734"/>
      <c r="K623" s="1733"/>
      <c r="L623" s="1734"/>
      <c r="M623" s="1735"/>
      <c r="N623" s="1733"/>
      <c r="P623" s="1736"/>
      <c r="Q623" s="1722"/>
    </row>
    <row r="624">
      <c r="A624" s="1732"/>
      <c r="C624" s="1706"/>
      <c r="D624" s="1706"/>
      <c r="E624" s="1706"/>
      <c r="F624" s="1733"/>
      <c r="G624" s="1734"/>
      <c r="H624" s="1733"/>
      <c r="I624" s="1706"/>
      <c r="J624" s="1734"/>
      <c r="K624" s="1733"/>
      <c r="L624" s="1734"/>
      <c r="M624" s="1735"/>
      <c r="N624" s="1733"/>
      <c r="P624" s="1736"/>
      <c r="Q624" s="1722"/>
    </row>
    <row r="625">
      <c r="A625" s="1732"/>
      <c r="C625" s="1706"/>
      <c r="D625" s="1706"/>
      <c r="E625" s="1706"/>
      <c r="F625" s="1733"/>
      <c r="G625" s="1734"/>
      <c r="H625" s="1733"/>
      <c r="I625" s="1706"/>
      <c r="J625" s="1734"/>
      <c r="K625" s="1733"/>
      <c r="L625" s="1734"/>
      <c r="M625" s="1735"/>
      <c r="N625" s="1733"/>
      <c r="P625" s="1736"/>
      <c r="Q625" s="1722"/>
    </row>
    <row r="626">
      <c r="A626" s="1732"/>
      <c r="C626" s="1706"/>
      <c r="D626" s="1706"/>
      <c r="E626" s="1706"/>
      <c r="F626" s="1733"/>
      <c r="G626" s="1734"/>
      <c r="H626" s="1733"/>
      <c r="I626" s="1706"/>
      <c r="J626" s="1734"/>
      <c r="K626" s="1733"/>
      <c r="L626" s="1734"/>
      <c r="M626" s="1735"/>
      <c r="N626" s="1733"/>
      <c r="P626" s="1736"/>
      <c r="Q626" s="1722"/>
    </row>
    <row r="627">
      <c r="A627" s="1732"/>
      <c r="C627" s="1706"/>
      <c r="D627" s="1706"/>
      <c r="E627" s="1706"/>
      <c r="F627" s="1733"/>
      <c r="G627" s="1734"/>
      <c r="H627" s="1733"/>
      <c r="I627" s="1706"/>
      <c r="J627" s="1734"/>
      <c r="K627" s="1733"/>
      <c r="L627" s="1734"/>
      <c r="M627" s="1735"/>
      <c r="N627" s="1733"/>
      <c r="P627" s="1736"/>
      <c r="Q627" s="1722"/>
    </row>
    <row r="628">
      <c r="A628" s="1732"/>
      <c r="C628" s="1706"/>
      <c r="D628" s="1706"/>
      <c r="E628" s="1706"/>
      <c r="F628" s="1733"/>
      <c r="G628" s="1734"/>
      <c r="H628" s="1733"/>
      <c r="I628" s="1706"/>
      <c r="J628" s="1734"/>
      <c r="K628" s="1733"/>
      <c r="L628" s="1734"/>
      <c r="M628" s="1735"/>
      <c r="N628" s="1733"/>
      <c r="P628" s="1736"/>
      <c r="Q628" s="1722"/>
    </row>
    <row r="629">
      <c r="A629" s="1732"/>
      <c r="C629" s="1706"/>
      <c r="D629" s="1706"/>
      <c r="E629" s="1706"/>
      <c r="F629" s="1733"/>
      <c r="G629" s="1734"/>
      <c r="H629" s="1733"/>
      <c r="I629" s="1706"/>
      <c r="J629" s="1734"/>
      <c r="K629" s="1733"/>
      <c r="L629" s="1734"/>
      <c r="M629" s="1735"/>
      <c r="N629" s="1733"/>
      <c r="P629" s="1736"/>
      <c r="Q629" s="1722"/>
    </row>
    <row r="630">
      <c r="A630" s="1732"/>
      <c r="C630" s="1706"/>
      <c r="D630" s="1706"/>
      <c r="E630" s="1706"/>
      <c r="F630" s="1733"/>
      <c r="G630" s="1734"/>
      <c r="H630" s="1733"/>
      <c r="I630" s="1706"/>
      <c r="J630" s="1734"/>
      <c r="K630" s="1733"/>
      <c r="L630" s="1734"/>
      <c r="M630" s="1735"/>
      <c r="N630" s="1733"/>
      <c r="P630" s="1736"/>
      <c r="Q630" s="1722"/>
    </row>
    <row r="631">
      <c r="A631" s="1732"/>
      <c r="C631" s="1706"/>
      <c r="D631" s="1706"/>
      <c r="E631" s="1706"/>
      <c r="F631" s="1733"/>
      <c r="G631" s="1734"/>
      <c r="H631" s="1733"/>
      <c r="I631" s="1706"/>
      <c r="J631" s="1734"/>
      <c r="K631" s="1733"/>
      <c r="L631" s="1734"/>
      <c r="M631" s="1735"/>
      <c r="N631" s="1733"/>
      <c r="P631" s="1736"/>
      <c r="Q631" s="1722"/>
    </row>
    <row r="632">
      <c r="A632" s="1732"/>
      <c r="C632" s="1706"/>
      <c r="D632" s="1706"/>
      <c r="E632" s="1706"/>
      <c r="F632" s="1733"/>
      <c r="G632" s="1734"/>
      <c r="H632" s="1733"/>
      <c r="I632" s="1706"/>
      <c r="J632" s="1734"/>
      <c r="K632" s="1733"/>
      <c r="L632" s="1734"/>
      <c r="M632" s="1735"/>
      <c r="N632" s="1733"/>
      <c r="P632" s="1736"/>
      <c r="Q632" s="1722"/>
    </row>
    <row r="633">
      <c r="A633" s="1732"/>
      <c r="C633" s="1706"/>
      <c r="D633" s="1706"/>
      <c r="E633" s="1706"/>
      <c r="F633" s="1733"/>
      <c r="G633" s="1734"/>
      <c r="H633" s="1733"/>
      <c r="I633" s="1706"/>
      <c r="J633" s="1734"/>
      <c r="K633" s="1733"/>
      <c r="L633" s="1734"/>
      <c r="M633" s="1735"/>
      <c r="N633" s="1733"/>
      <c r="P633" s="1736"/>
      <c r="Q633" s="1722"/>
    </row>
    <row r="634">
      <c r="A634" s="1732"/>
      <c r="C634" s="1706"/>
      <c r="D634" s="1706"/>
      <c r="E634" s="1706"/>
      <c r="F634" s="1733"/>
      <c r="G634" s="1734"/>
      <c r="H634" s="1733"/>
      <c r="I634" s="1706"/>
      <c r="J634" s="1734"/>
      <c r="K634" s="1733"/>
      <c r="L634" s="1734"/>
      <c r="M634" s="1735"/>
      <c r="N634" s="1733"/>
      <c r="P634" s="1736"/>
      <c r="Q634" s="1722"/>
    </row>
    <row r="635">
      <c r="A635" s="1732"/>
      <c r="C635" s="1706"/>
      <c r="D635" s="1706"/>
      <c r="E635" s="1706"/>
      <c r="F635" s="1733"/>
      <c r="G635" s="1734"/>
      <c r="H635" s="1733"/>
      <c r="I635" s="1706"/>
      <c r="J635" s="1734"/>
      <c r="K635" s="1733"/>
      <c r="L635" s="1734"/>
      <c r="M635" s="1735"/>
      <c r="N635" s="1733"/>
      <c r="P635" s="1736"/>
      <c r="Q635" s="1722"/>
    </row>
    <row r="636">
      <c r="A636" s="1732"/>
      <c r="C636" s="1706"/>
      <c r="D636" s="1706"/>
      <c r="E636" s="1706"/>
      <c r="F636" s="1733"/>
      <c r="G636" s="1734"/>
      <c r="H636" s="1733"/>
      <c r="I636" s="1706"/>
      <c r="J636" s="1734"/>
      <c r="K636" s="1733"/>
      <c r="L636" s="1734"/>
      <c r="M636" s="1735"/>
      <c r="N636" s="1733"/>
      <c r="P636" s="1736"/>
      <c r="Q636" s="1722"/>
    </row>
    <row r="637">
      <c r="A637" s="1732"/>
      <c r="C637" s="1706"/>
      <c r="D637" s="1706"/>
      <c r="E637" s="1706"/>
      <c r="F637" s="1733"/>
      <c r="G637" s="1734"/>
      <c r="H637" s="1733"/>
      <c r="I637" s="1706"/>
      <c r="J637" s="1734"/>
      <c r="K637" s="1733"/>
      <c r="L637" s="1734"/>
      <c r="M637" s="1735"/>
      <c r="N637" s="1733"/>
      <c r="P637" s="1736"/>
      <c r="Q637" s="1722"/>
    </row>
    <row r="638">
      <c r="A638" s="1732"/>
      <c r="C638" s="1706"/>
      <c r="D638" s="1706"/>
      <c r="E638" s="1706"/>
      <c r="F638" s="1733"/>
      <c r="G638" s="1734"/>
      <c r="H638" s="1733"/>
      <c r="I638" s="1706"/>
      <c r="J638" s="1734"/>
      <c r="K638" s="1733"/>
      <c r="L638" s="1734"/>
      <c r="M638" s="1735"/>
      <c r="N638" s="1733"/>
      <c r="P638" s="1736"/>
      <c r="Q638" s="1722"/>
    </row>
    <row r="639">
      <c r="A639" s="1732"/>
      <c r="C639" s="1706"/>
      <c r="D639" s="1706"/>
      <c r="E639" s="1706"/>
      <c r="F639" s="1733"/>
      <c r="G639" s="1734"/>
      <c r="H639" s="1733"/>
      <c r="I639" s="1706"/>
      <c r="J639" s="1734"/>
      <c r="K639" s="1733"/>
      <c r="L639" s="1734"/>
      <c r="M639" s="1735"/>
      <c r="N639" s="1733"/>
      <c r="P639" s="1736"/>
      <c r="Q639" s="1722"/>
    </row>
    <row r="640">
      <c r="A640" s="1732"/>
      <c r="C640" s="1706"/>
      <c r="D640" s="1706"/>
      <c r="E640" s="1706"/>
      <c r="F640" s="1733"/>
      <c r="G640" s="1734"/>
      <c r="H640" s="1733"/>
      <c r="I640" s="1706"/>
      <c r="J640" s="1734"/>
      <c r="K640" s="1733"/>
      <c r="L640" s="1734"/>
      <c r="M640" s="1735"/>
      <c r="N640" s="1733"/>
      <c r="P640" s="1736"/>
      <c r="Q640" s="1722"/>
    </row>
    <row r="641">
      <c r="A641" s="1732"/>
      <c r="C641" s="1706"/>
      <c r="D641" s="1706"/>
      <c r="E641" s="1706"/>
      <c r="F641" s="1733"/>
      <c r="G641" s="1734"/>
      <c r="H641" s="1733"/>
      <c r="I641" s="1706"/>
      <c r="J641" s="1734"/>
      <c r="K641" s="1733"/>
      <c r="L641" s="1734"/>
      <c r="M641" s="1735"/>
      <c r="N641" s="1733"/>
      <c r="P641" s="1736"/>
      <c r="Q641" s="1722"/>
    </row>
    <row r="642">
      <c r="A642" s="1732"/>
      <c r="C642" s="1706"/>
      <c r="D642" s="1706"/>
      <c r="E642" s="1706"/>
      <c r="F642" s="1733"/>
      <c r="G642" s="1734"/>
      <c r="H642" s="1733"/>
      <c r="I642" s="1706"/>
      <c r="J642" s="1734"/>
      <c r="K642" s="1733"/>
      <c r="L642" s="1734"/>
      <c r="M642" s="1735"/>
      <c r="N642" s="1733"/>
      <c r="P642" s="1736"/>
      <c r="Q642" s="1722"/>
    </row>
    <row r="643">
      <c r="A643" s="1732"/>
      <c r="C643" s="1706"/>
      <c r="D643" s="1706"/>
      <c r="E643" s="1706"/>
      <c r="F643" s="1733"/>
      <c r="G643" s="1734"/>
      <c r="H643" s="1733"/>
      <c r="I643" s="1706"/>
      <c r="J643" s="1734"/>
      <c r="K643" s="1733"/>
      <c r="L643" s="1734"/>
      <c r="M643" s="1735"/>
      <c r="N643" s="1733"/>
      <c r="P643" s="1736"/>
      <c r="Q643" s="1722"/>
    </row>
    <row r="644">
      <c r="A644" s="1732"/>
      <c r="C644" s="1706"/>
      <c r="D644" s="1706"/>
      <c r="E644" s="1706"/>
      <c r="F644" s="1733"/>
      <c r="G644" s="1734"/>
      <c r="H644" s="1733"/>
      <c r="I644" s="1706"/>
      <c r="J644" s="1734"/>
      <c r="K644" s="1733"/>
      <c r="L644" s="1734"/>
      <c r="M644" s="1735"/>
      <c r="N644" s="1733"/>
      <c r="P644" s="1736"/>
      <c r="Q644" s="1722"/>
    </row>
    <row r="645">
      <c r="A645" s="1732"/>
      <c r="C645" s="1706"/>
      <c r="D645" s="1706"/>
      <c r="E645" s="1706"/>
      <c r="F645" s="1733"/>
      <c r="G645" s="1734"/>
      <c r="H645" s="1733"/>
      <c r="I645" s="1706"/>
      <c r="J645" s="1734"/>
      <c r="K645" s="1733"/>
      <c r="L645" s="1734"/>
      <c r="M645" s="1735"/>
      <c r="N645" s="1733"/>
      <c r="P645" s="1736"/>
      <c r="Q645" s="1722"/>
    </row>
    <row r="646">
      <c r="A646" s="1732"/>
      <c r="C646" s="1706"/>
      <c r="D646" s="1706"/>
      <c r="E646" s="1706"/>
      <c r="F646" s="1733"/>
      <c r="G646" s="1734"/>
      <c r="H646" s="1733"/>
      <c r="I646" s="1706"/>
      <c r="J646" s="1734"/>
      <c r="K646" s="1733"/>
      <c r="L646" s="1734"/>
      <c r="M646" s="1735"/>
      <c r="N646" s="1733"/>
      <c r="P646" s="1736"/>
      <c r="Q646" s="1722"/>
    </row>
    <row r="647">
      <c r="A647" s="1732"/>
      <c r="C647" s="1706"/>
      <c r="D647" s="1706"/>
      <c r="E647" s="1706"/>
      <c r="F647" s="1733"/>
      <c r="G647" s="1734"/>
      <c r="H647" s="1733"/>
      <c r="I647" s="1706"/>
      <c r="J647" s="1734"/>
      <c r="K647" s="1733"/>
      <c r="L647" s="1734"/>
      <c r="M647" s="1735"/>
      <c r="N647" s="1733"/>
      <c r="P647" s="1736"/>
      <c r="Q647" s="1722"/>
    </row>
    <row r="648">
      <c r="A648" s="1732"/>
      <c r="C648" s="1706"/>
      <c r="D648" s="1706"/>
      <c r="E648" s="1706"/>
      <c r="F648" s="1733"/>
      <c r="G648" s="1734"/>
      <c r="H648" s="1733"/>
      <c r="I648" s="1706"/>
      <c r="J648" s="1734"/>
      <c r="K648" s="1733"/>
      <c r="L648" s="1734"/>
      <c r="M648" s="1735"/>
      <c r="N648" s="1733"/>
      <c r="P648" s="1736"/>
      <c r="Q648" s="1722"/>
    </row>
    <row r="649">
      <c r="A649" s="1732"/>
      <c r="C649" s="1706"/>
      <c r="D649" s="1706"/>
      <c r="E649" s="1706"/>
      <c r="F649" s="1733"/>
      <c r="G649" s="1734"/>
      <c r="H649" s="1733"/>
      <c r="I649" s="1706"/>
      <c r="J649" s="1734"/>
      <c r="K649" s="1733"/>
      <c r="L649" s="1734"/>
      <c r="M649" s="1735"/>
      <c r="N649" s="1733"/>
      <c r="P649" s="1736"/>
      <c r="Q649" s="1722"/>
    </row>
    <row r="650">
      <c r="A650" s="1732"/>
      <c r="C650" s="1706"/>
      <c r="D650" s="1706"/>
      <c r="E650" s="1706"/>
      <c r="F650" s="1733"/>
      <c r="G650" s="1734"/>
      <c r="H650" s="1733"/>
      <c r="I650" s="1706"/>
      <c r="J650" s="1734"/>
      <c r="K650" s="1733"/>
      <c r="L650" s="1734"/>
      <c r="M650" s="1735"/>
      <c r="N650" s="1733"/>
      <c r="P650" s="1736"/>
      <c r="Q650" s="1722"/>
    </row>
    <row r="651">
      <c r="A651" s="1732"/>
      <c r="C651" s="1706"/>
      <c r="D651" s="1706"/>
      <c r="E651" s="1706"/>
      <c r="F651" s="1733"/>
      <c r="G651" s="1734"/>
      <c r="H651" s="1733"/>
      <c r="I651" s="1706"/>
      <c r="J651" s="1734"/>
      <c r="K651" s="1733"/>
      <c r="L651" s="1734"/>
      <c r="M651" s="1735"/>
      <c r="N651" s="1733"/>
      <c r="P651" s="1736"/>
      <c r="Q651" s="1722"/>
    </row>
    <row r="652">
      <c r="A652" s="1732"/>
      <c r="C652" s="1706"/>
      <c r="D652" s="1706"/>
      <c r="E652" s="1706"/>
      <c r="F652" s="1733"/>
      <c r="G652" s="1734"/>
      <c r="H652" s="1733"/>
      <c r="I652" s="1706"/>
      <c r="J652" s="1734"/>
      <c r="K652" s="1733"/>
      <c r="L652" s="1734"/>
      <c r="M652" s="1735"/>
      <c r="N652" s="1733"/>
      <c r="P652" s="1736"/>
      <c r="Q652" s="1722"/>
    </row>
    <row r="653">
      <c r="A653" s="1732"/>
      <c r="C653" s="1706"/>
      <c r="D653" s="1706"/>
      <c r="E653" s="1706"/>
      <c r="F653" s="1733"/>
      <c r="G653" s="1734"/>
      <c r="H653" s="1733"/>
      <c r="I653" s="1706"/>
      <c r="J653" s="1734"/>
      <c r="K653" s="1733"/>
      <c r="L653" s="1734"/>
      <c r="M653" s="1735"/>
      <c r="N653" s="1733"/>
      <c r="P653" s="1736"/>
      <c r="Q653" s="1722"/>
    </row>
    <row r="654">
      <c r="A654" s="1732"/>
      <c r="C654" s="1706"/>
      <c r="D654" s="1706"/>
      <c r="E654" s="1706"/>
      <c r="F654" s="1733"/>
      <c r="G654" s="1734"/>
      <c r="H654" s="1733"/>
      <c r="I654" s="1706"/>
      <c r="J654" s="1734"/>
      <c r="K654" s="1733"/>
      <c r="L654" s="1734"/>
      <c r="M654" s="1735"/>
      <c r="N654" s="1733"/>
      <c r="P654" s="1736"/>
      <c r="Q654" s="1722"/>
    </row>
    <row r="655">
      <c r="A655" s="1732"/>
      <c r="C655" s="1706"/>
      <c r="D655" s="1706"/>
      <c r="E655" s="1706"/>
      <c r="F655" s="1733"/>
      <c r="G655" s="1734"/>
      <c r="H655" s="1733"/>
      <c r="I655" s="1706"/>
      <c r="J655" s="1734"/>
      <c r="K655" s="1733"/>
      <c r="L655" s="1734"/>
      <c r="M655" s="1735"/>
      <c r="N655" s="1733"/>
      <c r="P655" s="1736"/>
      <c r="Q655" s="1722"/>
    </row>
    <row r="656">
      <c r="A656" s="1732"/>
      <c r="C656" s="1706"/>
      <c r="D656" s="1706"/>
      <c r="E656" s="1706"/>
      <c r="F656" s="1733"/>
      <c r="G656" s="1734"/>
      <c r="H656" s="1733"/>
      <c r="I656" s="1706"/>
      <c r="J656" s="1734"/>
      <c r="K656" s="1733"/>
      <c r="L656" s="1734"/>
      <c r="M656" s="1735"/>
      <c r="N656" s="1733"/>
      <c r="P656" s="1736"/>
      <c r="Q656" s="1722"/>
    </row>
    <row r="657">
      <c r="A657" s="1732"/>
      <c r="C657" s="1706"/>
      <c r="D657" s="1706"/>
      <c r="E657" s="1706"/>
      <c r="F657" s="1733"/>
      <c r="G657" s="1734"/>
      <c r="H657" s="1733"/>
      <c r="I657" s="1706"/>
      <c r="J657" s="1734"/>
      <c r="K657" s="1733"/>
      <c r="L657" s="1734"/>
      <c r="M657" s="1735"/>
      <c r="N657" s="1733"/>
      <c r="P657" s="1736"/>
      <c r="Q657" s="1722"/>
    </row>
    <row r="658">
      <c r="A658" s="1732"/>
      <c r="C658" s="1706"/>
      <c r="D658" s="1706"/>
      <c r="E658" s="1706"/>
      <c r="F658" s="1733"/>
      <c r="G658" s="1734"/>
      <c r="H658" s="1733"/>
      <c r="I658" s="1706"/>
      <c r="J658" s="1734"/>
      <c r="K658" s="1733"/>
      <c r="L658" s="1734"/>
      <c r="M658" s="1735"/>
      <c r="N658" s="1733"/>
      <c r="P658" s="1736"/>
      <c r="Q658" s="1722"/>
    </row>
    <row r="659">
      <c r="A659" s="1732"/>
      <c r="C659" s="1706"/>
      <c r="D659" s="1706"/>
      <c r="E659" s="1706"/>
      <c r="F659" s="1733"/>
      <c r="G659" s="1734"/>
      <c r="H659" s="1733"/>
      <c r="I659" s="1706"/>
      <c r="J659" s="1734"/>
      <c r="K659" s="1733"/>
      <c r="L659" s="1734"/>
      <c r="M659" s="1735"/>
      <c r="N659" s="1733"/>
      <c r="P659" s="1736"/>
      <c r="Q659" s="1722"/>
    </row>
    <row r="660">
      <c r="A660" s="1732"/>
      <c r="C660" s="1706"/>
      <c r="D660" s="1706"/>
      <c r="E660" s="1706"/>
      <c r="F660" s="1733"/>
      <c r="G660" s="1734"/>
      <c r="H660" s="1733"/>
      <c r="I660" s="1706"/>
      <c r="J660" s="1734"/>
      <c r="K660" s="1733"/>
      <c r="L660" s="1734"/>
      <c r="M660" s="1735"/>
      <c r="N660" s="1733"/>
      <c r="P660" s="1736"/>
      <c r="Q660" s="1722"/>
    </row>
    <row r="661">
      <c r="A661" s="1732"/>
      <c r="C661" s="1706"/>
      <c r="D661" s="1706"/>
      <c r="E661" s="1706"/>
      <c r="F661" s="1733"/>
      <c r="G661" s="1734"/>
      <c r="H661" s="1733"/>
      <c r="I661" s="1706"/>
      <c r="J661" s="1734"/>
      <c r="K661" s="1733"/>
      <c r="L661" s="1734"/>
      <c r="M661" s="1735"/>
      <c r="N661" s="1733"/>
      <c r="P661" s="1736"/>
      <c r="Q661" s="1722"/>
    </row>
    <row r="662">
      <c r="A662" s="1732"/>
      <c r="C662" s="1706"/>
      <c r="D662" s="1706"/>
      <c r="E662" s="1706"/>
      <c r="F662" s="1733"/>
      <c r="G662" s="1734"/>
      <c r="H662" s="1733"/>
      <c r="I662" s="1706"/>
      <c r="J662" s="1734"/>
      <c r="K662" s="1733"/>
      <c r="L662" s="1734"/>
      <c r="M662" s="1735"/>
      <c r="N662" s="1733"/>
      <c r="P662" s="1736"/>
      <c r="Q662" s="1722"/>
    </row>
    <row r="663">
      <c r="A663" s="1732"/>
      <c r="C663" s="1706"/>
      <c r="D663" s="1706"/>
      <c r="E663" s="1706"/>
      <c r="F663" s="1733"/>
      <c r="G663" s="1734"/>
      <c r="H663" s="1733"/>
      <c r="I663" s="1706"/>
      <c r="J663" s="1734"/>
      <c r="K663" s="1733"/>
      <c r="L663" s="1734"/>
      <c r="M663" s="1735"/>
      <c r="N663" s="1733"/>
      <c r="P663" s="1736"/>
      <c r="Q663" s="1722"/>
    </row>
    <row r="664">
      <c r="A664" s="1732"/>
      <c r="C664" s="1706"/>
      <c r="D664" s="1706"/>
      <c r="E664" s="1706"/>
      <c r="F664" s="1733"/>
      <c r="G664" s="1734"/>
      <c r="H664" s="1733"/>
      <c r="I664" s="1706"/>
      <c r="J664" s="1734"/>
      <c r="K664" s="1733"/>
      <c r="L664" s="1734"/>
      <c r="M664" s="1735"/>
      <c r="N664" s="1733"/>
      <c r="P664" s="1736"/>
      <c r="Q664" s="1722"/>
    </row>
    <row r="665">
      <c r="A665" s="1732"/>
      <c r="C665" s="1706"/>
      <c r="D665" s="1706"/>
      <c r="E665" s="1706"/>
      <c r="F665" s="1733"/>
      <c r="G665" s="1734"/>
      <c r="H665" s="1733"/>
      <c r="I665" s="1706"/>
      <c r="J665" s="1734"/>
      <c r="K665" s="1733"/>
      <c r="L665" s="1734"/>
      <c r="M665" s="1735"/>
      <c r="N665" s="1733"/>
      <c r="P665" s="1736"/>
      <c r="Q665" s="1722"/>
    </row>
    <row r="666">
      <c r="A666" s="1732"/>
      <c r="C666" s="1706"/>
      <c r="D666" s="1706"/>
      <c r="E666" s="1706"/>
      <c r="F666" s="1733"/>
      <c r="G666" s="1734"/>
      <c r="H666" s="1733"/>
      <c r="I666" s="1706"/>
      <c r="J666" s="1734"/>
      <c r="K666" s="1733"/>
      <c r="L666" s="1734"/>
      <c r="M666" s="1735"/>
      <c r="N666" s="1733"/>
      <c r="P666" s="1736"/>
      <c r="Q666" s="1722"/>
    </row>
    <row r="667">
      <c r="A667" s="1732"/>
      <c r="C667" s="1706"/>
      <c r="D667" s="1706"/>
      <c r="E667" s="1706"/>
      <c r="F667" s="1733"/>
      <c r="G667" s="1734"/>
      <c r="H667" s="1733"/>
      <c r="I667" s="1706"/>
      <c r="J667" s="1734"/>
      <c r="K667" s="1733"/>
      <c r="L667" s="1734"/>
      <c r="M667" s="1735"/>
      <c r="N667" s="1733"/>
      <c r="P667" s="1736"/>
      <c r="Q667" s="1722"/>
    </row>
    <row r="668">
      <c r="A668" s="1732"/>
      <c r="C668" s="1706"/>
      <c r="D668" s="1706"/>
      <c r="E668" s="1706"/>
      <c r="F668" s="1733"/>
      <c r="G668" s="1734"/>
      <c r="H668" s="1733"/>
      <c r="I668" s="1706"/>
      <c r="J668" s="1734"/>
      <c r="K668" s="1733"/>
      <c r="L668" s="1734"/>
      <c r="M668" s="1735"/>
      <c r="N668" s="1733"/>
      <c r="P668" s="1736"/>
      <c r="Q668" s="1722"/>
    </row>
    <row r="669">
      <c r="A669" s="1732"/>
      <c r="C669" s="1706"/>
      <c r="D669" s="1706"/>
      <c r="E669" s="1706"/>
      <c r="F669" s="1733"/>
      <c r="G669" s="1734"/>
      <c r="H669" s="1733"/>
      <c r="I669" s="1706"/>
      <c r="J669" s="1734"/>
      <c r="K669" s="1733"/>
      <c r="L669" s="1734"/>
      <c r="M669" s="1735"/>
      <c r="N669" s="1733"/>
      <c r="P669" s="1736"/>
      <c r="Q669" s="1722"/>
    </row>
    <row r="670">
      <c r="A670" s="1732"/>
      <c r="C670" s="1706"/>
      <c r="D670" s="1706"/>
      <c r="E670" s="1706"/>
      <c r="F670" s="1733"/>
      <c r="G670" s="1734"/>
      <c r="H670" s="1733"/>
      <c r="I670" s="1706"/>
      <c r="J670" s="1734"/>
      <c r="K670" s="1733"/>
      <c r="L670" s="1734"/>
      <c r="M670" s="1735"/>
      <c r="N670" s="1733"/>
      <c r="P670" s="1736"/>
      <c r="Q670" s="1722"/>
    </row>
    <row r="671">
      <c r="A671" s="1732"/>
      <c r="C671" s="1706"/>
      <c r="D671" s="1706"/>
      <c r="E671" s="1706"/>
      <c r="F671" s="1733"/>
      <c r="G671" s="1734"/>
      <c r="H671" s="1733"/>
      <c r="I671" s="1706"/>
      <c r="J671" s="1734"/>
      <c r="K671" s="1733"/>
      <c r="L671" s="1734"/>
      <c r="M671" s="1735"/>
      <c r="N671" s="1733"/>
      <c r="P671" s="1736"/>
      <c r="Q671" s="1722"/>
    </row>
    <row r="672">
      <c r="A672" s="1732"/>
      <c r="C672" s="1706"/>
      <c r="D672" s="1706"/>
      <c r="E672" s="1706"/>
      <c r="F672" s="1733"/>
      <c r="G672" s="1734"/>
      <c r="H672" s="1733"/>
      <c r="I672" s="1706"/>
      <c r="J672" s="1734"/>
      <c r="K672" s="1733"/>
      <c r="L672" s="1734"/>
      <c r="M672" s="1735"/>
      <c r="N672" s="1733"/>
      <c r="P672" s="1736"/>
      <c r="Q672" s="1722"/>
    </row>
    <row r="673">
      <c r="A673" s="1732"/>
      <c r="C673" s="1706"/>
      <c r="D673" s="1706"/>
      <c r="E673" s="1706"/>
      <c r="F673" s="1733"/>
      <c r="G673" s="1734"/>
      <c r="H673" s="1733"/>
      <c r="I673" s="1706"/>
      <c r="J673" s="1734"/>
      <c r="K673" s="1733"/>
      <c r="L673" s="1734"/>
      <c r="M673" s="1735"/>
      <c r="N673" s="1733"/>
      <c r="P673" s="1736"/>
      <c r="Q673" s="1722"/>
    </row>
    <row r="674">
      <c r="A674" s="1732"/>
      <c r="C674" s="1706"/>
      <c r="D674" s="1706"/>
      <c r="E674" s="1706"/>
      <c r="F674" s="1733"/>
      <c r="G674" s="1734"/>
      <c r="H674" s="1733"/>
      <c r="I674" s="1706"/>
      <c r="J674" s="1734"/>
      <c r="K674" s="1733"/>
      <c r="L674" s="1734"/>
      <c r="M674" s="1735"/>
      <c r="N674" s="1733"/>
      <c r="P674" s="1736"/>
      <c r="Q674" s="1722"/>
    </row>
    <row r="675">
      <c r="A675" s="1732"/>
      <c r="C675" s="1706"/>
      <c r="D675" s="1706"/>
      <c r="E675" s="1706"/>
      <c r="F675" s="1733"/>
      <c r="G675" s="1734"/>
      <c r="H675" s="1733"/>
      <c r="I675" s="1706"/>
      <c r="J675" s="1734"/>
      <c r="K675" s="1733"/>
      <c r="L675" s="1734"/>
      <c r="M675" s="1735"/>
      <c r="N675" s="1733"/>
      <c r="P675" s="1736"/>
      <c r="Q675" s="1722"/>
    </row>
    <row r="676">
      <c r="A676" s="1732"/>
      <c r="C676" s="1706"/>
      <c r="D676" s="1706"/>
      <c r="E676" s="1706"/>
      <c r="F676" s="1733"/>
      <c r="G676" s="1734"/>
      <c r="H676" s="1733"/>
      <c r="I676" s="1706"/>
      <c r="J676" s="1734"/>
      <c r="K676" s="1733"/>
      <c r="L676" s="1734"/>
      <c r="M676" s="1735"/>
      <c r="N676" s="1733"/>
      <c r="P676" s="1736"/>
      <c r="Q676" s="1722"/>
    </row>
    <row r="677">
      <c r="A677" s="1732"/>
      <c r="C677" s="1706"/>
      <c r="D677" s="1706"/>
      <c r="E677" s="1706"/>
      <c r="F677" s="1733"/>
      <c r="G677" s="1734"/>
      <c r="H677" s="1733"/>
      <c r="I677" s="1706"/>
      <c r="J677" s="1734"/>
      <c r="K677" s="1733"/>
      <c r="L677" s="1734"/>
      <c r="M677" s="1735"/>
      <c r="N677" s="1733"/>
      <c r="P677" s="1736"/>
      <c r="Q677" s="1722"/>
    </row>
    <row r="678">
      <c r="A678" s="1732"/>
      <c r="C678" s="1706"/>
      <c r="D678" s="1706"/>
      <c r="E678" s="1706"/>
      <c r="F678" s="1733"/>
      <c r="G678" s="1734"/>
      <c r="H678" s="1733"/>
      <c r="I678" s="1706"/>
      <c r="J678" s="1734"/>
      <c r="K678" s="1733"/>
      <c r="L678" s="1734"/>
      <c r="M678" s="1735"/>
      <c r="N678" s="1733"/>
      <c r="P678" s="1736"/>
      <c r="Q678" s="1722"/>
    </row>
    <row r="679">
      <c r="A679" s="1732"/>
      <c r="C679" s="1706"/>
      <c r="D679" s="1706"/>
      <c r="E679" s="1706"/>
      <c r="F679" s="1733"/>
      <c r="G679" s="1734"/>
      <c r="H679" s="1733"/>
      <c r="I679" s="1706"/>
      <c r="J679" s="1734"/>
      <c r="K679" s="1733"/>
      <c r="L679" s="1734"/>
      <c r="M679" s="1735"/>
      <c r="N679" s="1733"/>
      <c r="P679" s="1736"/>
      <c r="Q679" s="1722"/>
    </row>
    <row r="680">
      <c r="A680" s="1732"/>
      <c r="C680" s="1706"/>
      <c r="D680" s="1706"/>
      <c r="E680" s="1706"/>
      <c r="F680" s="1733"/>
      <c r="G680" s="1734"/>
      <c r="H680" s="1733"/>
      <c r="I680" s="1706"/>
      <c r="J680" s="1734"/>
      <c r="K680" s="1733"/>
      <c r="L680" s="1734"/>
      <c r="M680" s="1735"/>
      <c r="N680" s="1733"/>
      <c r="P680" s="1736"/>
      <c r="Q680" s="1722"/>
    </row>
    <row r="681">
      <c r="A681" s="1732"/>
      <c r="C681" s="1706"/>
      <c r="D681" s="1706"/>
      <c r="E681" s="1706"/>
      <c r="F681" s="1733"/>
      <c r="G681" s="1734"/>
      <c r="H681" s="1733"/>
      <c r="I681" s="1706"/>
      <c r="J681" s="1734"/>
      <c r="K681" s="1733"/>
      <c r="L681" s="1734"/>
      <c r="M681" s="1735"/>
      <c r="N681" s="1733"/>
      <c r="P681" s="1736"/>
      <c r="Q681" s="1722"/>
    </row>
    <row r="682">
      <c r="A682" s="1732"/>
      <c r="C682" s="1706"/>
      <c r="D682" s="1706"/>
      <c r="E682" s="1706"/>
      <c r="F682" s="1733"/>
      <c r="G682" s="1734"/>
      <c r="H682" s="1733"/>
      <c r="I682" s="1706"/>
      <c r="J682" s="1734"/>
      <c r="K682" s="1733"/>
      <c r="L682" s="1734"/>
      <c r="M682" s="1735"/>
      <c r="N682" s="1733"/>
      <c r="P682" s="1736"/>
      <c r="Q682" s="1722"/>
    </row>
    <row r="683">
      <c r="A683" s="1732"/>
      <c r="C683" s="1706"/>
      <c r="D683" s="1706"/>
      <c r="E683" s="1706"/>
      <c r="F683" s="1733"/>
      <c r="G683" s="1734"/>
      <c r="H683" s="1733"/>
      <c r="I683" s="1706"/>
      <c r="J683" s="1734"/>
      <c r="K683" s="1733"/>
      <c r="L683" s="1734"/>
      <c r="M683" s="1735"/>
      <c r="N683" s="1733"/>
      <c r="P683" s="1736"/>
      <c r="Q683" s="1722"/>
    </row>
    <row r="684">
      <c r="A684" s="1732"/>
      <c r="C684" s="1706"/>
      <c r="D684" s="1706"/>
      <c r="E684" s="1706"/>
      <c r="F684" s="1733"/>
      <c r="G684" s="1734"/>
      <c r="H684" s="1733"/>
      <c r="I684" s="1706"/>
      <c r="J684" s="1734"/>
      <c r="K684" s="1733"/>
      <c r="L684" s="1734"/>
      <c r="M684" s="1735"/>
      <c r="N684" s="1733"/>
      <c r="P684" s="1736"/>
      <c r="Q684" s="1722"/>
    </row>
    <row r="685">
      <c r="A685" s="1732"/>
      <c r="C685" s="1706"/>
      <c r="D685" s="1706"/>
      <c r="E685" s="1706"/>
      <c r="F685" s="1733"/>
      <c r="G685" s="1734"/>
      <c r="H685" s="1733"/>
      <c r="I685" s="1706"/>
      <c r="J685" s="1734"/>
      <c r="K685" s="1733"/>
      <c r="L685" s="1734"/>
      <c r="M685" s="1735"/>
      <c r="N685" s="1733"/>
      <c r="P685" s="1736"/>
      <c r="Q685" s="1722"/>
    </row>
    <row r="686">
      <c r="A686" s="1732"/>
      <c r="C686" s="1706"/>
      <c r="D686" s="1706"/>
      <c r="E686" s="1706"/>
      <c r="F686" s="1733"/>
      <c r="G686" s="1734"/>
      <c r="H686" s="1733"/>
      <c r="I686" s="1706"/>
      <c r="J686" s="1734"/>
      <c r="K686" s="1733"/>
      <c r="L686" s="1734"/>
      <c r="M686" s="1735"/>
      <c r="N686" s="1733"/>
      <c r="P686" s="1736"/>
      <c r="Q686" s="1722"/>
    </row>
    <row r="687">
      <c r="A687" s="1732"/>
      <c r="C687" s="1706"/>
      <c r="D687" s="1706"/>
      <c r="E687" s="1706"/>
      <c r="F687" s="1733"/>
      <c r="G687" s="1734"/>
      <c r="H687" s="1733"/>
      <c r="I687" s="1706"/>
      <c r="J687" s="1734"/>
      <c r="K687" s="1733"/>
      <c r="L687" s="1734"/>
      <c r="M687" s="1735"/>
      <c r="N687" s="1733"/>
      <c r="P687" s="1736"/>
      <c r="Q687" s="1722"/>
    </row>
    <row r="688">
      <c r="A688" s="1732"/>
      <c r="C688" s="1706"/>
      <c r="D688" s="1706"/>
      <c r="E688" s="1706"/>
      <c r="F688" s="1733"/>
      <c r="G688" s="1734"/>
      <c r="H688" s="1733"/>
      <c r="I688" s="1706"/>
      <c r="J688" s="1734"/>
      <c r="K688" s="1733"/>
      <c r="L688" s="1734"/>
      <c r="M688" s="1735"/>
      <c r="N688" s="1733"/>
      <c r="P688" s="1736"/>
      <c r="Q688" s="1722"/>
    </row>
    <row r="689">
      <c r="A689" s="1732"/>
      <c r="C689" s="1706"/>
      <c r="D689" s="1706"/>
      <c r="E689" s="1706"/>
      <c r="F689" s="1733"/>
      <c r="G689" s="1734"/>
      <c r="H689" s="1733"/>
      <c r="I689" s="1706"/>
      <c r="J689" s="1734"/>
      <c r="K689" s="1733"/>
      <c r="L689" s="1734"/>
      <c r="M689" s="1735"/>
      <c r="N689" s="1733"/>
      <c r="P689" s="1736"/>
      <c r="Q689" s="1722"/>
    </row>
    <row r="690">
      <c r="A690" s="1732"/>
      <c r="C690" s="1706"/>
      <c r="D690" s="1706"/>
      <c r="E690" s="1706"/>
      <c r="F690" s="1733"/>
      <c r="G690" s="1734"/>
      <c r="H690" s="1733"/>
      <c r="I690" s="1706"/>
      <c r="J690" s="1734"/>
      <c r="K690" s="1733"/>
      <c r="L690" s="1734"/>
      <c r="M690" s="1735"/>
      <c r="N690" s="1733"/>
      <c r="P690" s="1736"/>
      <c r="Q690" s="1722"/>
    </row>
    <row r="691">
      <c r="A691" s="1732"/>
      <c r="C691" s="1706"/>
      <c r="D691" s="1706"/>
      <c r="E691" s="1706"/>
      <c r="F691" s="1733"/>
      <c r="G691" s="1734"/>
      <c r="H691" s="1733"/>
      <c r="I691" s="1706"/>
      <c r="J691" s="1734"/>
      <c r="K691" s="1733"/>
      <c r="L691" s="1734"/>
      <c r="M691" s="1735"/>
      <c r="N691" s="1733"/>
      <c r="P691" s="1736"/>
      <c r="Q691" s="1722"/>
    </row>
    <row r="692">
      <c r="A692" s="1732"/>
      <c r="C692" s="1706"/>
      <c r="D692" s="1706"/>
      <c r="E692" s="1706"/>
      <c r="F692" s="1733"/>
      <c r="G692" s="1734"/>
      <c r="H692" s="1733"/>
      <c r="I692" s="1706"/>
      <c r="J692" s="1734"/>
      <c r="K692" s="1733"/>
      <c r="L692" s="1734"/>
      <c r="M692" s="1735"/>
      <c r="N692" s="1733"/>
      <c r="P692" s="1736"/>
      <c r="Q692" s="1722"/>
    </row>
    <row r="693">
      <c r="A693" s="1732"/>
      <c r="C693" s="1706"/>
      <c r="D693" s="1706"/>
      <c r="E693" s="1706"/>
      <c r="F693" s="1733"/>
      <c r="G693" s="1734"/>
      <c r="H693" s="1733"/>
      <c r="I693" s="1706"/>
      <c r="J693" s="1734"/>
      <c r="K693" s="1733"/>
      <c r="L693" s="1734"/>
      <c r="M693" s="1735"/>
      <c r="N693" s="1733"/>
      <c r="P693" s="1736"/>
      <c r="Q693" s="1722"/>
    </row>
    <row r="694">
      <c r="A694" s="1732"/>
      <c r="C694" s="1706"/>
      <c r="D694" s="1706"/>
      <c r="E694" s="1706"/>
      <c r="F694" s="1733"/>
      <c r="G694" s="1734"/>
      <c r="H694" s="1733"/>
      <c r="I694" s="1706"/>
      <c r="J694" s="1734"/>
      <c r="K694" s="1733"/>
      <c r="L694" s="1734"/>
      <c r="M694" s="1735"/>
      <c r="N694" s="1733"/>
      <c r="P694" s="1736"/>
      <c r="Q694" s="1722"/>
    </row>
    <row r="695">
      <c r="A695" s="1732"/>
      <c r="C695" s="1706"/>
      <c r="D695" s="1706"/>
      <c r="E695" s="1706"/>
      <c r="F695" s="1733"/>
      <c r="G695" s="1734"/>
      <c r="H695" s="1733"/>
      <c r="I695" s="1706"/>
      <c r="J695" s="1734"/>
      <c r="K695" s="1733"/>
      <c r="L695" s="1734"/>
      <c r="M695" s="1735"/>
      <c r="N695" s="1733"/>
      <c r="P695" s="1736"/>
      <c r="Q695" s="1722"/>
    </row>
    <row r="696">
      <c r="A696" s="1732"/>
      <c r="C696" s="1706"/>
      <c r="D696" s="1706"/>
      <c r="E696" s="1706"/>
      <c r="F696" s="1733"/>
      <c r="G696" s="1734"/>
      <c r="H696" s="1733"/>
      <c r="I696" s="1706"/>
      <c r="J696" s="1734"/>
      <c r="K696" s="1733"/>
      <c r="L696" s="1734"/>
      <c r="M696" s="1735"/>
      <c r="N696" s="1733"/>
      <c r="P696" s="1736"/>
      <c r="Q696" s="1722"/>
    </row>
    <row r="697">
      <c r="A697" s="1732"/>
      <c r="C697" s="1706"/>
      <c r="D697" s="1706"/>
      <c r="E697" s="1706"/>
      <c r="F697" s="1733"/>
      <c r="G697" s="1734"/>
      <c r="H697" s="1733"/>
      <c r="I697" s="1706"/>
      <c r="J697" s="1734"/>
      <c r="K697" s="1733"/>
      <c r="L697" s="1734"/>
      <c r="M697" s="1735"/>
      <c r="N697" s="1733"/>
      <c r="P697" s="1736"/>
      <c r="Q697" s="1722"/>
    </row>
    <row r="698">
      <c r="A698" s="1732"/>
      <c r="C698" s="1706"/>
      <c r="D698" s="1706"/>
      <c r="E698" s="1706"/>
      <c r="F698" s="1733"/>
      <c r="G698" s="1734"/>
      <c r="H698" s="1733"/>
      <c r="I698" s="1706"/>
      <c r="J698" s="1734"/>
      <c r="K698" s="1733"/>
      <c r="L698" s="1734"/>
      <c r="M698" s="1735"/>
      <c r="N698" s="1733"/>
      <c r="P698" s="1736"/>
      <c r="Q698" s="1722"/>
    </row>
    <row r="699">
      <c r="A699" s="1732"/>
      <c r="C699" s="1706"/>
      <c r="D699" s="1706"/>
      <c r="E699" s="1706"/>
      <c r="F699" s="1733"/>
      <c r="G699" s="1734"/>
      <c r="H699" s="1733"/>
      <c r="I699" s="1706"/>
      <c r="J699" s="1734"/>
      <c r="K699" s="1733"/>
      <c r="L699" s="1734"/>
      <c r="M699" s="1735"/>
      <c r="N699" s="1733"/>
      <c r="P699" s="1736"/>
      <c r="Q699" s="1722"/>
    </row>
    <row r="700">
      <c r="A700" s="1732"/>
      <c r="C700" s="1706"/>
      <c r="D700" s="1706"/>
      <c r="E700" s="1706"/>
      <c r="F700" s="1733"/>
      <c r="G700" s="1734"/>
      <c r="H700" s="1733"/>
      <c r="I700" s="1706"/>
      <c r="J700" s="1734"/>
      <c r="K700" s="1733"/>
      <c r="L700" s="1734"/>
      <c r="M700" s="1735"/>
      <c r="N700" s="1733"/>
      <c r="P700" s="1736"/>
      <c r="Q700" s="1722"/>
    </row>
    <row r="701">
      <c r="A701" s="1732"/>
      <c r="C701" s="1706"/>
      <c r="D701" s="1706"/>
      <c r="E701" s="1706"/>
      <c r="F701" s="1733"/>
      <c r="G701" s="1734"/>
      <c r="H701" s="1733"/>
      <c r="I701" s="1706"/>
      <c r="J701" s="1734"/>
      <c r="K701" s="1733"/>
      <c r="L701" s="1734"/>
      <c r="M701" s="1735"/>
      <c r="N701" s="1733"/>
      <c r="P701" s="1736"/>
      <c r="Q701" s="1722"/>
    </row>
    <row r="702">
      <c r="A702" s="1732"/>
      <c r="C702" s="1706"/>
      <c r="D702" s="1706"/>
      <c r="E702" s="1706"/>
      <c r="F702" s="1733"/>
      <c r="G702" s="1734"/>
      <c r="H702" s="1733"/>
      <c r="I702" s="1706"/>
      <c r="J702" s="1734"/>
      <c r="K702" s="1733"/>
      <c r="L702" s="1734"/>
      <c r="M702" s="1735"/>
      <c r="N702" s="1733"/>
      <c r="P702" s="1736"/>
      <c r="Q702" s="1722"/>
    </row>
    <row r="703">
      <c r="A703" s="1732"/>
      <c r="C703" s="1706"/>
      <c r="D703" s="1706"/>
      <c r="E703" s="1706"/>
      <c r="F703" s="1733"/>
      <c r="G703" s="1734"/>
      <c r="H703" s="1733"/>
      <c r="I703" s="1706"/>
      <c r="J703" s="1734"/>
      <c r="K703" s="1733"/>
      <c r="L703" s="1734"/>
      <c r="M703" s="1735"/>
      <c r="N703" s="1733"/>
      <c r="P703" s="1736"/>
      <c r="Q703" s="1722"/>
    </row>
    <row r="704">
      <c r="A704" s="1732"/>
      <c r="C704" s="1706"/>
      <c r="D704" s="1706"/>
      <c r="E704" s="1706"/>
      <c r="F704" s="1733"/>
      <c r="G704" s="1734"/>
      <c r="H704" s="1733"/>
      <c r="I704" s="1706"/>
      <c r="J704" s="1734"/>
      <c r="K704" s="1733"/>
      <c r="L704" s="1734"/>
      <c r="M704" s="1735"/>
      <c r="N704" s="1733"/>
      <c r="P704" s="1736"/>
      <c r="Q704" s="1722"/>
    </row>
    <row r="705">
      <c r="A705" s="1732"/>
      <c r="C705" s="1706"/>
      <c r="D705" s="1706"/>
      <c r="E705" s="1706"/>
      <c r="F705" s="1733"/>
      <c r="G705" s="1734"/>
      <c r="H705" s="1733"/>
      <c r="I705" s="1706"/>
      <c r="J705" s="1734"/>
      <c r="K705" s="1733"/>
      <c r="L705" s="1734"/>
      <c r="M705" s="1735"/>
      <c r="N705" s="1733"/>
      <c r="P705" s="1736"/>
      <c r="Q705" s="1722"/>
    </row>
    <row r="706">
      <c r="A706" s="1732"/>
      <c r="C706" s="1706"/>
      <c r="D706" s="1706"/>
      <c r="E706" s="1706"/>
      <c r="F706" s="1733"/>
      <c r="G706" s="1734"/>
      <c r="H706" s="1733"/>
      <c r="I706" s="1706"/>
      <c r="J706" s="1734"/>
      <c r="K706" s="1733"/>
      <c r="L706" s="1734"/>
      <c r="M706" s="1735"/>
      <c r="N706" s="1733"/>
      <c r="P706" s="1736"/>
      <c r="Q706" s="1722"/>
    </row>
    <row r="707">
      <c r="A707" s="1732"/>
      <c r="C707" s="1706"/>
      <c r="D707" s="1706"/>
      <c r="E707" s="1706"/>
      <c r="F707" s="1733"/>
      <c r="G707" s="1734"/>
      <c r="H707" s="1733"/>
      <c r="I707" s="1706"/>
      <c r="J707" s="1734"/>
      <c r="K707" s="1733"/>
      <c r="L707" s="1734"/>
      <c r="M707" s="1735"/>
      <c r="N707" s="1733"/>
      <c r="P707" s="1736"/>
      <c r="Q707" s="1722"/>
    </row>
    <row r="708">
      <c r="A708" s="1732"/>
      <c r="C708" s="1706"/>
      <c r="D708" s="1706"/>
      <c r="E708" s="1706"/>
      <c r="F708" s="1733"/>
      <c r="G708" s="1734"/>
      <c r="H708" s="1733"/>
      <c r="I708" s="1706"/>
      <c r="J708" s="1734"/>
      <c r="K708" s="1733"/>
      <c r="L708" s="1734"/>
      <c r="M708" s="1735"/>
      <c r="N708" s="1733"/>
      <c r="P708" s="1736"/>
      <c r="Q708" s="1722"/>
    </row>
    <row r="709">
      <c r="A709" s="1732"/>
      <c r="C709" s="1706"/>
      <c r="D709" s="1706"/>
      <c r="E709" s="1706"/>
      <c r="F709" s="1733"/>
      <c r="G709" s="1734"/>
      <c r="H709" s="1733"/>
      <c r="I709" s="1706"/>
      <c r="J709" s="1734"/>
      <c r="K709" s="1733"/>
      <c r="L709" s="1734"/>
      <c r="M709" s="1735"/>
      <c r="N709" s="1733"/>
      <c r="P709" s="1736"/>
      <c r="Q709" s="1722"/>
    </row>
    <row r="710">
      <c r="A710" s="1732"/>
      <c r="C710" s="1706"/>
      <c r="D710" s="1706"/>
      <c r="E710" s="1706"/>
      <c r="F710" s="1733"/>
      <c r="G710" s="1734"/>
      <c r="H710" s="1733"/>
      <c r="I710" s="1706"/>
      <c r="J710" s="1734"/>
      <c r="K710" s="1733"/>
      <c r="L710" s="1734"/>
      <c r="M710" s="1735"/>
      <c r="N710" s="1733"/>
      <c r="P710" s="1736"/>
      <c r="Q710" s="1722"/>
    </row>
    <row r="711">
      <c r="A711" s="1732"/>
      <c r="C711" s="1706"/>
      <c r="D711" s="1706"/>
      <c r="E711" s="1706"/>
      <c r="F711" s="1733"/>
      <c r="G711" s="1734"/>
      <c r="H711" s="1733"/>
      <c r="I711" s="1706"/>
      <c r="J711" s="1734"/>
      <c r="K711" s="1733"/>
      <c r="L711" s="1734"/>
      <c r="M711" s="1735"/>
      <c r="N711" s="1733"/>
      <c r="P711" s="1736"/>
      <c r="Q711" s="1722"/>
    </row>
    <row r="712">
      <c r="A712" s="1732"/>
      <c r="C712" s="1706"/>
      <c r="D712" s="1706"/>
      <c r="E712" s="1706"/>
      <c r="F712" s="1733"/>
      <c r="G712" s="1734"/>
      <c r="H712" s="1733"/>
      <c r="I712" s="1706"/>
      <c r="J712" s="1734"/>
      <c r="K712" s="1733"/>
      <c r="L712" s="1734"/>
      <c r="M712" s="1735"/>
      <c r="N712" s="1733"/>
      <c r="P712" s="1736"/>
      <c r="Q712" s="1722"/>
    </row>
    <row r="713">
      <c r="A713" s="1732"/>
      <c r="C713" s="1706"/>
      <c r="D713" s="1706"/>
      <c r="E713" s="1706"/>
      <c r="F713" s="1733"/>
      <c r="G713" s="1734"/>
      <c r="H713" s="1733"/>
      <c r="I713" s="1706"/>
      <c r="J713" s="1734"/>
      <c r="K713" s="1733"/>
      <c r="L713" s="1734"/>
      <c r="M713" s="1735"/>
      <c r="N713" s="1733"/>
      <c r="P713" s="1736"/>
      <c r="Q713" s="1722"/>
    </row>
    <row r="714">
      <c r="A714" s="1732"/>
      <c r="C714" s="1706"/>
      <c r="D714" s="1706"/>
      <c r="E714" s="1706"/>
      <c r="F714" s="1733"/>
      <c r="G714" s="1734"/>
      <c r="H714" s="1733"/>
      <c r="I714" s="1706"/>
      <c r="J714" s="1734"/>
      <c r="K714" s="1733"/>
      <c r="L714" s="1734"/>
      <c r="M714" s="1735"/>
      <c r="N714" s="1733"/>
      <c r="P714" s="1736"/>
      <c r="Q714" s="1722"/>
    </row>
    <row r="715">
      <c r="A715" s="1732"/>
      <c r="C715" s="1706"/>
      <c r="D715" s="1706"/>
      <c r="E715" s="1706"/>
      <c r="F715" s="1733"/>
      <c r="G715" s="1734"/>
      <c r="H715" s="1733"/>
      <c r="I715" s="1706"/>
      <c r="J715" s="1734"/>
      <c r="K715" s="1733"/>
      <c r="L715" s="1734"/>
      <c r="M715" s="1735"/>
      <c r="N715" s="1733"/>
      <c r="P715" s="1736"/>
      <c r="Q715" s="1722"/>
    </row>
    <row r="716">
      <c r="A716" s="1732"/>
      <c r="C716" s="1706"/>
      <c r="D716" s="1706"/>
      <c r="E716" s="1706"/>
      <c r="F716" s="1733"/>
      <c r="G716" s="1734"/>
      <c r="H716" s="1733"/>
      <c r="I716" s="1706"/>
      <c r="J716" s="1734"/>
      <c r="K716" s="1733"/>
      <c r="L716" s="1734"/>
      <c r="M716" s="1735"/>
      <c r="N716" s="1733"/>
      <c r="P716" s="1736"/>
      <c r="Q716" s="1722"/>
    </row>
    <row r="717">
      <c r="A717" s="1732"/>
      <c r="C717" s="1706"/>
      <c r="D717" s="1706"/>
      <c r="E717" s="1706"/>
      <c r="F717" s="1733"/>
      <c r="G717" s="1734"/>
      <c r="H717" s="1733"/>
      <c r="I717" s="1706"/>
      <c r="J717" s="1734"/>
      <c r="K717" s="1733"/>
      <c r="L717" s="1734"/>
      <c r="M717" s="1735"/>
      <c r="N717" s="1733"/>
      <c r="P717" s="1736"/>
      <c r="Q717" s="1722"/>
    </row>
    <row r="718">
      <c r="A718" s="1732"/>
      <c r="C718" s="1706"/>
      <c r="D718" s="1706"/>
      <c r="E718" s="1706"/>
      <c r="F718" s="1733"/>
      <c r="G718" s="1734"/>
      <c r="H718" s="1733"/>
      <c r="I718" s="1706"/>
      <c r="J718" s="1734"/>
      <c r="K718" s="1733"/>
      <c r="L718" s="1734"/>
      <c r="M718" s="1735"/>
      <c r="N718" s="1733"/>
      <c r="P718" s="1736"/>
      <c r="Q718" s="1722"/>
    </row>
    <row r="719">
      <c r="A719" s="1732"/>
      <c r="C719" s="1706"/>
      <c r="D719" s="1706"/>
      <c r="E719" s="1706"/>
      <c r="F719" s="1733"/>
      <c r="G719" s="1734"/>
      <c r="H719" s="1733"/>
      <c r="I719" s="1706"/>
      <c r="J719" s="1734"/>
      <c r="K719" s="1733"/>
      <c r="L719" s="1734"/>
      <c r="M719" s="1735"/>
      <c r="N719" s="1733"/>
      <c r="P719" s="1736"/>
      <c r="Q719" s="1722"/>
    </row>
    <row r="720">
      <c r="A720" s="1732"/>
      <c r="C720" s="1706"/>
      <c r="D720" s="1706"/>
      <c r="E720" s="1706"/>
      <c r="F720" s="1733"/>
      <c r="G720" s="1734"/>
      <c r="H720" s="1733"/>
      <c r="I720" s="1706"/>
      <c r="J720" s="1734"/>
      <c r="K720" s="1733"/>
      <c r="L720" s="1734"/>
      <c r="M720" s="1735"/>
      <c r="N720" s="1733"/>
      <c r="P720" s="1736"/>
      <c r="Q720" s="1722"/>
    </row>
    <row r="721">
      <c r="A721" s="1732"/>
      <c r="C721" s="1706"/>
      <c r="D721" s="1706"/>
      <c r="E721" s="1706"/>
      <c r="F721" s="1733"/>
      <c r="G721" s="1734"/>
      <c r="H721" s="1733"/>
      <c r="I721" s="1706"/>
      <c r="J721" s="1734"/>
      <c r="K721" s="1733"/>
      <c r="L721" s="1734"/>
      <c r="M721" s="1735"/>
      <c r="N721" s="1733"/>
      <c r="P721" s="1736"/>
      <c r="Q721" s="1722"/>
    </row>
    <row r="722">
      <c r="A722" s="1732"/>
      <c r="C722" s="1706"/>
      <c r="D722" s="1706"/>
      <c r="E722" s="1706"/>
      <c r="F722" s="1733"/>
      <c r="G722" s="1734"/>
      <c r="H722" s="1733"/>
      <c r="I722" s="1706"/>
      <c r="J722" s="1734"/>
      <c r="K722" s="1733"/>
      <c r="L722" s="1734"/>
      <c r="M722" s="1735"/>
      <c r="N722" s="1733"/>
      <c r="P722" s="1736"/>
      <c r="Q722" s="1722"/>
    </row>
    <row r="723">
      <c r="A723" s="1732"/>
      <c r="C723" s="1706"/>
      <c r="D723" s="1706"/>
      <c r="E723" s="1706"/>
      <c r="F723" s="1733"/>
      <c r="G723" s="1734"/>
      <c r="H723" s="1733"/>
      <c r="I723" s="1706"/>
      <c r="J723" s="1734"/>
      <c r="K723" s="1733"/>
      <c r="L723" s="1734"/>
      <c r="M723" s="1735"/>
      <c r="N723" s="1733"/>
      <c r="P723" s="1736"/>
      <c r="Q723" s="1722"/>
    </row>
    <row r="724">
      <c r="A724" s="1732"/>
      <c r="C724" s="1706"/>
      <c r="D724" s="1706"/>
      <c r="E724" s="1706"/>
      <c r="F724" s="1733"/>
      <c r="G724" s="1734"/>
      <c r="H724" s="1733"/>
      <c r="I724" s="1706"/>
      <c r="J724" s="1734"/>
      <c r="K724" s="1733"/>
      <c r="L724" s="1734"/>
      <c r="M724" s="1735"/>
      <c r="N724" s="1733"/>
      <c r="P724" s="1736"/>
      <c r="Q724" s="1722"/>
    </row>
    <row r="725">
      <c r="A725" s="1732"/>
      <c r="C725" s="1706"/>
      <c r="D725" s="1706"/>
      <c r="E725" s="1706"/>
      <c r="F725" s="1733"/>
      <c r="G725" s="1734"/>
      <c r="H725" s="1733"/>
      <c r="I725" s="1706"/>
      <c r="J725" s="1734"/>
      <c r="K725" s="1733"/>
      <c r="L725" s="1734"/>
      <c r="M725" s="1735"/>
      <c r="N725" s="1733"/>
      <c r="P725" s="1736"/>
      <c r="Q725" s="1722"/>
    </row>
    <row r="726">
      <c r="A726" s="1732"/>
      <c r="C726" s="1706"/>
      <c r="D726" s="1706"/>
      <c r="E726" s="1706"/>
      <c r="F726" s="1733"/>
      <c r="G726" s="1734"/>
      <c r="H726" s="1733"/>
      <c r="I726" s="1706"/>
      <c r="J726" s="1734"/>
      <c r="K726" s="1733"/>
      <c r="L726" s="1734"/>
      <c r="M726" s="1735"/>
      <c r="N726" s="1733"/>
      <c r="P726" s="1736"/>
      <c r="Q726" s="1722"/>
    </row>
    <row r="727">
      <c r="A727" s="1732"/>
      <c r="C727" s="1706"/>
      <c r="D727" s="1706"/>
      <c r="E727" s="1706"/>
      <c r="F727" s="1733"/>
      <c r="G727" s="1734"/>
      <c r="H727" s="1733"/>
      <c r="I727" s="1706"/>
      <c r="J727" s="1734"/>
      <c r="K727" s="1733"/>
      <c r="L727" s="1734"/>
      <c r="M727" s="1735"/>
      <c r="N727" s="1733"/>
      <c r="P727" s="1736"/>
      <c r="Q727" s="1722"/>
    </row>
    <row r="728">
      <c r="A728" s="1732"/>
      <c r="C728" s="1706"/>
      <c r="D728" s="1706"/>
      <c r="E728" s="1706"/>
      <c r="F728" s="1733"/>
      <c r="G728" s="1734"/>
      <c r="H728" s="1733"/>
      <c r="I728" s="1706"/>
      <c r="J728" s="1734"/>
      <c r="K728" s="1733"/>
      <c r="L728" s="1734"/>
      <c r="M728" s="1735"/>
      <c r="N728" s="1733"/>
      <c r="P728" s="1736"/>
      <c r="Q728" s="1722"/>
    </row>
    <row r="729">
      <c r="A729" s="1732"/>
      <c r="C729" s="1706"/>
      <c r="D729" s="1706"/>
      <c r="E729" s="1706"/>
      <c r="F729" s="1733"/>
      <c r="G729" s="1734"/>
      <c r="H729" s="1733"/>
      <c r="I729" s="1706"/>
      <c r="J729" s="1734"/>
      <c r="K729" s="1733"/>
      <c r="L729" s="1734"/>
      <c r="M729" s="1735"/>
      <c r="N729" s="1733"/>
      <c r="P729" s="1736"/>
      <c r="Q729" s="1722"/>
    </row>
    <row r="730">
      <c r="A730" s="1732"/>
      <c r="C730" s="1706"/>
      <c r="D730" s="1706"/>
      <c r="E730" s="1706"/>
      <c r="F730" s="1733"/>
      <c r="G730" s="1734"/>
      <c r="H730" s="1733"/>
      <c r="I730" s="1706"/>
      <c r="J730" s="1734"/>
      <c r="K730" s="1733"/>
      <c r="L730" s="1734"/>
      <c r="M730" s="1735"/>
      <c r="N730" s="1733"/>
      <c r="P730" s="1736"/>
      <c r="Q730" s="1722"/>
    </row>
    <row r="731">
      <c r="A731" s="1732"/>
      <c r="C731" s="1706"/>
      <c r="D731" s="1706"/>
      <c r="E731" s="1706"/>
      <c r="F731" s="1733"/>
      <c r="G731" s="1734"/>
      <c r="H731" s="1733"/>
      <c r="I731" s="1706"/>
      <c r="J731" s="1734"/>
      <c r="K731" s="1733"/>
      <c r="L731" s="1734"/>
      <c r="M731" s="1735"/>
      <c r="N731" s="1733"/>
      <c r="P731" s="1736"/>
      <c r="Q731" s="1722"/>
    </row>
    <row r="732">
      <c r="A732" s="1732"/>
      <c r="C732" s="1706"/>
      <c r="D732" s="1706"/>
      <c r="E732" s="1706"/>
      <c r="F732" s="1733"/>
      <c r="G732" s="1734"/>
      <c r="H732" s="1733"/>
      <c r="I732" s="1706"/>
      <c r="J732" s="1734"/>
      <c r="K732" s="1733"/>
      <c r="L732" s="1734"/>
      <c r="M732" s="1735"/>
      <c r="N732" s="1733"/>
      <c r="P732" s="1736"/>
      <c r="Q732" s="1722"/>
    </row>
    <row r="733">
      <c r="A733" s="1732"/>
      <c r="C733" s="1706"/>
      <c r="D733" s="1706"/>
      <c r="E733" s="1706"/>
      <c r="F733" s="1733"/>
      <c r="G733" s="1734"/>
      <c r="H733" s="1733"/>
      <c r="I733" s="1706"/>
      <c r="J733" s="1734"/>
      <c r="K733" s="1733"/>
      <c r="L733" s="1734"/>
      <c r="M733" s="1735"/>
      <c r="N733" s="1733"/>
      <c r="P733" s="1736"/>
      <c r="Q733" s="1722"/>
    </row>
    <row r="734">
      <c r="A734" s="1732"/>
      <c r="C734" s="1706"/>
      <c r="D734" s="1706"/>
      <c r="E734" s="1706"/>
      <c r="F734" s="1733"/>
      <c r="G734" s="1734"/>
      <c r="H734" s="1733"/>
      <c r="I734" s="1706"/>
      <c r="J734" s="1734"/>
      <c r="K734" s="1733"/>
      <c r="L734" s="1734"/>
      <c r="M734" s="1735"/>
      <c r="N734" s="1733"/>
      <c r="P734" s="1736"/>
      <c r="Q734" s="1722"/>
    </row>
    <row r="735">
      <c r="A735" s="1732"/>
      <c r="C735" s="1706"/>
      <c r="D735" s="1706"/>
      <c r="E735" s="1706"/>
      <c r="F735" s="1733"/>
      <c r="G735" s="1734"/>
      <c r="H735" s="1733"/>
      <c r="I735" s="1706"/>
      <c r="J735" s="1734"/>
      <c r="K735" s="1733"/>
      <c r="L735" s="1734"/>
      <c r="M735" s="1735"/>
      <c r="N735" s="1733"/>
      <c r="P735" s="1736"/>
      <c r="Q735" s="1722"/>
    </row>
    <row r="736">
      <c r="A736" s="1732"/>
      <c r="C736" s="1706"/>
      <c r="D736" s="1706"/>
      <c r="E736" s="1706"/>
      <c r="F736" s="1733"/>
      <c r="G736" s="1734"/>
      <c r="H736" s="1733"/>
      <c r="I736" s="1706"/>
      <c r="J736" s="1734"/>
      <c r="K736" s="1733"/>
      <c r="L736" s="1734"/>
      <c r="M736" s="1735"/>
      <c r="N736" s="1733"/>
      <c r="P736" s="1736"/>
      <c r="Q736" s="1722"/>
    </row>
    <row r="737">
      <c r="A737" s="1732"/>
      <c r="C737" s="1706"/>
      <c r="D737" s="1706"/>
      <c r="E737" s="1706"/>
      <c r="F737" s="1733"/>
      <c r="G737" s="1734"/>
      <c r="H737" s="1733"/>
      <c r="I737" s="1706"/>
      <c r="J737" s="1734"/>
      <c r="K737" s="1733"/>
      <c r="L737" s="1734"/>
      <c r="M737" s="1735"/>
      <c r="N737" s="1733"/>
      <c r="P737" s="1736"/>
      <c r="Q737" s="1722"/>
    </row>
    <row r="738">
      <c r="A738" s="1732"/>
      <c r="C738" s="1706"/>
      <c r="D738" s="1706"/>
      <c r="E738" s="1706"/>
      <c r="F738" s="1733"/>
      <c r="G738" s="1734"/>
      <c r="H738" s="1733"/>
      <c r="I738" s="1706"/>
      <c r="J738" s="1734"/>
      <c r="K738" s="1733"/>
      <c r="L738" s="1734"/>
      <c r="M738" s="1735"/>
      <c r="N738" s="1733"/>
      <c r="P738" s="1736"/>
      <c r="Q738" s="1722"/>
    </row>
    <row r="739">
      <c r="A739" s="1732"/>
      <c r="C739" s="1706"/>
      <c r="D739" s="1706"/>
      <c r="E739" s="1706"/>
      <c r="F739" s="1733"/>
      <c r="G739" s="1734"/>
      <c r="H739" s="1733"/>
      <c r="I739" s="1706"/>
      <c r="J739" s="1734"/>
      <c r="K739" s="1733"/>
      <c r="L739" s="1734"/>
      <c r="M739" s="1735"/>
      <c r="N739" s="1733"/>
      <c r="P739" s="1736"/>
      <c r="Q739" s="1722"/>
    </row>
    <row r="740">
      <c r="A740" s="1732"/>
      <c r="C740" s="1706"/>
      <c r="D740" s="1706"/>
      <c r="E740" s="1706"/>
      <c r="F740" s="1733"/>
      <c r="G740" s="1734"/>
      <c r="H740" s="1733"/>
      <c r="I740" s="1706"/>
      <c r="J740" s="1734"/>
      <c r="K740" s="1733"/>
      <c r="L740" s="1734"/>
      <c r="M740" s="1735"/>
      <c r="N740" s="1733"/>
      <c r="P740" s="1736"/>
      <c r="Q740" s="1722"/>
    </row>
    <row r="741">
      <c r="A741" s="1732"/>
      <c r="C741" s="1706"/>
      <c r="D741" s="1706"/>
      <c r="E741" s="1706"/>
      <c r="F741" s="1733"/>
      <c r="G741" s="1734"/>
      <c r="H741" s="1733"/>
      <c r="I741" s="1706"/>
      <c r="J741" s="1734"/>
      <c r="K741" s="1733"/>
      <c r="L741" s="1734"/>
      <c r="M741" s="1735"/>
      <c r="N741" s="1733"/>
      <c r="P741" s="1736"/>
      <c r="Q741" s="1722"/>
    </row>
    <row r="742">
      <c r="A742" s="1732"/>
      <c r="C742" s="1706"/>
      <c r="D742" s="1706"/>
      <c r="E742" s="1706"/>
      <c r="F742" s="1733"/>
      <c r="G742" s="1734"/>
      <c r="H742" s="1733"/>
      <c r="I742" s="1706"/>
      <c r="J742" s="1734"/>
      <c r="K742" s="1733"/>
      <c r="L742" s="1734"/>
      <c r="M742" s="1735"/>
      <c r="N742" s="1733"/>
      <c r="P742" s="1736"/>
      <c r="Q742" s="1722"/>
    </row>
    <row r="743">
      <c r="A743" s="1732"/>
      <c r="C743" s="1706"/>
      <c r="D743" s="1706"/>
      <c r="E743" s="1706"/>
      <c r="F743" s="1733"/>
      <c r="G743" s="1734"/>
      <c r="H743" s="1733"/>
      <c r="I743" s="1706"/>
      <c r="J743" s="1734"/>
      <c r="K743" s="1733"/>
      <c r="L743" s="1734"/>
      <c r="M743" s="1735"/>
      <c r="N743" s="1733"/>
      <c r="P743" s="1736"/>
      <c r="Q743" s="1722"/>
    </row>
    <row r="744">
      <c r="A744" s="1732"/>
      <c r="C744" s="1706"/>
      <c r="D744" s="1706"/>
      <c r="E744" s="1706"/>
      <c r="F744" s="1733"/>
      <c r="G744" s="1734"/>
      <c r="H744" s="1733"/>
      <c r="I744" s="1706"/>
      <c r="J744" s="1734"/>
      <c r="K744" s="1733"/>
      <c r="L744" s="1734"/>
      <c r="M744" s="1735"/>
      <c r="N744" s="1733"/>
      <c r="P744" s="1736"/>
      <c r="Q744" s="1722"/>
    </row>
    <row r="745">
      <c r="A745" s="1732"/>
      <c r="C745" s="1706"/>
      <c r="D745" s="1706"/>
      <c r="E745" s="1706"/>
      <c r="F745" s="1733"/>
      <c r="G745" s="1734"/>
      <c r="H745" s="1733"/>
      <c r="I745" s="1706"/>
      <c r="J745" s="1734"/>
      <c r="K745" s="1733"/>
      <c r="L745" s="1734"/>
      <c r="M745" s="1735"/>
      <c r="N745" s="1733"/>
      <c r="P745" s="1736"/>
      <c r="Q745" s="1722"/>
    </row>
    <row r="746">
      <c r="A746" s="1732"/>
      <c r="C746" s="1706"/>
      <c r="D746" s="1706"/>
      <c r="E746" s="1706"/>
      <c r="F746" s="1733"/>
      <c r="G746" s="1734"/>
      <c r="H746" s="1733"/>
      <c r="I746" s="1706"/>
      <c r="J746" s="1734"/>
      <c r="K746" s="1733"/>
      <c r="L746" s="1734"/>
      <c r="M746" s="1735"/>
      <c r="N746" s="1733"/>
      <c r="P746" s="1736"/>
      <c r="Q746" s="1722"/>
    </row>
    <row r="747">
      <c r="A747" s="1732"/>
      <c r="C747" s="1706"/>
      <c r="D747" s="1706"/>
      <c r="E747" s="1706"/>
      <c r="F747" s="1733"/>
      <c r="G747" s="1734"/>
      <c r="H747" s="1733"/>
      <c r="I747" s="1706"/>
      <c r="J747" s="1734"/>
      <c r="K747" s="1733"/>
      <c r="L747" s="1734"/>
      <c r="M747" s="1735"/>
      <c r="N747" s="1733"/>
      <c r="P747" s="1736"/>
      <c r="Q747" s="1722"/>
    </row>
    <row r="748">
      <c r="A748" s="1732"/>
      <c r="C748" s="1706"/>
      <c r="D748" s="1706"/>
      <c r="E748" s="1706"/>
      <c r="F748" s="1733"/>
      <c r="G748" s="1734"/>
      <c r="H748" s="1733"/>
      <c r="I748" s="1706"/>
      <c r="J748" s="1734"/>
      <c r="K748" s="1733"/>
      <c r="L748" s="1734"/>
      <c r="M748" s="1735"/>
      <c r="N748" s="1733"/>
      <c r="P748" s="1736"/>
      <c r="Q748" s="1722"/>
    </row>
    <row r="749">
      <c r="A749" s="1732"/>
      <c r="C749" s="1706"/>
      <c r="D749" s="1706"/>
      <c r="E749" s="1706"/>
      <c r="F749" s="1733"/>
      <c r="G749" s="1734"/>
      <c r="H749" s="1733"/>
      <c r="I749" s="1706"/>
      <c r="J749" s="1734"/>
      <c r="K749" s="1733"/>
      <c r="L749" s="1734"/>
      <c r="M749" s="1735"/>
      <c r="N749" s="1733"/>
      <c r="P749" s="1736"/>
      <c r="Q749" s="1722"/>
    </row>
    <row r="750">
      <c r="A750" s="1732"/>
      <c r="C750" s="1706"/>
      <c r="D750" s="1706"/>
      <c r="E750" s="1706"/>
      <c r="F750" s="1733"/>
      <c r="G750" s="1734"/>
      <c r="H750" s="1733"/>
      <c r="I750" s="1706"/>
      <c r="J750" s="1734"/>
      <c r="K750" s="1733"/>
      <c r="L750" s="1734"/>
      <c r="M750" s="1735"/>
      <c r="N750" s="1733"/>
      <c r="P750" s="1736"/>
      <c r="Q750" s="1722"/>
    </row>
    <row r="751">
      <c r="A751" s="1732"/>
      <c r="C751" s="1706"/>
      <c r="D751" s="1706"/>
      <c r="E751" s="1706"/>
      <c r="F751" s="1733"/>
      <c r="G751" s="1734"/>
      <c r="H751" s="1733"/>
      <c r="I751" s="1706"/>
      <c r="J751" s="1734"/>
      <c r="K751" s="1733"/>
      <c r="L751" s="1734"/>
      <c r="M751" s="1735"/>
      <c r="N751" s="1733"/>
      <c r="P751" s="1736"/>
      <c r="Q751" s="1722"/>
    </row>
    <row r="752">
      <c r="A752" s="1732"/>
      <c r="C752" s="1706"/>
      <c r="D752" s="1706"/>
      <c r="E752" s="1706"/>
      <c r="F752" s="1733"/>
      <c r="G752" s="1734"/>
      <c r="H752" s="1733"/>
      <c r="I752" s="1706"/>
      <c r="J752" s="1734"/>
      <c r="K752" s="1733"/>
      <c r="L752" s="1734"/>
      <c r="M752" s="1735"/>
      <c r="N752" s="1733"/>
      <c r="P752" s="1736"/>
      <c r="Q752" s="1722"/>
    </row>
    <row r="753">
      <c r="A753" s="1732"/>
      <c r="C753" s="1706"/>
      <c r="D753" s="1706"/>
      <c r="E753" s="1706"/>
      <c r="F753" s="1733"/>
      <c r="G753" s="1734"/>
      <c r="H753" s="1733"/>
      <c r="I753" s="1706"/>
      <c r="J753" s="1734"/>
      <c r="K753" s="1733"/>
      <c r="L753" s="1734"/>
      <c r="M753" s="1735"/>
      <c r="N753" s="1733"/>
      <c r="P753" s="1736"/>
      <c r="Q753" s="1722"/>
    </row>
    <row r="754">
      <c r="A754" s="1732"/>
      <c r="C754" s="1706"/>
      <c r="D754" s="1706"/>
      <c r="E754" s="1706"/>
      <c r="F754" s="1733"/>
      <c r="G754" s="1734"/>
      <c r="H754" s="1733"/>
      <c r="I754" s="1706"/>
      <c r="J754" s="1734"/>
      <c r="K754" s="1733"/>
      <c r="L754" s="1734"/>
      <c r="M754" s="1735"/>
      <c r="N754" s="1733"/>
      <c r="P754" s="1736"/>
      <c r="Q754" s="1722"/>
    </row>
    <row r="755">
      <c r="A755" s="1732"/>
      <c r="C755" s="1706"/>
      <c r="D755" s="1706"/>
      <c r="E755" s="1706"/>
      <c r="F755" s="1733"/>
      <c r="G755" s="1734"/>
      <c r="H755" s="1733"/>
      <c r="I755" s="1706"/>
      <c r="J755" s="1734"/>
      <c r="K755" s="1733"/>
      <c r="L755" s="1734"/>
      <c r="M755" s="1735"/>
      <c r="N755" s="1733"/>
      <c r="P755" s="1736"/>
      <c r="Q755" s="1722"/>
    </row>
    <row r="756">
      <c r="A756" s="1732"/>
      <c r="C756" s="1706"/>
      <c r="D756" s="1706"/>
      <c r="E756" s="1706"/>
      <c r="F756" s="1733"/>
      <c r="G756" s="1734"/>
      <c r="H756" s="1733"/>
      <c r="I756" s="1706"/>
      <c r="J756" s="1734"/>
      <c r="K756" s="1733"/>
      <c r="L756" s="1734"/>
      <c r="M756" s="1735"/>
      <c r="N756" s="1733"/>
      <c r="P756" s="1736"/>
      <c r="Q756" s="1722"/>
    </row>
    <row r="757">
      <c r="A757" s="1732"/>
      <c r="C757" s="1706"/>
      <c r="D757" s="1706"/>
      <c r="E757" s="1706"/>
      <c r="F757" s="1733"/>
      <c r="G757" s="1734"/>
      <c r="H757" s="1733"/>
      <c r="I757" s="1706"/>
      <c r="J757" s="1734"/>
      <c r="K757" s="1733"/>
      <c r="L757" s="1734"/>
      <c r="M757" s="1735"/>
      <c r="N757" s="1733"/>
      <c r="P757" s="1736"/>
      <c r="Q757" s="1722"/>
    </row>
    <row r="758">
      <c r="A758" s="1732"/>
      <c r="C758" s="1706"/>
      <c r="D758" s="1706"/>
      <c r="E758" s="1706"/>
      <c r="F758" s="1733"/>
      <c r="G758" s="1734"/>
      <c r="H758" s="1733"/>
      <c r="I758" s="1706"/>
      <c r="J758" s="1734"/>
      <c r="K758" s="1733"/>
      <c r="L758" s="1734"/>
      <c r="M758" s="1735"/>
      <c r="N758" s="1733"/>
      <c r="P758" s="1736"/>
      <c r="Q758" s="1722"/>
    </row>
    <row r="759">
      <c r="A759" s="1732"/>
      <c r="C759" s="1706"/>
      <c r="D759" s="1706"/>
      <c r="E759" s="1706"/>
      <c r="F759" s="1733"/>
      <c r="G759" s="1734"/>
      <c r="H759" s="1733"/>
      <c r="I759" s="1706"/>
      <c r="J759" s="1734"/>
      <c r="K759" s="1733"/>
      <c r="L759" s="1734"/>
      <c r="M759" s="1735"/>
      <c r="N759" s="1733"/>
      <c r="P759" s="1736"/>
      <c r="Q759" s="1722"/>
    </row>
    <row r="760">
      <c r="A760" s="1732"/>
      <c r="C760" s="1706"/>
      <c r="D760" s="1706"/>
      <c r="E760" s="1706"/>
      <c r="F760" s="1733"/>
      <c r="G760" s="1734"/>
      <c r="H760" s="1733"/>
      <c r="I760" s="1706"/>
      <c r="J760" s="1734"/>
      <c r="K760" s="1733"/>
      <c r="L760" s="1734"/>
      <c r="M760" s="1735"/>
      <c r="N760" s="1733"/>
      <c r="P760" s="1736"/>
      <c r="Q760" s="1722"/>
    </row>
    <row r="761">
      <c r="A761" s="1732"/>
      <c r="C761" s="1706"/>
      <c r="D761" s="1706"/>
      <c r="E761" s="1706"/>
      <c r="F761" s="1733"/>
      <c r="G761" s="1734"/>
      <c r="H761" s="1733"/>
      <c r="I761" s="1706"/>
      <c r="J761" s="1734"/>
      <c r="K761" s="1733"/>
      <c r="L761" s="1734"/>
      <c r="M761" s="1735"/>
      <c r="N761" s="1733"/>
      <c r="P761" s="1736"/>
      <c r="Q761" s="1722"/>
    </row>
    <row r="762">
      <c r="A762" s="1732"/>
      <c r="C762" s="1706"/>
      <c r="D762" s="1706"/>
      <c r="E762" s="1706"/>
      <c r="F762" s="1733"/>
      <c r="G762" s="1734"/>
      <c r="H762" s="1733"/>
      <c r="I762" s="1706"/>
      <c r="J762" s="1734"/>
      <c r="K762" s="1733"/>
      <c r="L762" s="1734"/>
      <c r="M762" s="1735"/>
      <c r="N762" s="1733"/>
      <c r="P762" s="1736"/>
      <c r="Q762" s="1722"/>
    </row>
    <row r="763">
      <c r="A763" s="1732"/>
      <c r="C763" s="1706"/>
      <c r="D763" s="1706"/>
      <c r="E763" s="1706"/>
      <c r="F763" s="1733"/>
      <c r="G763" s="1734"/>
      <c r="H763" s="1733"/>
      <c r="I763" s="1706"/>
      <c r="J763" s="1734"/>
      <c r="K763" s="1733"/>
      <c r="L763" s="1734"/>
      <c r="M763" s="1735"/>
      <c r="N763" s="1733"/>
      <c r="P763" s="1736"/>
      <c r="Q763" s="1722"/>
    </row>
    <row r="764">
      <c r="A764" s="1732"/>
      <c r="C764" s="1706"/>
      <c r="D764" s="1706"/>
      <c r="E764" s="1706"/>
      <c r="F764" s="1733"/>
      <c r="G764" s="1734"/>
      <c r="H764" s="1733"/>
      <c r="I764" s="1706"/>
      <c r="J764" s="1734"/>
      <c r="K764" s="1733"/>
      <c r="L764" s="1734"/>
      <c r="M764" s="1735"/>
      <c r="N764" s="1733"/>
      <c r="P764" s="1736"/>
      <c r="Q764" s="1722"/>
    </row>
    <row r="765">
      <c r="A765" s="1732"/>
      <c r="C765" s="1706"/>
      <c r="D765" s="1706"/>
      <c r="E765" s="1706"/>
      <c r="F765" s="1733"/>
      <c r="G765" s="1734"/>
      <c r="H765" s="1733"/>
      <c r="I765" s="1706"/>
      <c r="J765" s="1734"/>
      <c r="K765" s="1733"/>
      <c r="L765" s="1734"/>
      <c r="M765" s="1735"/>
      <c r="N765" s="1733"/>
      <c r="P765" s="1736"/>
      <c r="Q765" s="1722"/>
    </row>
    <row r="766">
      <c r="A766" s="1732"/>
      <c r="C766" s="1706"/>
      <c r="D766" s="1706"/>
      <c r="E766" s="1706"/>
      <c r="F766" s="1733"/>
      <c r="G766" s="1734"/>
      <c r="H766" s="1733"/>
      <c r="I766" s="1706"/>
      <c r="J766" s="1734"/>
      <c r="K766" s="1733"/>
      <c r="L766" s="1734"/>
      <c r="M766" s="1735"/>
      <c r="N766" s="1733"/>
      <c r="P766" s="1736"/>
      <c r="Q766" s="1722"/>
    </row>
    <row r="767">
      <c r="A767" s="1732"/>
      <c r="C767" s="1706"/>
      <c r="D767" s="1706"/>
      <c r="E767" s="1706"/>
      <c r="F767" s="1733"/>
      <c r="G767" s="1734"/>
      <c r="H767" s="1733"/>
      <c r="I767" s="1706"/>
      <c r="J767" s="1734"/>
      <c r="K767" s="1733"/>
      <c r="L767" s="1734"/>
      <c r="M767" s="1735"/>
      <c r="N767" s="1733"/>
      <c r="P767" s="1736"/>
      <c r="Q767" s="1722"/>
    </row>
    <row r="768">
      <c r="A768" s="1732"/>
      <c r="C768" s="1706"/>
      <c r="D768" s="1706"/>
      <c r="E768" s="1706"/>
      <c r="F768" s="1733"/>
      <c r="G768" s="1734"/>
      <c r="H768" s="1733"/>
      <c r="I768" s="1706"/>
      <c r="J768" s="1734"/>
      <c r="K768" s="1733"/>
      <c r="L768" s="1734"/>
      <c r="M768" s="1735"/>
      <c r="N768" s="1733"/>
      <c r="P768" s="1736"/>
      <c r="Q768" s="1722"/>
    </row>
    <row r="769">
      <c r="A769" s="1732"/>
      <c r="C769" s="1706"/>
      <c r="D769" s="1706"/>
      <c r="E769" s="1706"/>
      <c r="F769" s="1733"/>
      <c r="G769" s="1734"/>
      <c r="H769" s="1733"/>
      <c r="I769" s="1706"/>
      <c r="J769" s="1734"/>
      <c r="K769" s="1733"/>
      <c r="L769" s="1734"/>
      <c r="M769" s="1735"/>
      <c r="N769" s="1733"/>
      <c r="P769" s="1736"/>
      <c r="Q769" s="1722"/>
    </row>
    <row r="770">
      <c r="A770" s="1732"/>
      <c r="C770" s="1706"/>
      <c r="D770" s="1706"/>
      <c r="E770" s="1706"/>
      <c r="F770" s="1733"/>
      <c r="G770" s="1734"/>
      <c r="H770" s="1733"/>
      <c r="I770" s="1706"/>
      <c r="J770" s="1734"/>
      <c r="K770" s="1733"/>
      <c r="L770" s="1734"/>
      <c r="M770" s="1735"/>
      <c r="N770" s="1733"/>
      <c r="P770" s="1736"/>
      <c r="Q770" s="1722"/>
    </row>
    <row r="771">
      <c r="A771" s="1732"/>
      <c r="C771" s="1706"/>
      <c r="D771" s="1706"/>
      <c r="E771" s="1706"/>
      <c r="F771" s="1733"/>
      <c r="G771" s="1734"/>
      <c r="H771" s="1733"/>
      <c r="I771" s="1706"/>
      <c r="J771" s="1734"/>
      <c r="K771" s="1733"/>
      <c r="L771" s="1734"/>
      <c r="M771" s="1735"/>
      <c r="N771" s="1733"/>
      <c r="P771" s="1736"/>
      <c r="Q771" s="1722"/>
    </row>
    <row r="772">
      <c r="A772" s="1732"/>
      <c r="C772" s="1706"/>
      <c r="D772" s="1706"/>
      <c r="E772" s="1706"/>
      <c r="F772" s="1733"/>
      <c r="G772" s="1734"/>
      <c r="H772" s="1733"/>
      <c r="I772" s="1706"/>
      <c r="J772" s="1734"/>
      <c r="K772" s="1733"/>
      <c r="L772" s="1734"/>
      <c r="M772" s="1735"/>
      <c r="N772" s="1733"/>
      <c r="P772" s="1736"/>
      <c r="Q772" s="1722"/>
    </row>
    <row r="773">
      <c r="A773" s="1732"/>
      <c r="C773" s="1706"/>
      <c r="D773" s="1706"/>
      <c r="E773" s="1706"/>
      <c r="F773" s="1733"/>
      <c r="G773" s="1734"/>
      <c r="H773" s="1733"/>
      <c r="I773" s="1706"/>
      <c r="J773" s="1734"/>
      <c r="K773" s="1733"/>
      <c r="L773" s="1734"/>
      <c r="M773" s="1735"/>
      <c r="N773" s="1733"/>
      <c r="P773" s="1736"/>
      <c r="Q773" s="1722"/>
    </row>
    <row r="774">
      <c r="A774" s="1732"/>
      <c r="C774" s="1706"/>
      <c r="D774" s="1706"/>
      <c r="E774" s="1706"/>
      <c r="F774" s="1733"/>
      <c r="G774" s="1734"/>
      <c r="H774" s="1733"/>
      <c r="I774" s="1706"/>
      <c r="J774" s="1734"/>
      <c r="K774" s="1733"/>
      <c r="L774" s="1734"/>
      <c r="M774" s="1735"/>
      <c r="N774" s="1733"/>
      <c r="P774" s="1736"/>
      <c r="Q774" s="1722"/>
    </row>
    <row r="775">
      <c r="A775" s="1732"/>
      <c r="C775" s="1706"/>
      <c r="D775" s="1706"/>
      <c r="E775" s="1706"/>
      <c r="F775" s="1733"/>
      <c r="G775" s="1734"/>
      <c r="H775" s="1733"/>
      <c r="I775" s="1706"/>
      <c r="J775" s="1734"/>
      <c r="K775" s="1733"/>
      <c r="L775" s="1734"/>
      <c r="M775" s="1735"/>
      <c r="N775" s="1733"/>
      <c r="P775" s="1736"/>
      <c r="Q775" s="1722"/>
    </row>
    <row r="776">
      <c r="A776" s="1732"/>
      <c r="C776" s="1706"/>
      <c r="D776" s="1706"/>
      <c r="E776" s="1706"/>
      <c r="F776" s="1733"/>
      <c r="G776" s="1734"/>
      <c r="H776" s="1733"/>
      <c r="I776" s="1706"/>
      <c r="J776" s="1734"/>
      <c r="K776" s="1733"/>
      <c r="L776" s="1734"/>
      <c r="M776" s="1735"/>
      <c r="N776" s="1733"/>
      <c r="P776" s="1736"/>
      <c r="Q776" s="1722"/>
    </row>
    <row r="777">
      <c r="A777" s="1732"/>
      <c r="C777" s="1706"/>
      <c r="D777" s="1706"/>
      <c r="E777" s="1706"/>
      <c r="F777" s="1733"/>
      <c r="G777" s="1734"/>
      <c r="H777" s="1733"/>
      <c r="I777" s="1706"/>
      <c r="J777" s="1734"/>
      <c r="K777" s="1733"/>
      <c r="L777" s="1734"/>
      <c r="M777" s="1735"/>
      <c r="N777" s="1733"/>
      <c r="P777" s="1736"/>
      <c r="Q777" s="1722"/>
    </row>
    <row r="778">
      <c r="A778" s="1732"/>
      <c r="C778" s="1706"/>
      <c r="D778" s="1706"/>
      <c r="E778" s="1706"/>
      <c r="F778" s="1733"/>
      <c r="G778" s="1734"/>
      <c r="H778" s="1733"/>
      <c r="I778" s="1706"/>
      <c r="J778" s="1734"/>
      <c r="K778" s="1733"/>
      <c r="L778" s="1734"/>
      <c r="M778" s="1735"/>
      <c r="N778" s="1733"/>
      <c r="P778" s="1736"/>
      <c r="Q778" s="1722"/>
    </row>
    <row r="779">
      <c r="A779" s="1732"/>
      <c r="C779" s="1706"/>
      <c r="D779" s="1706"/>
      <c r="E779" s="1706"/>
      <c r="F779" s="1733"/>
      <c r="G779" s="1734"/>
      <c r="H779" s="1733"/>
      <c r="I779" s="1706"/>
      <c r="J779" s="1734"/>
      <c r="K779" s="1733"/>
      <c r="L779" s="1734"/>
      <c r="M779" s="1735"/>
      <c r="N779" s="1733"/>
      <c r="P779" s="1736"/>
      <c r="Q779" s="1722"/>
    </row>
    <row r="780">
      <c r="A780" s="1732"/>
      <c r="C780" s="1706"/>
      <c r="D780" s="1706"/>
      <c r="E780" s="1706"/>
      <c r="F780" s="1733"/>
      <c r="G780" s="1734"/>
      <c r="H780" s="1733"/>
      <c r="I780" s="1706"/>
      <c r="J780" s="1734"/>
      <c r="K780" s="1733"/>
      <c r="L780" s="1734"/>
      <c r="M780" s="1735"/>
      <c r="N780" s="1733"/>
      <c r="P780" s="1736"/>
      <c r="Q780" s="1722"/>
    </row>
    <row r="781">
      <c r="A781" s="1732"/>
      <c r="C781" s="1706"/>
      <c r="D781" s="1706"/>
      <c r="E781" s="1706"/>
      <c r="F781" s="1733"/>
      <c r="G781" s="1734"/>
      <c r="H781" s="1733"/>
      <c r="I781" s="1706"/>
      <c r="J781" s="1734"/>
      <c r="K781" s="1733"/>
      <c r="L781" s="1734"/>
      <c r="M781" s="1735"/>
      <c r="N781" s="1733"/>
      <c r="P781" s="1736"/>
      <c r="Q781" s="1722"/>
    </row>
    <row r="782">
      <c r="A782" s="1732"/>
      <c r="C782" s="1706"/>
      <c r="D782" s="1706"/>
      <c r="E782" s="1706"/>
      <c r="F782" s="1733"/>
      <c r="G782" s="1734"/>
      <c r="H782" s="1733"/>
      <c r="I782" s="1706"/>
      <c r="J782" s="1734"/>
      <c r="K782" s="1733"/>
      <c r="L782" s="1734"/>
      <c r="M782" s="1735"/>
      <c r="N782" s="1733"/>
      <c r="P782" s="1736"/>
      <c r="Q782" s="1722"/>
    </row>
    <row r="783">
      <c r="A783" s="1732"/>
      <c r="C783" s="1706"/>
      <c r="D783" s="1706"/>
      <c r="E783" s="1706"/>
      <c r="F783" s="1733"/>
      <c r="G783" s="1734"/>
      <c r="H783" s="1733"/>
      <c r="I783" s="1706"/>
      <c r="J783" s="1734"/>
      <c r="K783" s="1733"/>
      <c r="L783" s="1734"/>
      <c r="M783" s="1735"/>
      <c r="N783" s="1733"/>
      <c r="P783" s="1736"/>
      <c r="Q783" s="1722"/>
    </row>
    <row r="784">
      <c r="A784" s="1732"/>
      <c r="C784" s="1706"/>
      <c r="D784" s="1706"/>
      <c r="E784" s="1706"/>
      <c r="F784" s="1733"/>
      <c r="G784" s="1734"/>
      <c r="H784" s="1733"/>
      <c r="I784" s="1706"/>
      <c r="J784" s="1734"/>
      <c r="K784" s="1733"/>
      <c r="L784" s="1734"/>
      <c r="M784" s="1735"/>
      <c r="N784" s="1733"/>
      <c r="P784" s="1736"/>
      <c r="Q784" s="1722"/>
    </row>
    <row r="785">
      <c r="A785" s="1732"/>
      <c r="C785" s="1706"/>
      <c r="D785" s="1706"/>
      <c r="E785" s="1706"/>
      <c r="F785" s="1733"/>
      <c r="G785" s="1734"/>
      <c r="H785" s="1733"/>
      <c r="I785" s="1706"/>
      <c r="J785" s="1734"/>
      <c r="K785" s="1733"/>
      <c r="L785" s="1734"/>
      <c r="M785" s="1735"/>
      <c r="N785" s="1733"/>
      <c r="P785" s="1736"/>
      <c r="Q785" s="1722"/>
    </row>
    <row r="786">
      <c r="A786" s="1732"/>
      <c r="C786" s="1706"/>
      <c r="D786" s="1706"/>
      <c r="E786" s="1706"/>
      <c r="F786" s="1733"/>
      <c r="G786" s="1734"/>
      <c r="H786" s="1733"/>
      <c r="I786" s="1706"/>
      <c r="J786" s="1734"/>
      <c r="K786" s="1733"/>
      <c r="L786" s="1734"/>
      <c r="M786" s="1735"/>
      <c r="N786" s="1733"/>
      <c r="P786" s="1736"/>
      <c r="Q786" s="1722"/>
    </row>
    <row r="787">
      <c r="A787" s="1732"/>
      <c r="C787" s="1706"/>
      <c r="D787" s="1706"/>
      <c r="E787" s="1706"/>
      <c r="F787" s="1733"/>
      <c r="G787" s="1734"/>
      <c r="H787" s="1733"/>
      <c r="I787" s="1706"/>
      <c r="J787" s="1734"/>
      <c r="K787" s="1733"/>
      <c r="L787" s="1734"/>
      <c r="M787" s="1735"/>
      <c r="N787" s="1733"/>
      <c r="P787" s="1736"/>
      <c r="Q787" s="1722"/>
    </row>
    <row r="788">
      <c r="A788" s="1732"/>
      <c r="C788" s="1706"/>
      <c r="D788" s="1706"/>
      <c r="E788" s="1706"/>
      <c r="F788" s="1733"/>
      <c r="G788" s="1734"/>
      <c r="H788" s="1733"/>
      <c r="I788" s="1706"/>
      <c r="J788" s="1734"/>
      <c r="K788" s="1733"/>
      <c r="L788" s="1734"/>
      <c r="M788" s="1735"/>
      <c r="N788" s="1733"/>
      <c r="P788" s="1736"/>
      <c r="Q788" s="1722"/>
    </row>
    <row r="789">
      <c r="A789" s="1732"/>
      <c r="C789" s="1706"/>
      <c r="D789" s="1706"/>
      <c r="E789" s="1706"/>
      <c r="F789" s="1733"/>
      <c r="G789" s="1734"/>
      <c r="H789" s="1733"/>
      <c r="I789" s="1706"/>
      <c r="J789" s="1734"/>
      <c r="K789" s="1733"/>
      <c r="L789" s="1734"/>
      <c r="M789" s="1735"/>
      <c r="N789" s="1733"/>
      <c r="P789" s="1736"/>
      <c r="Q789" s="1722"/>
    </row>
    <row r="790">
      <c r="A790" s="1732"/>
      <c r="C790" s="1706"/>
      <c r="D790" s="1706"/>
      <c r="E790" s="1706"/>
      <c r="F790" s="1733"/>
      <c r="G790" s="1734"/>
      <c r="H790" s="1733"/>
      <c r="I790" s="1706"/>
      <c r="J790" s="1734"/>
      <c r="K790" s="1733"/>
      <c r="L790" s="1734"/>
      <c r="M790" s="1735"/>
      <c r="N790" s="1733"/>
      <c r="P790" s="1736"/>
      <c r="Q790" s="1722"/>
    </row>
    <row r="791">
      <c r="A791" s="1732"/>
      <c r="C791" s="1706"/>
      <c r="D791" s="1706"/>
      <c r="E791" s="1706"/>
      <c r="F791" s="1733"/>
      <c r="G791" s="1734"/>
      <c r="H791" s="1733"/>
      <c r="I791" s="1706"/>
      <c r="J791" s="1734"/>
      <c r="K791" s="1733"/>
      <c r="L791" s="1734"/>
      <c r="M791" s="1735"/>
      <c r="N791" s="1733"/>
      <c r="P791" s="1736"/>
      <c r="Q791" s="1722"/>
    </row>
    <row r="792">
      <c r="A792" s="1732"/>
      <c r="C792" s="1706"/>
      <c r="D792" s="1706"/>
      <c r="E792" s="1706"/>
      <c r="F792" s="1733"/>
      <c r="G792" s="1734"/>
      <c r="H792" s="1733"/>
      <c r="I792" s="1706"/>
      <c r="J792" s="1734"/>
      <c r="K792" s="1733"/>
      <c r="L792" s="1734"/>
      <c r="M792" s="1735"/>
      <c r="N792" s="1733"/>
      <c r="P792" s="1736"/>
      <c r="Q792" s="1722"/>
    </row>
    <row r="793">
      <c r="A793" s="1732"/>
      <c r="C793" s="1706"/>
      <c r="D793" s="1706"/>
      <c r="E793" s="1706"/>
      <c r="F793" s="1733"/>
      <c r="G793" s="1734"/>
      <c r="H793" s="1733"/>
      <c r="I793" s="1706"/>
      <c r="J793" s="1734"/>
      <c r="K793" s="1733"/>
      <c r="L793" s="1734"/>
      <c r="M793" s="1735"/>
      <c r="N793" s="1733"/>
      <c r="P793" s="1736"/>
      <c r="Q793" s="1722"/>
    </row>
    <row r="794">
      <c r="A794" s="1732"/>
      <c r="C794" s="1706"/>
      <c r="D794" s="1706"/>
      <c r="E794" s="1706"/>
      <c r="F794" s="1733"/>
      <c r="G794" s="1734"/>
      <c r="H794" s="1733"/>
      <c r="I794" s="1706"/>
      <c r="J794" s="1734"/>
      <c r="K794" s="1733"/>
      <c r="L794" s="1734"/>
      <c r="M794" s="1735"/>
      <c r="N794" s="1733"/>
      <c r="P794" s="1736"/>
      <c r="Q794" s="1722"/>
    </row>
    <row r="795">
      <c r="A795" s="1732"/>
      <c r="C795" s="1706"/>
      <c r="D795" s="1706"/>
      <c r="E795" s="1706"/>
      <c r="F795" s="1733"/>
      <c r="G795" s="1734"/>
      <c r="H795" s="1733"/>
      <c r="I795" s="1706"/>
      <c r="J795" s="1734"/>
      <c r="K795" s="1733"/>
      <c r="L795" s="1734"/>
      <c r="M795" s="1735"/>
      <c r="N795" s="1733"/>
      <c r="P795" s="1736"/>
      <c r="Q795" s="1722"/>
    </row>
    <row r="796">
      <c r="A796" s="1732"/>
      <c r="C796" s="1706"/>
      <c r="D796" s="1706"/>
      <c r="E796" s="1706"/>
      <c r="F796" s="1733"/>
      <c r="G796" s="1734"/>
      <c r="H796" s="1733"/>
      <c r="I796" s="1706"/>
      <c r="J796" s="1734"/>
      <c r="K796" s="1733"/>
      <c r="L796" s="1734"/>
      <c r="M796" s="1735"/>
      <c r="N796" s="1733"/>
      <c r="P796" s="1736"/>
      <c r="Q796" s="1722"/>
    </row>
    <row r="797">
      <c r="A797" s="1732"/>
      <c r="C797" s="1706"/>
      <c r="D797" s="1706"/>
      <c r="E797" s="1706"/>
      <c r="F797" s="1733"/>
      <c r="G797" s="1734"/>
      <c r="H797" s="1733"/>
      <c r="I797" s="1706"/>
      <c r="J797" s="1734"/>
      <c r="K797" s="1733"/>
      <c r="L797" s="1734"/>
      <c r="M797" s="1735"/>
      <c r="N797" s="1733"/>
      <c r="P797" s="1736"/>
      <c r="Q797" s="1722"/>
    </row>
    <row r="798">
      <c r="A798" s="1732"/>
      <c r="C798" s="1706"/>
      <c r="D798" s="1706"/>
      <c r="E798" s="1706"/>
      <c r="F798" s="1733"/>
      <c r="G798" s="1734"/>
      <c r="H798" s="1733"/>
      <c r="I798" s="1706"/>
      <c r="J798" s="1734"/>
      <c r="K798" s="1733"/>
      <c r="L798" s="1734"/>
      <c r="M798" s="1735"/>
      <c r="N798" s="1733"/>
      <c r="P798" s="1736"/>
      <c r="Q798" s="1722"/>
    </row>
    <row r="799">
      <c r="A799" s="1732"/>
      <c r="C799" s="1706"/>
      <c r="D799" s="1706"/>
      <c r="E799" s="1706"/>
      <c r="F799" s="1733"/>
      <c r="G799" s="1734"/>
      <c r="H799" s="1733"/>
      <c r="I799" s="1706"/>
      <c r="J799" s="1734"/>
      <c r="K799" s="1733"/>
      <c r="L799" s="1734"/>
      <c r="M799" s="1735"/>
      <c r="N799" s="1733"/>
      <c r="P799" s="1736"/>
      <c r="Q799" s="1722"/>
    </row>
    <row r="800">
      <c r="A800" s="1732"/>
      <c r="C800" s="1706"/>
      <c r="D800" s="1706"/>
      <c r="E800" s="1706"/>
      <c r="F800" s="1733"/>
      <c r="G800" s="1734"/>
      <c r="H800" s="1733"/>
      <c r="I800" s="1706"/>
      <c r="J800" s="1734"/>
      <c r="K800" s="1733"/>
      <c r="L800" s="1734"/>
      <c r="M800" s="1735"/>
      <c r="N800" s="1733"/>
      <c r="P800" s="1736"/>
      <c r="Q800" s="1722"/>
    </row>
    <row r="801">
      <c r="A801" s="1732"/>
      <c r="C801" s="1706"/>
      <c r="D801" s="1706"/>
      <c r="E801" s="1706"/>
      <c r="F801" s="1733"/>
      <c r="G801" s="1734"/>
      <c r="H801" s="1733"/>
      <c r="I801" s="1706"/>
      <c r="J801" s="1734"/>
      <c r="K801" s="1733"/>
      <c r="L801" s="1734"/>
      <c r="M801" s="1735"/>
      <c r="N801" s="1733"/>
      <c r="P801" s="1736"/>
      <c r="Q801" s="1722"/>
    </row>
    <row r="802">
      <c r="A802" s="1732"/>
      <c r="C802" s="1706"/>
      <c r="D802" s="1706"/>
      <c r="E802" s="1706"/>
      <c r="F802" s="1733"/>
      <c r="G802" s="1734"/>
      <c r="H802" s="1733"/>
      <c r="I802" s="1706"/>
      <c r="J802" s="1734"/>
      <c r="K802" s="1733"/>
      <c r="L802" s="1734"/>
      <c r="M802" s="1735"/>
      <c r="N802" s="1733"/>
      <c r="P802" s="1736"/>
      <c r="Q802" s="1722"/>
    </row>
    <row r="803">
      <c r="A803" s="1732"/>
      <c r="C803" s="1706"/>
      <c r="D803" s="1706"/>
      <c r="E803" s="1706"/>
      <c r="F803" s="1733"/>
      <c r="G803" s="1734"/>
      <c r="H803" s="1733"/>
      <c r="I803" s="1706"/>
      <c r="J803" s="1734"/>
      <c r="K803" s="1733"/>
      <c r="L803" s="1734"/>
      <c r="M803" s="1735"/>
      <c r="N803" s="1733"/>
      <c r="P803" s="1736"/>
      <c r="Q803" s="1722"/>
    </row>
    <row r="804">
      <c r="A804" s="1732"/>
      <c r="C804" s="1706"/>
      <c r="D804" s="1706"/>
      <c r="E804" s="1706"/>
      <c r="F804" s="1733"/>
      <c r="G804" s="1734"/>
      <c r="H804" s="1733"/>
      <c r="I804" s="1706"/>
      <c r="J804" s="1734"/>
      <c r="K804" s="1733"/>
      <c r="L804" s="1734"/>
      <c r="M804" s="1735"/>
      <c r="N804" s="1733"/>
      <c r="P804" s="1736"/>
      <c r="Q804" s="1722"/>
    </row>
    <row r="805">
      <c r="A805" s="1732"/>
      <c r="C805" s="1706"/>
      <c r="D805" s="1706"/>
      <c r="E805" s="1706"/>
      <c r="F805" s="1733"/>
      <c r="G805" s="1734"/>
      <c r="H805" s="1733"/>
      <c r="I805" s="1706"/>
      <c r="J805" s="1734"/>
      <c r="K805" s="1733"/>
      <c r="L805" s="1734"/>
      <c r="M805" s="1735"/>
      <c r="N805" s="1733"/>
      <c r="P805" s="1736"/>
      <c r="Q805" s="1722"/>
    </row>
    <row r="806">
      <c r="A806" s="1732"/>
      <c r="C806" s="1706"/>
      <c r="D806" s="1706"/>
      <c r="E806" s="1706"/>
      <c r="F806" s="1733"/>
      <c r="G806" s="1734"/>
      <c r="H806" s="1733"/>
      <c r="I806" s="1706"/>
      <c r="J806" s="1734"/>
      <c r="K806" s="1733"/>
      <c r="L806" s="1734"/>
      <c r="M806" s="1735"/>
      <c r="N806" s="1733"/>
      <c r="P806" s="1736"/>
      <c r="Q806" s="1722"/>
    </row>
    <row r="807">
      <c r="A807" s="1732"/>
      <c r="C807" s="1706"/>
      <c r="D807" s="1706"/>
      <c r="E807" s="1706"/>
      <c r="F807" s="1733"/>
      <c r="G807" s="1734"/>
      <c r="H807" s="1733"/>
      <c r="I807" s="1706"/>
      <c r="J807" s="1734"/>
      <c r="K807" s="1733"/>
      <c r="L807" s="1734"/>
      <c r="M807" s="1735"/>
      <c r="N807" s="1733"/>
      <c r="P807" s="1736"/>
      <c r="Q807" s="1722"/>
    </row>
    <row r="808">
      <c r="A808" s="1732"/>
      <c r="C808" s="1706"/>
      <c r="D808" s="1706"/>
      <c r="E808" s="1706"/>
      <c r="F808" s="1733"/>
      <c r="G808" s="1734"/>
      <c r="H808" s="1733"/>
      <c r="I808" s="1706"/>
      <c r="J808" s="1734"/>
      <c r="K808" s="1733"/>
      <c r="L808" s="1734"/>
      <c r="M808" s="1735"/>
      <c r="N808" s="1733"/>
      <c r="P808" s="1736"/>
      <c r="Q808" s="1722"/>
    </row>
    <row r="809">
      <c r="A809" s="1732"/>
      <c r="C809" s="1706"/>
      <c r="D809" s="1706"/>
      <c r="E809" s="1706"/>
      <c r="F809" s="1733"/>
      <c r="G809" s="1734"/>
      <c r="H809" s="1733"/>
      <c r="I809" s="1706"/>
      <c r="J809" s="1734"/>
      <c r="K809" s="1733"/>
      <c r="L809" s="1734"/>
      <c r="M809" s="1735"/>
      <c r="N809" s="1733"/>
      <c r="P809" s="1736"/>
      <c r="Q809" s="1722"/>
    </row>
    <row r="810">
      <c r="A810" s="1732"/>
      <c r="C810" s="1706"/>
      <c r="D810" s="1706"/>
      <c r="E810" s="1706"/>
      <c r="F810" s="1733"/>
      <c r="G810" s="1734"/>
      <c r="H810" s="1733"/>
      <c r="I810" s="1706"/>
      <c r="J810" s="1734"/>
      <c r="K810" s="1733"/>
      <c r="L810" s="1734"/>
      <c r="M810" s="1735"/>
      <c r="N810" s="1733"/>
      <c r="P810" s="1736"/>
      <c r="Q810" s="1722"/>
    </row>
    <row r="811">
      <c r="A811" s="1732"/>
      <c r="C811" s="1706"/>
      <c r="D811" s="1706"/>
      <c r="E811" s="1706"/>
      <c r="F811" s="1733"/>
      <c r="G811" s="1734"/>
      <c r="H811" s="1733"/>
      <c r="I811" s="1706"/>
      <c r="J811" s="1734"/>
      <c r="K811" s="1733"/>
      <c r="L811" s="1734"/>
      <c r="M811" s="1735"/>
      <c r="N811" s="1733"/>
      <c r="P811" s="1736"/>
      <c r="Q811" s="1722"/>
    </row>
    <row r="812">
      <c r="A812" s="1732"/>
      <c r="C812" s="1706"/>
      <c r="D812" s="1706"/>
      <c r="E812" s="1706"/>
      <c r="F812" s="1733"/>
      <c r="G812" s="1734"/>
      <c r="H812" s="1733"/>
      <c r="I812" s="1706"/>
      <c r="J812" s="1734"/>
      <c r="K812" s="1733"/>
      <c r="L812" s="1734"/>
      <c r="M812" s="1735"/>
      <c r="N812" s="1733"/>
      <c r="P812" s="1736"/>
      <c r="Q812" s="1722"/>
    </row>
    <row r="813">
      <c r="A813" s="1732"/>
      <c r="C813" s="1706"/>
      <c r="D813" s="1706"/>
      <c r="E813" s="1706"/>
      <c r="F813" s="1733"/>
      <c r="G813" s="1734"/>
      <c r="H813" s="1733"/>
      <c r="I813" s="1706"/>
      <c r="J813" s="1734"/>
      <c r="K813" s="1733"/>
      <c r="L813" s="1734"/>
      <c r="M813" s="1735"/>
      <c r="N813" s="1733"/>
      <c r="P813" s="1736"/>
      <c r="Q813" s="1722"/>
    </row>
    <row r="814">
      <c r="A814" s="1732"/>
      <c r="C814" s="1706"/>
      <c r="D814" s="1706"/>
      <c r="E814" s="1706"/>
      <c r="F814" s="1733"/>
      <c r="G814" s="1734"/>
      <c r="H814" s="1733"/>
      <c r="I814" s="1706"/>
      <c r="J814" s="1734"/>
      <c r="K814" s="1733"/>
      <c r="L814" s="1734"/>
      <c r="M814" s="1735"/>
      <c r="N814" s="1733"/>
      <c r="P814" s="1736"/>
      <c r="Q814" s="1722"/>
    </row>
    <row r="815">
      <c r="A815" s="1732"/>
      <c r="C815" s="1706"/>
      <c r="D815" s="1706"/>
      <c r="E815" s="1706"/>
      <c r="F815" s="1733"/>
      <c r="G815" s="1734"/>
      <c r="H815" s="1733"/>
      <c r="I815" s="1706"/>
      <c r="J815" s="1734"/>
      <c r="K815" s="1733"/>
      <c r="L815" s="1734"/>
      <c r="M815" s="1735"/>
      <c r="N815" s="1733"/>
      <c r="P815" s="1736"/>
      <c r="Q815" s="1722"/>
    </row>
    <row r="816">
      <c r="A816" s="1732"/>
      <c r="C816" s="1706"/>
      <c r="D816" s="1706"/>
      <c r="E816" s="1706"/>
      <c r="F816" s="1733"/>
      <c r="G816" s="1734"/>
      <c r="H816" s="1733"/>
      <c r="I816" s="1706"/>
      <c r="J816" s="1734"/>
      <c r="K816" s="1733"/>
      <c r="L816" s="1734"/>
      <c r="M816" s="1735"/>
      <c r="N816" s="1733"/>
      <c r="P816" s="1736"/>
      <c r="Q816" s="1722"/>
    </row>
    <row r="817">
      <c r="A817" s="1732"/>
      <c r="C817" s="1706"/>
      <c r="D817" s="1706"/>
      <c r="E817" s="1706"/>
      <c r="F817" s="1733"/>
      <c r="G817" s="1734"/>
      <c r="H817" s="1733"/>
      <c r="I817" s="1706"/>
      <c r="J817" s="1734"/>
      <c r="K817" s="1733"/>
      <c r="L817" s="1734"/>
      <c r="M817" s="1735"/>
      <c r="N817" s="1733"/>
      <c r="P817" s="1736"/>
      <c r="Q817" s="1722"/>
    </row>
    <row r="818">
      <c r="A818" s="1732"/>
      <c r="C818" s="1706"/>
      <c r="D818" s="1706"/>
      <c r="E818" s="1706"/>
      <c r="F818" s="1733"/>
      <c r="G818" s="1734"/>
      <c r="H818" s="1733"/>
      <c r="I818" s="1706"/>
      <c r="J818" s="1734"/>
      <c r="K818" s="1733"/>
      <c r="L818" s="1734"/>
      <c r="M818" s="1735"/>
      <c r="N818" s="1733"/>
      <c r="P818" s="1736"/>
      <c r="Q818" s="1722"/>
    </row>
    <row r="819">
      <c r="A819" s="1732"/>
      <c r="C819" s="1706"/>
      <c r="D819" s="1706"/>
      <c r="E819" s="1706"/>
      <c r="F819" s="1733"/>
      <c r="G819" s="1734"/>
      <c r="H819" s="1733"/>
      <c r="I819" s="1706"/>
      <c r="J819" s="1734"/>
      <c r="K819" s="1733"/>
      <c r="L819" s="1734"/>
      <c r="M819" s="1735"/>
      <c r="N819" s="1733"/>
      <c r="P819" s="1736"/>
      <c r="Q819" s="1722"/>
    </row>
    <row r="820">
      <c r="A820" s="1732"/>
      <c r="C820" s="1706"/>
      <c r="D820" s="1706"/>
      <c r="E820" s="1706"/>
      <c r="F820" s="1733"/>
      <c r="G820" s="1734"/>
      <c r="H820" s="1733"/>
      <c r="I820" s="1706"/>
      <c r="J820" s="1734"/>
      <c r="K820" s="1733"/>
      <c r="L820" s="1734"/>
      <c r="M820" s="1735"/>
      <c r="N820" s="1733"/>
      <c r="P820" s="1736"/>
      <c r="Q820" s="1722"/>
    </row>
    <row r="821">
      <c r="A821" s="1732"/>
      <c r="C821" s="1706"/>
      <c r="D821" s="1706"/>
      <c r="E821" s="1706"/>
      <c r="F821" s="1733"/>
      <c r="G821" s="1734"/>
      <c r="H821" s="1733"/>
      <c r="I821" s="1706"/>
      <c r="J821" s="1734"/>
      <c r="K821" s="1733"/>
      <c r="L821" s="1734"/>
      <c r="M821" s="1735"/>
      <c r="N821" s="1733"/>
      <c r="P821" s="1736"/>
      <c r="Q821" s="1722"/>
    </row>
    <row r="822">
      <c r="A822" s="1732"/>
      <c r="C822" s="1706"/>
      <c r="D822" s="1706"/>
      <c r="E822" s="1706"/>
      <c r="F822" s="1733"/>
      <c r="G822" s="1734"/>
      <c r="H822" s="1733"/>
      <c r="I822" s="1706"/>
      <c r="J822" s="1734"/>
      <c r="K822" s="1733"/>
      <c r="L822" s="1734"/>
      <c r="M822" s="1735"/>
      <c r="N822" s="1733"/>
      <c r="P822" s="1736"/>
      <c r="Q822" s="1722"/>
    </row>
    <row r="823">
      <c r="A823" s="1732"/>
      <c r="C823" s="1706"/>
      <c r="D823" s="1706"/>
      <c r="E823" s="1706"/>
      <c r="F823" s="1733"/>
      <c r="G823" s="1734"/>
      <c r="H823" s="1733"/>
      <c r="I823" s="1706"/>
      <c r="J823" s="1734"/>
      <c r="K823" s="1733"/>
      <c r="L823" s="1734"/>
      <c r="M823" s="1735"/>
      <c r="N823" s="1733"/>
      <c r="P823" s="1736"/>
      <c r="Q823" s="1722"/>
    </row>
    <row r="824">
      <c r="A824" s="1732"/>
      <c r="C824" s="1706"/>
      <c r="D824" s="1706"/>
      <c r="E824" s="1706"/>
      <c r="F824" s="1733"/>
      <c r="G824" s="1734"/>
      <c r="H824" s="1733"/>
      <c r="I824" s="1706"/>
      <c r="J824" s="1734"/>
      <c r="K824" s="1733"/>
      <c r="L824" s="1734"/>
      <c r="M824" s="1735"/>
      <c r="N824" s="1733"/>
      <c r="P824" s="1736"/>
      <c r="Q824" s="1722"/>
    </row>
    <row r="825">
      <c r="A825" s="1732"/>
      <c r="C825" s="1706"/>
      <c r="D825" s="1706"/>
      <c r="E825" s="1706"/>
      <c r="F825" s="1733"/>
      <c r="G825" s="1734"/>
      <c r="H825" s="1733"/>
      <c r="I825" s="1706"/>
      <c r="J825" s="1734"/>
      <c r="K825" s="1733"/>
      <c r="L825" s="1734"/>
      <c r="M825" s="1735"/>
      <c r="N825" s="1733"/>
      <c r="P825" s="1736"/>
      <c r="Q825" s="1722"/>
    </row>
    <row r="826">
      <c r="A826" s="1732"/>
      <c r="C826" s="1706"/>
      <c r="D826" s="1706"/>
      <c r="E826" s="1706"/>
      <c r="F826" s="1733"/>
      <c r="G826" s="1734"/>
      <c r="H826" s="1733"/>
      <c r="I826" s="1706"/>
      <c r="J826" s="1734"/>
      <c r="K826" s="1733"/>
      <c r="L826" s="1734"/>
      <c r="M826" s="1735"/>
      <c r="N826" s="1733"/>
      <c r="P826" s="1736"/>
      <c r="Q826" s="1722"/>
    </row>
    <row r="827">
      <c r="A827" s="1732"/>
      <c r="C827" s="1706"/>
      <c r="D827" s="1706"/>
      <c r="E827" s="1706"/>
      <c r="F827" s="1733"/>
      <c r="G827" s="1734"/>
      <c r="H827" s="1733"/>
      <c r="I827" s="1706"/>
      <c r="J827" s="1734"/>
      <c r="K827" s="1733"/>
      <c r="L827" s="1734"/>
      <c r="M827" s="1735"/>
      <c r="N827" s="1733"/>
      <c r="P827" s="1736"/>
      <c r="Q827" s="1722"/>
    </row>
    <row r="828">
      <c r="A828" s="1732"/>
      <c r="C828" s="1706"/>
      <c r="D828" s="1706"/>
      <c r="E828" s="1706"/>
      <c r="F828" s="1733"/>
      <c r="G828" s="1734"/>
      <c r="H828" s="1733"/>
      <c r="I828" s="1706"/>
      <c r="J828" s="1734"/>
      <c r="K828" s="1733"/>
      <c r="L828" s="1734"/>
      <c r="M828" s="1735"/>
      <c r="N828" s="1733"/>
      <c r="P828" s="1736"/>
      <c r="Q828" s="1722"/>
    </row>
    <row r="829">
      <c r="A829" s="1732"/>
      <c r="C829" s="1706"/>
      <c r="D829" s="1706"/>
      <c r="E829" s="1706"/>
      <c r="F829" s="1733"/>
      <c r="G829" s="1734"/>
      <c r="H829" s="1733"/>
      <c r="I829" s="1706"/>
      <c r="J829" s="1734"/>
      <c r="K829" s="1733"/>
      <c r="L829" s="1734"/>
      <c r="M829" s="1735"/>
      <c r="N829" s="1733"/>
      <c r="P829" s="1736"/>
      <c r="Q829" s="1722"/>
    </row>
    <row r="830">
      <c r="A830" s="1732"/>
      <c r="C830" s="1706"/>
      <c r="D830" s="1706"/>
      <c r="E830" s="1706"/>
      <c r="F830" s="1733"/>
      <c r="G830" s="1734"/>
      <c r="H830" s="1733"/>
      <c r="I830" s="1706"/>
      <c r="J830" s="1734"/>
      <c r="K830" s="1733"/>
      <c r="L830" s="1734"/>
      <c r="M830" s="1735"/>
      <c r="N830" s="1733"/>
      <c r="P830" s="1736"/>
      <c r="Q830" s="1722"/>
    </row>
    <row r="831">
      <c r="A831" s="1732"/>
      <c r="C831" s="1706"/>
      <c r="D831" s="1706"/>
      <c r="E831" s="1706"/>
      <c r="F831" s="1733"/>
      <c r="G831" s="1734"/>
      <c r="H831" s="1733"/>
      <c r="I831" s="1706"/>
      <c r="J831" s="1734"/>
      <c r="K831" s="1733"/>
      <c r="L831" s="1734"/>
      <c r="M831" s="1735"/>
      <c r="N831" s="1733"/>
      <c r="P831" s="1736"/>
      <c r="Q831" s="1722"/>
    </row>
    <row r="832">
      <c r="A832" s="1732"/>
      <c r="C832" s="1706"/>
      <c r="D832" s="1706"/>
      <c r="E832" s="1706"/>
      <c r="F832" s="1733"/>
      <c r="G832" s="1734"/>
      <c r="H832" s="1733"/>
      <c r="I832" s="1706"/>
      <c r="J832" s="1734"/>
      <c r="K832" s="1733"/>
      <c r="L832" s="1734"/>
      <c r="M832" s="1735"/>
      <c r="N832" s="1733"/>
      <c r="P832" s="1736"/>
      <c r="Q832" s="1722"/>
    </row>
    <row r="833">
      <c r="A833" s="1732"/>
      <c r="C833" s="1706"/>
      <c r="D833" s="1706"/>
      <c r="E833" s="1706"/>
      <c r="F833" s="1733"/>
      <c r="G833" s="1734"/>
      <c r="H833" s="1733"/>
      <c r="I833" s="1706"/>
      <c r="J833" s="1734"/>
      <c r="K833" s="1733"/>
      <c r="L833" s="1734"/>
      <c r="M833" s="1735"/>
      <c r="N833" s="1733"/>
      <c r="P833" s="1736"/>
      <c r="Q833" s="1722"/>
    </row>
    <row r="834">
      <c r="A834" s="1732"/>
      <c r="C834" s="1706"/>
      <c r="D834" s="1706"/>
      <c r="E834" s="1706"/>
      <c r="F834" s="1733"/>
      <c r="G834" s="1734"/>
      <c r="H834" s="1733"/>
      <c r="I834" s="1706"/>
      <c r="J834" s="1734"/>
      <c r="K834" s="1733"/>
      <c r="L834" s="1734"/>
      <c r="M834" s="1735"/>
      <c r="N834" s="1733"/>
      <c r="P834" s="1736"/>
      <c r="Q834" s="1722"/>
    </row>
    <row r="835">
      <c r="A835" s="1732"/>
      <c r="C835" s="1706"/>
      <c r="D835" s="1706"/>
      <c r="E835" s="1706"/>
      <c r="F835" s="1733"/>
      <c r="G835" s="1734"/>
      <c r="H835" s="1733"/>
      <c r="I835" s="1706"/>
      <c r="J835" s="1734"/>
      <c r="K835" s="1733"/>
      <c r="L835" s="1734"/>
      <c r="M835" s="1735"/>
      <c r="N835" s="1733"/>
      <c r="P835" s="1736"/>
      <c r="Q835" s="1722"/>
    </row>
    <row r="836">
      <c r="A836" s="1732"/>
      <c r="C836" s="1706"/>
      <c r="D836" s="1706"/>
      <c r="E836" s="1706"/>
      <c r="F836" s="1733"/>
      <c r="G836" s="1734"/>
      <c r="H836" s="1733"/>
      <c r="I836" s="1706"/>
      <c r="J836" s="1734"/>
      <c r="K836" s="1733"/>
      <c r="L836" s="1734"/>
      <c r="M836" s="1735"/>
      <c r="N836" s="1733"/>
      <c r="P836" s="1736"/>
      <c r="Q836" s="1722"/>
    </row>
    <row r="837">
      <c r="A837" s="1732"/>
      <c r="C837" s="1706"/>
      <c r="D837" s="1706"/>
      <c r="E837" s="1706"/>
      <c r="F837" s="1733"/>
      <c r="G837" s="1734"/>
      <c r="H837" s="1733"/>
      <c r="I837" s="1706"/>
      <c r="J837" s="1734"/>
      <c r="K837" s="1733"/>
      <c r="L837" s="1734"/>
      <c r="M837" s="1735"/>
      <c r="N837" s="1733"/>
      <c r="P837" s="1736"/>
      <c r="Q837" s="1722"/>
    </row>
    <row r="838">
      <c r="A838" s="1732"/>
      <c r="C838" s="1706"/>
      <c r="D838" s="1706"/>
      <c r="E838" s="1706"/>
      <c r="F838" s="1733"/>
      <c r="G838" s="1734"/>
      <c r="H838" s="1733"/>
      <c r="I838" s="1706"/>
      <c r="J838" s="1734"/>
      <c r="K838" s="1733"/>
      <c r="L838" s="1734"/>
      <c r="M838" s="1735"/>
      <c r="N838" s="1733"/>
      <c r="P838" s="1736"/>
      <c r="Q838" s="1722"/>
    </row>
    <row r="839">
      <c r="A839" s="1732"/>
      <c r="C839" s="1706"/>
      <c r="D839" s="1706"/>
      <c r="E839" s="1706"/>
      <c r="F839" s="1733"/>
      <c r="G839" s="1734"/>
      <c r="H839" s="1733"/>
      <c r="I839" s="1706"/>
      <c r="J839" s="1734"/>
      <c r="K839" s="1733"/>
      <c r="L839" s="1734"/>
      <c r="M839" s="1735"/>
      <c r="N839" s="1733"/>
      <c r="P839" s="1736"/>
      <c r="Q839" s="1722"/>
    </row>
    <row r="840">
      <c r="A840" s="1732"/>
      <c r="C840" s="1706"/>
      <c r="D840" s="1706"/>
      <c r="E840" s="1706"/>
      <c r="F840" s="1733"/>
      <c r="G840" s="1734"/>
      <c r="H840" s="1733"/>
      <c r="I840" s="1706"/>
      <c r="J840" s="1734"/>
      <c r="K840" s="1733"/>
      <c r="L840" s="1734"/>
      <c r="M840" s="1735"/>
      <c r="N840" s="1733"/>
      <c r="P840" s="1736"/>
      <c r="Q840" s="1722"/>
    </row>
    <row r="841">
      <c r="A841" s="1732"/>
      <c r="C841" s="1706"/>
      <c r="D841" s="1706"/>
      <c r="E841" s="1706"/>
      <c r="F841" s="1733"/>
      <c r="G841" s="1734"/>
      <c r="H841" s="1733"/>
      <c r="I841" s="1706"/>
      <c r="J841" s="1734"/>
      <c r="K841" s="1733"/>
      <c r="L841" s="1734"/>
      <c r="M841" s="1735"/>
      <c r="N841" s="1733"/>
      <c r="P841" s="1736"/>
      <c r="Q841" s="1722"/>
    </row>
    <row r="842">
      <c r="A842" s="1732"/>
      <c r="C842" s="1706"/>
      <c r="D842" s="1706"/>
      <c r="E842" s="1706"/>
      <c r="F842" s="1733"/>
      <c r="G842" s="1734"/>
      <c r="H842" s="1733"/>
      <c r="I842" s="1706"/>
      <c r="J842" s="1734"/>
      <c r="K842" s="1733"/>
      <c r="L842" s="1734"/>
      <c r="M842" s="1735"/>
      <c r="N842" s="1733"/>
      <c r="P842" s="1736"/>
      <c r="Q842" s="1722"/>
    </row>
    <row r="843">
      <c r="A843" s="1732"/>
      <c r="C843" s="1706"/>
      <c r="D843" s="1706"/>
      <c r="E843" s="1706"/>
      <c r="F843" s="1733"/>
      <c r="G843" s="1734"/>
      <c r="H843" s="1733"/>
      <c r="I843" s="1706"/>
      <c r="J843" s="1734"/>
      <c r="K843" s="1733"/>
      <c r="L843" s="1734"/>
      <c r="M843" s="1735"/>
      <c r="N843" s="1733"/>
      <c r="P843" s="1736"/>
      <c r="Q843" s="1722"/>
    </row>
    <row r="844">
      <c r="A844" s="1732"/>
      <c r="C844" s="1706"/>
      <c r="D844" s="1706"/>
      <c r="E844" s="1706"/>
      <c r="F844" s="1733"/>
      <c r="G844" s="1734"/>
      <c r="H844" s="1733"/>
      <c r="I844" s="1706"/>
      <c r="J844" s="1734"/>
      <c r="K844" s="1733"/>
      <c r="L844" s="1734"/>
      <c r="M844" s="1735"/>
      <c r="N844" s="1733"/>
      <c r="P844" s="1736"/>
      <c r="Q844" s="1722"/>
    </row>
    <row r="845">
      <c r="A845" s="1732"/>
      <c r="C845" s="1706"/>
      <c r="D845" s="1706"/>
      <c r="E845" s="1706"/>
      <c r="F845" s="1733"/>
      <c r="G845" s="1734"/>
      <c r="H845" s="1733"/>
      <c r="I845" s="1706"/>
      <c r="J845" s="1734"/>
      <c r="K845" s="1733"/>
      <c r="L845" s="1734"/>
      <c r="M845" s="1735"/>
      <c r="N845" s="1733"/>
      <c r="P845" s="1736"/>
      <c r="Q845" s="1722"/>
    </row>
    <row r="846">
      <c r="A846" s="1732"/>
      <c r="C846" s="1706"/>
      <c r="D846" s="1706"/>
      <c r="E846" s="1706"/>
      <c r="F846" s="1733"/>
      <c r="G846" s="1734"/>
      <c r="H846" s="1733"/>
      <c r="I846" s="1706"/>
      <c r="J846" s="1734"/>
      <c r="K846" s="1733"/>
      <c r="L846" s="1734"/>
      <c r="M846" s="1735"/>
      <c r="N846" s="1733"/>
      <c r="P846" s="1736"/>
      <c r="Q846" s="1722"/>
    </row>
    <row r="847">
      <c r="A847" s="1732"/>
      <c r="C847" s="1706"/>
      <c r="D847" s="1706"/>
      <c r="E847" s="1706"/>
      <c r="F847" s="1733"/>
      <c r="G847" s="1734"/>
      <c r="H847" s="1733"/>
      <c r="I847" s="1706"/>
      <c r="J847" s="1734"/>
      <c r="K847" s="1733"/>
      <c r="L847" s="1734"/>
      <c r="M847" s="1735"/>
      <c r="N847" s="1733"/>
      <c r="P847" s="1736"/>
      <c r="Q847" s="1722"/>
    </row>
    <row r="848">
      <c r="A848" s="1732"/>
      <c r="C848" s="1706"/>
      <c r="D848" s="1706"/>
      <c r="E848" s="1706"/>
      <c r="F848" s="1733"/>
      <c r="G848" s="1734"/>
      <c r="H848" s="1733"/>
      <c r="I848" s="1706"/>
      <c r="J848" s="1734"/>
      <c r="K848" s="1733"/>
      <c r="L848" s="1734"/>
      <c r="M848" s="1735"/>
      <c r="N848" s="1733"/>
      <c r="P848" s="1736"/>
      <c r="Q848" s="1722"/>
    </row>
    <row r="849">
      <c r="A849" s="1732"/>
      <c r="C849" s="1706"/>
      <c r="D849" s="1706"/>
      <c r="E849" s="1706"/>
      <c r="F849" s="1733"/>
      <c r="G849" s="1734"/>
      <c r="H849" s="1733"/>
      <c r="I849" s="1706"/>
      <c r="J849" s="1734"/>
      <c r="K849" s="1733"/>
      <c r="L849" s="1734"/>
      <c r="M849" s="1735"/>
      <c r="N849" s="1733"/>
      <c r="P849" s="1736"/>
      <c r="Q849" s="1722"/>
    </row>
    <row r="850">
      <c r="A850" s="1732"/>
      <c r="C850" s="1706"/>
      <c r="D850" s="1706"/>
      <c r="E850" s="1706"/>
      <c r="F850" s="1733"/>
      <c r="G850" s="1734"/>
      <c r="H850" s="1733"/>
      <c r="I850" s="1706"/>
      <c r="J850" s="1734"/>
      <c r="K850" s="1733"/>
      <c r="L850" s="1734"/>
      <c r="M850" s="1735"/>
      <c r="N850" s="1733"/>
      <c r="P850" s="1736"/>
      <c r="Q850" s="1722"/>
    </row>
    <row r="851">
      <c r="A851" s="1732"/>
      <c r="C851" s="1706"/>
      <c r="D851" s="1706"/>
      <c r="E851" s="1706"/>
      <c r="F851" s="1733"/>
      <c r="G851" s="1734"/>
      <c r="H851" s="1733"/>
      <c r="I851" s="1706"/>
      <c r="J851" s="1734"/>
      <c r="K851" s="1733"/>
      <c r="L851" s="1734"/>
      <c r="M851" s="1735"/>
      <c r="N851" s="1733"/>
      <c r="P851" s="1736"/>
      <c r="Q851" s="1722"/>
    </row>
    <row r="852">
      <c r="A852" s="1732"/>
      <c r="C852" s="1706"/>
      <c r="D852" s="1706"/>
      <c r="E852" s="1706"/>
      <c r="F852" s="1733"/>
      <c r="G852" s="1734"/>
      <c r="H852" s="1733"/>
      <c r="I852" s="1706"/>
      <c r="J852" s="1734"/>
      <c r="K852" s="1733"/>
      <c r="L852" s="1734"/>
      <c r="M852" s="1735"/>
      <c r="N852" s="1733"/>
      <c r="P852" s="1736"/>
      <c r="Q852" s="1722"/>
    </row>
    <row r="853">
      <c r="A853" s="1732"/>
      <c r="C853" s="1706"/>
      <c r="D853" s="1706"/>
      <c r="E853" s="1706"/>
      <c r="F853" s="1733"/>
      <c r="G853" s="1734"/>
      <c r="H853" s="1733"/>
      <c r="I853" s="1706"/>
      <c r="J853" s="1734"/>
      <c r="K853" s="1733"/>
      <c r="L853" s="1734"/>
      <c r="M853" s="1735"/>
      <c r="N853" s="1733"/>
      <c r="P853" s="1736"/>
      <c r="Q853" s="1722"/>
    </row>
    <row r="854">
      <c r="A854" s="1732"/>
      <c r="C854" s="1706"/>
      <c r="D854" s="1706"/>
      <c r="E854" s="1706"/>
      <c r="F854" s="1733"/>
      <c r="G854" s="1734"/>
      <c r="H854" s="1733"/>
      <c r="I854" s="1706"/>
      <c r="J854" s="1734"/>
      <c r="K854" s="1733"/>
      <c r="L854" s="1734"/>
      <c r="M854" s="1735"/>
      <c r="N854" s="1733"/>
      <c r="P854" s="1736"/>
      <c r="Q854" s="1722"/>
    </row>
    <row r="855">
      <c r="A855" s="1732"/>
      <c r="C855" s="1706"/>
      <c r="D855" s="1706"/>
      <c r="E855" s="1706"/>
      <c r="F855" s="1733"/>
      <c r="G855" s="1734"/>
      <c r="H855" s="1733"/>
      <c r="I855" s="1706"/>
      <c r="J855" s="1734"/>
      <c r="K855" s="1733"/>
      <c r="L855" s="1734"/>
      <c r="M855" s="1735"/>
      <c r="N855" s="1733"/>
      <c r="P855" s="1736"/>
      <c r="Q855" s="1722"/>
    </row>
    <row r="856">
      <c r="A856" s="1732"/>
      <c r="C856" s="1706"/>
      <c r="D856" s="1706"/>
      <c r="E856" s="1706"/>
      <c r="F856" s="1733"/>
      <c r="G856" s="1734"/>
      <c r="H856" s="1733"/>
      <c r="I856" s="1706"/>
      <c r="J856" s="1734"/>
      <c r="K856" s="1733"/>
      <c r="L856" s="1734"/>
      <c r="M856" s="1735"/>
      <c r="N856" s="1733"/>
      <c r="P856" s="1736"/>
      <c r="Q856" s="1722"/>
    </row>
    <row r="857">
      <c r="A857" s="1732"/>
      <c r="C857" s="1706"/>
      <c r="D857" s="1706"/>
      <c r="E857" s="1706"/>
      <c r="F857" s="1733"/>
      <c r="G857" s="1734"/>
      <c r="H857" s="1733"/>
      <c r="I857" s="1706"/>
      <c r="J857" s="1734"/>
      <c r="K857" s="1733"/>
      <c r="L857" s="1734"/>
      <c r="M857" s="1735"/>
      <c r="N857" s="1733"/>
      <c r="P857" s="1736"/>
      <c r="Q857" s="1722"/>
    </row>
    <row r="858">
      <c r="A858" s="1732"/>
      <c r="C858" s="1706"/>
      <c r="D858" s="1706"/>
      <c r="E858" s="1706"/>
      <c r="F858" s="1733"/>
      <c r="G858" s="1734"/>
      <c r="H858" s="1733"/>
      <c r="I858" s="1706"/>
      <c r="J858" s="1734"/>
      <c r="K858" s="1733"/>
      <c r="L858" s="1734"/>
      <c r="M858" s="1735"/>
      <c r="N858" s="1733"/>
      <c r="P858" s="1736"/>
      <c r="Q858" s="1722"/>
    </row>
    <row r="859">
      <c r="A859" s="1732"/>
      <c r="C859" s="1706"/>
      <c r="D859" s="1706"/>
      <c r="E859" s="1706"/>
      <c r="F859" s="1733"/>
      <c r="G859" s="1734"/>
      <c r="H859" s="1733"/>
      <c r="I859" s="1706"/>
      <c r="J859" s="1734"/>
      <c r="K859" s="1733"/>
      <c r="L859" s="1734"/>
      <c r="M859" s="1735"/>
      <c r="N859" s="1733"/>
      <c r="P859" s="1736"/>
      <c r="Q859" s="1722"/>
    </row>
    <row r="860">
      <c r="A860" s="1732"/>
      <c r="C860" s="1706"/>
      <c r="D860" s="1706"/>
      <c r="E860" s="1706"/>
      <c r="F860" s="1733"/>
      <c r="G860" s="1734"/>
      <c r="H860" s="1733"/>
      <c r="I860" s="1706"/>
      <c r="J860" s="1734"/>
      <c r="K860" s="1733"/>
      <c r="L860" s="1734"/>
      <c r="M860" s="1735"/>
      <c r="N860" s="1733"/>
      <c r="P860" s="1736"/>
      <c r="Q860" s="1722"/>
    </row>
    <row r="861">
      <c r="A861" s="1732"/>
      <c r="C861" s="1706"/>
      <c r="D861" s="1706"/>
      <c r="E861" s="1706"/>
      <c r="F861" s="1733"/>
      <c r="G861" s="1734"/>
      <c r="H861" s="1733"/>
      <c r="I861" s="1706"/>
      <c r="J861" s="1734"/>
      <c r="K861" s="1733"/>
      <c r="L861" s="1734"/>
      <c r="M861" s="1735"/>
      <c r="N861" s="1733"/>
      <c r="P861" s="1736"/>
      <c r="Q861" s="1722"/>
    </row>
    <row r="862">
      <c r="A862" s="1732"/>
      <c r="C862" s="1706"/>
      <c r="D862" s="1706"/>
      <c r="E862" s="1706"/>
      <c r="F862" s="1733"/>
      <c r="G862" s="1734"/>
      <c r="H862" s="1733"/>
      <c r="I862" s="1706"/>
      <c r="J862" s="1734"/>
      <c r="K862" s="1733"/>
      <c r="L862" s="1734"/>
      <c r="M862" s="1735"/>
      <c r="N862" s="1733"/>
      <c r="P862" s="1736"/>
      <c r="Q862" s="1722"/>
    </row>
    <row r="863">
      <c r="A863" s="1732"/>
      <c r="C863" s="1706"/>
      <c r="D863" s="1706"/>
      <c r="E863" s="1706"/>
      <c r="F863" s="1733"/>
      <c r="G863" s="1734"/>
      <c r="H863" s="1733"/>
      <c r="I863" s="1706"/>
      <c r="J863" s="1734"/>
      <c r="K863" s="1733"/>
      <c r="L863" s="1734"/>
      <c r="M863" s="1735"/>
      <c r="N863" s="1733"/>
      <c r="P863" s="1736"/>
      <c r="Q863" s="1722"/>
    </row>
    <row r="864">
      <c r="A864" s="1732"/>
      <c r="C864" s="1706"/>
      <c r="D864" s="1706"/>
      <c r="E864" s="1706"/>
      <c r="F864" s="1733"/>
      <c r="G864" s="1734"/>
      <c r="H864" s="1733"/>
      <c r="I864" s="1706"/>
      <c r="J864" s="1734"/>
      <c r="K864" s="1733"/>
      <c r="L864" s="1734"/>
      <c r="M864" s="1735"/>
      <c r="N864" s="1733"/>
      <c r="P864" s="1736"/>
      <c r="Q864" s="1722"/>
    </row>
    <row r="865">
      <c r="A865" s="1732"/>
      <c r="C865" s="1706"/>
      <c r="D865" s="1706"/>
      <c r="E865" s="1706"/>
      <c r="F865" s="1733"/>
      <c r="G865" s="1734"/>
      <c r="H865" s="1733"/>
      <c r="I865" s="1706"/>
      <c r="J865" s="1734"/>
      <c r="K865" s="1733"/>
      <c r="L865" s="1734"/>
      <c r="M865" s="1735"/>
      <c r="N865" s="1733"/>
      <c r="P865" s="1736"/>
      <c r="Q865" s="1722"/>
    </row>
    <row r="866">
      <c r="A866" s="1732"/>
      <c r="C866" s="1706"/>
      <c r="D866" s="1706"/>
      <c r="E866" s="1706"/>
      <c r="F866" s="1733"/>
      <c r="G866" s="1734"/>
      <c r="H866" s="1733"/>
      <c r="I866" s="1706"/>
      <c r="J866" s="1734"/>
      <c r="K866" s="1733"/>
      <c r="L866" s="1734"/>
      <c r="M866" s="1735"/>
      <c r="N866" s="1733"/>
      <c r="P866" s="1736"/>
      <c r="Q866" s="1722"/>
    </row>
    <row r="867">
      <c r="A867" s="1732"/>
      <c r="C867" s="1706"/>
      <c r="D867" s="1706"/>
      <c r="E867" s="1706"/>
      <c r="F867" s="1733"/>
      <c r="G867" s="1734"/>
      <c r="H867" s="1733"/>
      <c r="I867" s="1706"/>
      <c r="J867" s="1734"/>
      <c r="K867" s="1733"/>
      <c r="L867" s="1734"/>
      <c r="M867" s="1735"/>
      <c r="N867" s="1733"/>
      <c r="P867" s="1736"/>
      <c r="Q867" s="1722"/>
    </row>
    <row r="868">
      <c r="A868" s="1732"/>
      <c r="C868" s="1706"/>
      <c r="D868" s="1706"/>
      <c r="E868" s="1706"/>
      <c r="F868" s="1733"/>
      <c r="G868" s="1734"/>
      <c r="H868" s="1733"/>
      <c r="I868" s="1706"/>
      <c r="J868" s="1734"/>
      <c r="K868" s="1733"/>
      <c r="L868" s="1734"/>
      <c r="M868" s="1735"/>
      <c r="N868" s="1733"/>
      <c r="P868" s="1736"/>
      <c r="Q868" s="1722"/>
    </row>
    <row r="869">
      <c r="A869" s="1732"/>
      <c r="C869" s="1706"/>
      <c r="D869" s="1706"/>
      <c r="E869" s="1706"/>
      <c r="F869" s="1733"/>
      <c r="G869" s="1734"/>
      <c r="H869" s="1733"/>
      <c r="I869" s="1706"/>
      <c r="J869" s="1734"/>
      <c r="K869" s="1733"/>
      <c r="L869" s="1734"/>
      <c r="M869" s="1735"/>
      <c r="N869" s="1733"/>
      <c r="P869" s="1736"/>
      <c r="Q869" s="1722"/>
    </row>
    <row r="870">
      <c r="A870" s="1732"/>
      <c r="C870" s="1706"/>
      <c r="D870" s="1706"/>
      <c r="E870" s="1706"/>
      <c r="F870" s="1733"/>
      <c r="G870" s="1734"/>
      <c r="H870" s="1733"/>
      <c r="I870" s="1706"/>
      <c r="J870" s="1734"/>
      <c r="K870" s="1733"/>
      <c r="L870" s="1734"/>
      <c r="M870" s="1735"/>
      <c r="N870" s="1733"/>
      <c r="P870" s="1736"/>
      <c r="Q870" s="1722"/>
    </row>
    <row r="871">
      <c r="A871" s="1732"/>
      <c r="C871" s="1706"/>
      <c r="D871" s="1706"/>
      <c r="E871" s="1706"/>
      <c r="F871" s="1733"/>
      <c r="G871" s="1734"/>
      <c r="H871" s="1733"/>
      <c r="I871" s="1706"/>
      <c r="J871" s="1734"/>
      <c r="K871" s="1733"/>
      <c r="L871" s="1734"/>
      <c r="M871" s="1735"/>
      <c r="N871" s="1733"/>
      <c r="P871" s="1736"/>
      <c r="Q871" s="1722"/>
    </row>
    <row r="872">
      <c r="A872" s="1732"/>
      <c r="C872" s="1706"/>
      <c r="D872" s="1706"/>
      <c r="E872" s="1706"/>
      <c r="F872" s="1733"/>
      <c r="G872" s="1734"/>
      <c r="H872" s="1733"/>
      <c r="I872" s="1706"/>
      <c r="J872" s="1734"/>
      <c r="K872" s="1733"/>
      <c r="L872" s="1734"/>
      <c r="M872" s="1735"/>
      <c r="N872" s="1733"/>
      <c r="P872" s="1736"/>
      <c r="Q872" s="1722"/>
    </row>
    <row r="873">
      <c r="A873" s="1732"/>
      <c r="C873" s="1706"/>
      <c r="D873" s="1706"/>
      <c r="E873" s="1706"/>
      <c r="F873" s="1733"/>
      <c r="G873" s="1734"/>
      <c r="H873" s="1733"/>
      <c r="I873" s="1706"/>
      <c r="J873" s="1734"/>
      <c r="K873" s="1733"/>
      <c r="L873" s="1734"/>
      <c r="M873" s="1735"/>
      <c r="N873" s="1733"/>
      <c r="P873" s="1736"/>
      <c r="Q873" s="1722"/>
    </row>
    <row r="874">
      <c r="A874" s="1732"/>
      <c r="C874" s="1706"/>
      <c r="D874" s="1706"/>
      <c r="E874" s="1706"/>
      <c r="F874" s="1733"/>
      <c r="G874" s="1734"/>
      <c r="H874" s="1733"/>
      <c r="I874" s="1706"/>
      <c r="J874" s="1734"/>
      <c r="K874" s="1733"/>
      <c r="L874" s="1734"/>
      <c r="M874" s="1735"/>
      <c r="N874" s="1733"/>
      <c r="P874" s="1736"/>
      <c r="Q874" s="1722"/>
    </row>
    <row r="875">
      <c r="A875" s="1732"/>
      <c r="C875" s="1706"/>
      <c r="D875" s="1706"/>
      <c r="E875" s="1706"/>
      <c r="F875" s="1733"/>
      <c r="G875" s="1734"/>
      <c r="H875" s="1733"/>
      <c r="I875" s="1706"/>
      <c r="J875" s="1734"/>
      <c r="K875" s="1733"/>
      <c r="L875" s="1734"/>
      <c r="M875" s="1735"/>
      <c r="N875" s="1733"/>
      <c r="P875" s="1736"/>
      <c r="Q875" s="1722"/>
    </row>
    <row r="876">
      <c r="A876" s="1732"/>
      <c r="C876" s="1706"/>
      <c r="D876" s="1706"/>
      <c r="E876" s="1706"/>
      <c r="F876" s="1733"/>
      <c r="G876" s="1734"/>
      <c r="H876" s="1733"/>
      <c r="I876" s="1706"/>
      <c r="J876" s="1734"/>
      <c r="K876" s="1733"/>
      <c r="L876" s="1734"/>
      <c r="M876" s="1735"/>
      <c r="N876" s="1733"/>
      <c r="P876" s="1736"/>
      <c r="Q876" s="1722"/>
    </row>
    <row r="877">
      <c r="A877" s="1732"/>
      <c r="C877" s="1706"/>
      <c r="D877" s="1706"/>
      <c r="E877" s="1706"/>
      <c r="F877" s="1733"/>
      <c r="G877" s="1734"/>
      <c r="H877" s="1733"/>
      <c r="I877" s="1706"/>
      <c r="J877" s="1734"/>
      <c r="K877" s="1733"/>
      <c r="L877" s="1734"/>
      <c r="M877" s="1735"/>
      <c r="N877" s="1733"/>
      <c r="P877" s="1736"/>
      <c r="Q877" s="1722"/>
    </row>
    <row r="878">
      <c r="A878" s="1732"/>
      <c r="C878" s="1706"/>
      <c r="D878" s="1706"/>
      <c r="E878" s="1706"/>
      <c r="F878" s="1733"/>
      <c r="G878" s="1734"/>
      <c r="H878" s="1733"/>
      <c r="I878" s="1706"/>
      <c r="J878" s="1734"/>
      <c r="K878" s="1733"/>
      <c r="L878" s="1734"/>
      <c r="M878" s="1735"/>
      <c r="N878" s="1733"/>
      <c r="P878" s="1736"/>
      <c r="Q878" s="1722"/>
    </row>
    <row r="879">
      <c r="A879" s="1732"/>
      <c r="C879" s="1706"/>
      <c r="D879" s="1706"/>
      <c r="E879" s="1706"/>
      <c r="F879" s="1733"/>
      <c r="G879" s="1734"/>
      <c r="H879" s="1733"/>
      <c r="I879" s="1706"/>
      <c r="J879" s="1734"/>
      <c r="K879" s="1733"/>
      <c r="L879" s="1734"/>
      <c r="M879" s="1735"/>
      <c r="N879" s="1733"/>
      <c r="P879" s="1736"/>
      <c r="Q879" s="1722"/>
    </row>
    <row r="880">
      <c r="A880" s="1732"/>
      <c r="C880" s="1706"/>
      <c r="D880" s="1706"/>
      <c r="E880" s="1706"/>
      <c r="F880" s="1733"/>
      <c r="G880" s="1734"/>
      <c r="H880" s="1733"/>
      <c r="I880" s="1706"/>
      <c r="J880" s="1734"/>
      <c r="K880" s="1733"/>
      <c r="L880" s="1734"/>
      <c r="M880" s="1735"/>
      <c r="N880" s="1733"/>
      <c r="P880" s="1736"/>
      <c r="Q880" s="1722"/>
    </row>
    <row r="881">
      <c r="A881" s="1732"/>
      <c r="C881" s="1706"/>
      <c r="D881" s="1706"/>
      <c r="E881" s="1706"/>
      <c r="F881" s="1733"/>
      <c r="G881" s="1734"/>
      <c r="H881" s="1733"/>
      <c r="I881" s="1706"/>
      <c r="J881" s="1734"/>
      <c r="K881" s="1733"/>
      <c r="L881" s="1734"/>
      <c r="M881" s="1735"/>
      <c r="N881" s="1733"/>
      <c r="P881" s="1736"/>
      <c r="Q881" s="1722"/>
    </row>
    <row r="882">
      <c r="A882" s="1732"/>
      <c r="C882" s="1706"/>
      <c r="D882" s="1706"/>
      <c r="E882" s="1706"/>
      <c r="F882" s="1733"/>
      <c r="G882" s="1734"/>
      <c r="H882" s="1733"/>
      <c r="I882" s="1706"/>
      <c r="J882" s="1734"/>
      <c r="K882" s="1733"/>
      <c r="L882" s="1734"/>
      <c r="M882" s="1735"/>
      <c r="N882" s="1733"/>
      <c r="P882" s="1736"/>
      <c r="Q882" s="1722"/>
    </row>
    <row r="883">
      <c r="A883" s="1732"/>
      <c r="C883" s="1706"/>
      <c r="D883" s="1706"/>
      <c r="E883" s="1706"/>
      <c r="F883" s="1733"/>
      <c r="G883" s="1734"/>
      <c r="H883" s="1733"/>
      <c r="I883" s="1706"/>
      <c r="J883" s="1734"/>
      <c r="K883" s="1733"/>
      <c r="L883" s="1734"/>
      <c r="M883" s="1735"/>
      <c r="N883" s="1733"/>
      <c r="P883" s="1736"/>
      <c r="Q883" s="1722"/>
    </row>
    <row r="884">
      <c r="A884" s="1732"/>
      <c r="C884" s="1706"/>
      <c r="D884" s="1706"/>
      <c r="E884" s="1706"/>
      <c r="F884" s="1733"/>
      <c r="G884" s="1734"/>
      <c r="H884" s="1733"/>
      <c r="I884" s="1706"/>
      <c r="J884" s="1734"/>
      <c r="K884" s="1733"/>
      <c r="L884" s="1734"/>
      <c r="M884" s="1735"/>
      <c r="N884" s="1733"/>
      <c r="P884" s="1736"/>
      <c r="Q884" s="1722"/>
    </row>
    <row r="885">
      <c r="A885" s="1732"/>
      <c r="C885" s="1706"/>
      <c r="D885" s="1706"/>
      <c r="E885" s="1706"/>
      <c r="F885" s="1733"/>
      <c r="G885" s="1734"/>
      <c r="H885" s="1733"/>
      <c r="I885" s="1706"/>
      <c r="J885" s="1734"/>
      <c r="K885" s="1733"/>
      <c r="L885" s="1734"/>
      <c r="M885" s="1735"/>
      <c r="N885" s="1733"/>
      <c r="P885" s="1736"/>
      <c r="Q885" s="1722"/>
    </row>
    <row r="886">
      <c r="A886" s="1732"/>
      <c r="C886" s="1706"/>
      <c r="D886" s="1706"/>
      <c r="E886" s="1706"/>
      <c r="F886" s="1733"/>
      <c r="G886" s="1734"/>
      <c r="H886" s="1733"/>
      <c r="I886" s="1706"/>
      <c r="J886" s="1734"/>
      <c r="K886" s="1733"/>
      <c r="L886" s="1734"/>
      <c r="M886" s="1735"/>
      <c r="N886" s="1733"/>
      <c r="P886" s="1736"/>
      <c r="Q886" s="1722"/>
    </row>
    <row r="887">
      <c r="A887" s="1732"/>
      <c r="C887" s="1706"/>
      <c r="D887" s="1706"/>
      <c r="E887" s="1706"/>
      <c r="F887" s="1733"/>
      <c r="G887" s="1734"/>
      <c r="H887" s="1733"/>
      <c r="I887" s="1706"/>
      <c r="J887" s="1734"/>
      <c r="K887" s="1733"/>
      <c r="L887" s="1734"/>
      <c r="M887" s="1735"/>
      <c r="N887" s="1733"/>
      <c r="P887" s="1736"/>
      <c r="Q887" s="1722"/>
    </row>
    <row r="888">
      <c r="A888" s="1732"/>
      <c r="C888" s="1706"/>
      <c r="D888" s="1706"/>
      <c r="E888" s="1706"/>
      <c r="F888" s="1733"/>
      <c r="G888" s="1734"/>
      <c r="H888" s="1733"/>
      <c r="I888" s="1706"/>
      <c r="J888" s="1734"/>
      <c r="K888" s="1733"/>
      <c r="L888" s="1734"/>
      <c r="M888" s="1735"/>
      <c r="N888" s="1733"/>
      <c r="P888" s="1736"/>
      <c r="Q888" s="1722"/>
    </row>
    <row r="889">
      <c r="A889" s="1732"/>
      <c r="C889" s="1706"/>
      <c r="D889" s="1706"/>
      <c r="E889" s="1706"/>
      <c r="F889" s="1733"/>
      <c r="G889" s="1734"/>
      <c r="H889" s="1733"/>
      <c r="I889" s="1706"/>
      <c r="J889" s="1734"/>
      <c r="K889" s="1733"/>
      <c r="L889" s="1734"/>
      <c r="M889" s="1735"/>
      <c r="N889" s="1733"/>
      <c r="P889" s="1736"/>
      <c r="Q889" s="1722"/>
    </row>
    <row r="890">
      <c r="A890" s="1732"/>
      <c r="C890" s="1706"/>
      <c r="D890" s="1706"/>
      <c r="E890" s="1706"/>
      <c r="F890" s="1733"/>
      <c r="G890" s="1734"/>
      <c r="H890" s="1733"/>
      <c r="I890" s="1706"/>
      <c r="J890" s="1734"/>
      <c r="K890" s="1733"/>
      <c r="L890" s="1734"/>
      <c r="M890" s="1735"/>
      <c r="N890" s="1733"/>
      <c r="P890" s="1736"/>
      <c r="Q890" s="1722"/>
    </row>
    <row r="891">
      <c r="A891" s="1732"/>
      <c r="C891" s="1706"/>
      <c r="D891" s="1706"/>
      <c r="E891" s="1706"/>
      <c r="F891" s="1733"/>
      <c r="G891" s="1734"/>
      <c r="H891" s="1733"/>
      <c r="I891" s="1706"/>
      <c r="J891" s="1734"/>
      <c r="K891" s="1733"/>
      <c r="L891" s="1734"/>
      <c r="M891" s="1735"/>
      <c r="N891" s="1733"/>
      <c r="P891" s="1736"/>
      <c r="Q891" s="1722"/>
    </row>
    <row r="892">
      <c r="A892" s="1732"/>
      <c r="C892" s="1706"/>
      <c r="D892" s="1706"/>
      <c r="E892" s="1706"/>
      <c r="F892" s="1733"/>
      <c r="G892" s="1734"/>
      <c r="H892" s="1733"/>
      <c r="I892" s="1706"/>
      <c r="J892" s="1734"/>
      <c r="K892" s="1733"/>
      <c r="L892" s="1734"/>
      <c r="M892" s="1735"/>
      <c r="N892" s="1733"/>
      <c r="P892" s="1736"/>
      <c r="Q892" s="1722"/>
    </row>
    <row r="893">
      <c r="A893" s="1732"/>
      <c r="C893" s="1706"/>
      <c r="D893" s="1706"/>
      <c r="E893" s="1706"/>
      <c r="F893" s="1733"/>
      <c r="G893" s="1734"/>
      <c r="H893" s="1733"/>
      <c r="I893" s="1706"/>
      <c r="J893" s="1734"/>
      <c r="K893" s="1733"/>
      <c r="L893" s="1734"/>
      <c r="M893" s="1735"/>
      <c r="N893" s="1733"/>
      <c r="P893" s="1736"/>
      <c r="Q893" s="1722"/>
    </row>
    <row r="894">
      <c r="A894" s="1732"/>
      <c r="C894" s="1706"/>
      <c r="D894" s="1706"/>
      <c r="E894" s="1706"/>
      <c r="F894" s="1733"/>
      <c r="G894" s="1734"/>
      <c r="H894" s="1733"/>
      <c r="I894" s="1706"/>
      <c r="J894" s="1734"/>
      <c r="K894" s="1733"/>
      <c r="L894" s="1734"/>
      <c r="M894" s="1735"/>
      <c r="N894" s="1733"/>
      <c r="P894" s="1736"/>
      <c r="Q894" s="1722"/>
    </row>
    <row r="895">
      <c r="A895" s="1732"/>
      <c r="C895" s="1706"/>
      <c r="D895" s="1706"/>
      <c r="E895" s="1706"/>
      <c r="F895" s="1733"/>
      <c r="G895" s="1734"/>
      <c r="H895" s="1733"/>
      <c r="I895" s="1706"/>
      <c r="J895" s="1734"/>
      <c r="K895" s="1733"/>
      <c r="L895" s="1734"/>
      <c r="M895" s="1735"/>
      <c r="N895" s="1733"/>
      <c r="P895" s="1736"/>
      <c r="Q895" s="1722"/>
    </row>
    <row r="896">
      <c r="A896" s="1732"/>
      <c r="C896" s="1706"/>
      <c r="D896" s="1706"/>
      <c r="E896" s="1706"/>
      <c r="F896" s="1733"/>
      <c r="G896" s="1734"/>
      <c r="H896" s="1733"/>
      <c r="I896" s="1706"/>
      <c r="J896" s="1734"/>
      <c r="K896" s="1733"/>
      <c r="L896" s="1734"/>
      <c r="M896" s="1735"/>
      <c r="N896" s="1733"/>
      <c r="P896" s="1736"/>
      <c r="Q896" s="1722"/>
    </row>
    <row r="897">
      <c r="A897" s="1732"/>
      <c r="C897" s="1706"/>
      <c r="D897" s="1706"/>
      <c r="E897" s="1706"/>
      <c r="F897" s="1733"/>
      <c r="G897" s="1734"/>
      <c r="H897" s="1733"/>
      <c r="I897" s="1706"/>
      <c r="J897" s="1734"/>
      <c r="K897" s="1733"/>
      <c r="L897" s="1734"/>
      <c r="M897" s="1735"/>
      <c r="N897" s="1733"/>
      <c r="P897" s="1736"/>
      <c r="Q897" s="1722"/>
    </row>
    <row r="898">
      <c r="A898" s="1732"/>
      <c r="C898" s="1706"/>
      <c r="D898" s="1706"/>
      <c r="E898" s="1706"/>
      <c r="F898" s="1733"/>
      <c r="G898" s="1734"/>
      <c r="H898" s="1733"/>
      <c r="I898" s="1706"/>
      <c r="J898" s="1734"/>
      <c r="K898" s="1733"/>
      <c r="L898" s="1734"/>
      <c r="M898" s="1735"/>
      <c r="N898" s="1733"/>
      <c r="P898" s="1736"/>
      <c r="Q898" s="1722"/>
    </row>
    <row r="899">
      <c r="A899" s="1732"/>
      <c r="C899" s="1706"/>
      <c r="D899" s="1706"/>
      <c r="E899" s="1706"/>
      <c r="F899" s="1733"/>
      <c r="G899" s="1734"/>
      <c r="H899" s="1733"/>
      <c r="I899" s="1706"/>
      <c r="J899" s="1734"/>
      <c r="K899" s="1733"/>
      <c r="L899" s="1734"/>
      <c r="M899" s="1735"/>
      <c r="N899" s="1733"/>
      <c r="P899" s="1736"/>
      <c r="Q899" s="1722"/>
    </row>
    <row r="900">
      <c r="A900" s="1732"/>
      <c r="C900" s="1706"/>
      <c r="D900" s="1706"/>
      <c r="E900" s="1706"/>
      <c r="F900" s="1733"/>
      <c r="G900" s="1734"/>
      <c r="H900" s="1733"/>
      <c r="I900" s="1706"/>
      <c r="J900" s="1734"/>
      <c r="K900" s="1733"/>
      <c r="L900" s="1734"/>
      <c r="M900" s="1735"/>
      <c r="N900" s="1733"/>
      <c r="P900" s="1736"/>
      <c r="Q900" s="1722"/>
    </row>
    <row r="901">
      <c r="A901" s="1732"/>
      <c r="C901" s="1706"/>
      <c r="D901" s="1706"/>
      <c r="E901" s="1706"/>
      <c r="F901" s="1733"/>
      <c r="G901" s="1734"/>
      <c r="H901" s="1733"/>
      <c r="I901" s="1706"/>
      <c r="J901" s="1734"/>
      <c r="K901" s="1733"/>
      <c r="L901" s="1734"/>
      <c r="M901" s="1735"/>
      <c r="N901" s="1733"/>
      <c r="P901" s="1736"/>
      <c r="Q901" s="1722"/>
    </row>
    <row r="902">
      <c r="A902" s="1732"/>
      <c r="C902" s="1706"/>
      <c r="D902" s="1706"/>
      <c r="E902" s="1706"/>
      <c r="F902" s="1733"/>
      <c r="G902" s="1734"/>
      <c r="H902" s="1733"/>
      <c r="I902" s="1706"/>
      <c r="J902" s="1734"/>
      <c r="K902" s="1733"/>
      <c r="L902" s="1734"/>
      <c r="M902" s="1735"/>
      <c r="N902" s="1733"/>
      <c r="P902" s="1736"/>
      <c r="Q902" s="1722"/>
    </row>
    <row r="903">
      <c r="A903" s="1732"/>
      <c r="C903" s="1706"/>
      <c r="D903" s="1706"/>
      <c r="E903" s="1706"/>
      <c r="F903" s="1733"/>
      <c r="G903" s="1734"/>
      <c r="H903" s="1733"/>
      <c r="I903" s="1706"/>
      <c r="J903" s="1734"/>
      <c r="K903" s="1733"/>
      <c r="L903" s="1734"/>
      <c r="M903" s="1735"/>
      <c r="N903" s="1733"/>
      <c r="P903" s="1736"/>
      <c r="Q903" s="1722"/>
    </row>
    <row r="904">
      <c r="A904" s="1732"/>
      <c r="C904" s="1706"/>
      <c r="D904" s="1706"/>
      <c r="E904" s="1706"/>
      <c r="F904" s="1733"/>
      <c r="G904" s="1734"/>
      <c r="H904" s="1733"/>
      <c r="I904" s="1706"/>
      <c r="J904" s="1734"/>
      <c r="K904" s="1733"/>
      <c r="L904" s="1734"/>
      <c r="M904" s="1735"/>
      <c r="N904" s="1733"/>
      <c r="P904" s="1736"/>
      <c r="Q904" s="1722"/>
    </row>
    <row r="905">
      <c r="A905" s="1732"/>
      <c r="C905" s="1706"/>
      <c r="D905" s="1706"/>
      <c r="E905" s="1706"/>
      <c r="F905" s="1733"/>
      <c r="G905" s="1734"/>
      <c r="H905" s="1733"/>
      <c r="I905" s="1706"/>
      <c r="J905" s="1734"/>
      <c r="K905" s="1733"/>
      <c r="L905" s="1734"/>
      <c r="M905" s="1735"/>
      <c r="N905" s="1733"/>
      <c r="P905" s="1736"/>
      <c r="Q905" s="1722"/>
    </row>
    <row r="906">
      <c r="A906" s="1732"/>
      <c r="C906" s="1706"/>
      <c r="D906" s="1706"/>
      <c r="E906" s="1706"/>
      <c r="F906" s="1733"/>
      <c r="G906" s="1734"/>
      <c r="H906" s="1733"/>
      <c r="I906" s="1706"/>
      <c r="J906" s="1734"/>
      <c r="K906" s="1733"/>
      <c r="L906" s="1734"/>
      <c r="M906" s="1735"/>
      <c r="N906" s="1733"/>
      <c r="P906" s="1736"/>
      <c r="Q906" s="1722"/>
    </row>
    <row r="907">
      <c r="A907" s="1732"/>
      <c r="C907" s="1706"/>
      <c r="D907" s="1706"/>
      <c r="E907" s="1706"/>
      <c r="F907" s="1733"/>
      <c r="G907" s="1734"/>
      <c r="H907" s="1733"/>
      <c r="I907" s="1706"/>
      <c r="J907" s="1734"/>
      <c r="K907" s="1733"/>
      <c r="L907" s="1734"/>
      <c r="M907" s="1735"/>
      <c r="N907" s="1733"/>
      <c r="P907" s="1736"/>
      <c r="Q907" s="1722"/>
    </row>
    <row r="908">
      <c r="A908" s="1732"/>
      <c r="C908" s="1706"/>
      <c r="D908" s="1706"/>
      <c r="E908" s="1706"/>
      <c r="F908" s="1733"/>
      <c r="G908" s="1734"/>
      <c r="H908" s="1733"/>
      <c r="I908" s="1706"/>
      <c r="J908" s="1734"/>
      <c r="K908" s="1733"/>
      <c r="L908" s="1734"/>
      <c r="M908" s="1735"/>
      <c r="N908" s="1733"/>
      <c r="P908" s="1736"/>
      <c r="Q908" s="1722"/>
    </row>
    <row r="909">
      <c r="A909" s="1732"/>
      <c r="C909" s="1706"/>
      <c r="D909" s="1706"/>
      <c r="E909" s="1706"/>
      <c r="F909" s="1733"/>
      <c r="G909" s="1734"/>
      <c r="H909" s="1733"/>
      <c r="I909" s="1706"/>
      <c r="J909" s="1734"/>
      <c r="K909" s="1733"/>
      <c r="L909" s="1734"/>
      <c r="M909" s="1735"/>
      <c r="N909" s="1733"/>
      <c r="P909" s="1736"/>
      <c r="Q909" s="1722"/>
    </row>
    <row r="910">
      <c r="A910" s="1732"/>
      <c r="C910" s="1706"/>
      <c r="D910" s="1706"/>
      <c r="E910" s="1706"/>
      <c r="F910" s="1733"/>
      <c r="G910" s="1734"/>
      <c r="H910" s="1733"/>
      <c r="I910" s="1706"/>
      <c r="J910" s="1734"/>
      <c r="K910" s="1733"/>
      <c r="L910" s="1734"/>
      <c r="M910" s="1735"/>
      <c r="N910" s="1733"/>
      <c r="P910" s="1736"/>
      <c r="Q910" s="1722"/>
    </row>
    <row r="911">
      <c r="A911" s="1732"/>
      <c r="C911" s="1706"/>
      <c r="D911" s="1706"/>
      <c r="E911" s="1706"/>
      <c r="F911" s="1733"/>
      <c r="G911" s="1734"/>
      <c r="H911" s="1733"/>
      <c r="I911" s="1706"/>
      <c r="J911" s="1734"/>
      <c r="K911" s="1733"/>
      <c r="L911" s="1734"/>
      <c r="M911" s="1735"/>
      <c r="N911" s="1733"/>
      <c r="P911" s="1736"/>
      <c r="Q911" s="1722"/>
    </row>
    <row r="912">
      <c r="A912" s="1732"/>
      <c r="C912" s="1706"/>
      <c r="D912" s="1706"/>
      <c r="E912" s="1706"/>
      <c r="F912" s="1733"/>
      <c r="G912" s="1734"/>
      <c r="H912" s="1733"/>
      <c r="I912" s="1706"/>
      <c r="J912" s="1734"/>
      <c r="K912" s="1733"/>
      <c r="L912" s="1734"/>
      <c r="M912" s="1735"/>
      <c r="N912" s="1733"/>
      <c r="P912" s="1736"/>
      <c r="Q912" s="1722"/>
    </row>
    <row r="913">
      <c r="A913" s="1732"/>
      <c r="C913" s="1706"/>
      <c r="D913" s="1706"/>
      <c r="E913" s="1706"/>
      <c r="F913" s="1733"/>
      <c r="G913" s="1734"/>
      <c r="H913" s="1733"/>
      <c r="I913" s="1706"/>
      <c r="J913" s="1734"/>
      <c r="K913" s="1733"/>
      <c r="L913" s="1734"/>
      <c r="M913" s="1735"/>
      <c r="N913" s="1733"/>
      <c r="P913" s="1736"/>
      <c r="Q913" s="1722"/>
    </row>
    <row r="914">
      <c r="A914" s="1732"/>
      <c r="C914" s="1706"/>
      <c r="D914" s="1706"/>
      <c r="E914" s="1706"/>
      <c r="F914" s="1733"/>
      <c r="G914" s="1734"/>
      <c r="H914" s="1733"/>
      <c r="I914" s="1706"/>
      <c r="J914" s="1734"/>
      <c r="K914" s="1733"/>
      <c r="L914" s="1734"/>
      <c r="M914" s="1735"/>
      <c r="N914" s="1733"/>
      <c r="P914" s="1736"/>
      <c r="Q914" s="1722"/>
    </row>
    <row r="915">
      <c r="A915" s="1732"/>
      <c r="C915" s="1706"/>
      <c r="D915" s="1706"/>
      <c r="E915" s="1706"/>
      <c r="F915" s="1733"/>
      <c r="G915" s="1734"/>
      <c r="H915" s="1733"/>
      <c r="I915" s="1706"/>
      <c r="J915" s="1734"/>
      <c r="K915" s="1733"/>
      <c r="L915" s="1734"/>
      <c r="M915" s="1735"/>
      <c r="N915" s="1733"/>
      <c r="P915" s="1736"/>
      <c r="Q915" s="1722"/>
    </row>
    <row r="916">
      <c r="A916" s="1732"/>
      <c r="C916" s="1706"/>
      <c r="D916" s="1706"/>
      <c r="E916" s="1706"/>
      <c r="F916" s="1733"/>
      <c r="G916" s="1734"/>
      <c r="H916" s="1733"/>
      <c r="I916" s="1706"/>
      <c r="J916" s="1734"/>
      <c r="K916" s="1733"/>
      <c r="L916" s="1734"/>
      <c r="M916" s="1735"/>
      <c r="N916" s="1733"/>
      <c r="P916" s="1736"/>
      <c r="Q916" s="1722"/>
    </row>
    <row r="917">
      <c r="A917" s="1732"/>
      <c r="C917" s="1706"/>
      <c r="D917" s="1706"/>
      <c r="E917" s="1706"/>
      <c r="F917" s="1733"/>
      <c r="G917" s="1734"/>
      <c r="H917" s="1733"/>
      <c r="I917" s="1706"/>
      <c r="J917" s="1734"/>
      <c r="K917" s="1733"/>
      <c r="L917" s="1734"/>
      <c r="M917" s="1735"/>
      <c r="N917" s="1733"/>
      <c r="P917" s="1736"/>
      <c r="Q917" s="1722"/>
    </row>
    <row r="918">
      <c r="A918" s="1732"/>
      <c r="C918" s="1706"/>
      <c r="D918" s="1706"/>
      <c r="E918" s="1706"/>
      <c r="F918" s="1733"/>
      <c r="G918" s="1734"/>
      <c r="H918" s="1733"/>
      <c r="I918" s="1706"/>
      <c r="J918" s="1734"/>
      <c r="K918" s="1733"/>
      <c r="L918" s="1734"/>
      <c r="M918" s="1735"/>
      <c r="N918" s="1733"/>
      <c r="P918" s="1736"/>
      <c r="Q918" s="1722"/>
    </row>
    <row r="919">
      <c r="A919" s="1732"/>
      <c r="C919" s="1706"/>
      <c r="D919" s="1706"/>
      <c r="E919" s="1706"/>
      <c r="F919" s="1733"/>
      <c r="G919" s="1734"/>
      <c r="H919" s="1733"/>
      <c r="I919" s="1706"/>
      <c r="J919" s="1734"/>
      <c r="K919" s="1733"/>
      <c r="L919" s="1734"/>
      <c r="M919" s="1735"/>
      <c r="N919" s="1733"/>
      <c r="P919" s="1736"/>
      <c r="Q919" s="1722"/>
    </row>
    <row r="920">
      <c r="A920" s="1732"/>
      <c r="C920" s="1706"/>
      <c r="D920" s="1706"/>
      <c r="E920" s="1706"/>
      <c r="F920" s="1733"/>
      <c r="G920" s="1734"/>
      <c r="H920" s="1733"/>
      <c r="I920" s="1706"/>
      <c r="J920" s="1734"/>
      <c r="K920" s="1733"/>
      <c r="L920" s="1734"/>
      <c r="M920" s="1735"/>
      <c r="N920" s="1733"/>
      <c r="P920" s="1736"/>
      <c r="Q920" s="1722"/>
    </row>
    <row r="921">
      <c r="A921" s="1732"/>
      <c r="C921" s="1706"/>
      <c r="D921" s="1706"/>
      <c r="E921" s="1706"/>
      <c r="F921" s="1733"/>
      <c r="G921" s="1734"/>
      <c r="H921" s="1733"/>
      <c r="I921" s="1706"/>
      <c r="J921" s="1734"/>
      <c r="K921" s="1733"/>
      <c r="L921" s="1734"/>
      <c r="M921" s="1735"/>
      <c r="N921" s="1733"/>
      <c r="P921" s="1736"/>
      <c r="Q921" s="1722"/>
    </row>
    <row r="922">
      <c r="A922" s="1732"/>
      <c r="C922" s="1706"/>
      <c r="D922" s="1706"/>
      <c r="E922" s="1706"/>
      <c r="F922" s="1733"/>
      <c r="G922" s="1734"/>
      <c r="H922" s="1733"/>
      <c r="I922" s="1706"/>
      <c r="J922" s="1734"/>
      <c r="K922" s="1733"/>
      <c r="L922" s="1734"/>
      <c r="M922" s="1735"/>
      <c r="N922" s="1733"/>
      <c r="P922" s="1736"/>
      <c r="Q922" s="1722"/>
    </row>
    <row r="923">
      <c r="A923" s="1732"/>
      <c r="C923" s="1706"/>
      <c r="D923" s="1706"/>
      <c r="E923" s="1706"/>
      <c r="F923" s="1733"/>
      <c r="G923" s="1734"/>
      <c r="H923" s="1733"/>
      <c r="I923" s="1706"/>
      <c r="J923" s="1734"/>
      <c r="K923" s="1733"/>
      <c r="L923" s="1734"/>
      <c r="M923" s="1735"/>
      <c r="N923" s="1733"/>
      <c r="P923" s="1736"/>
      <c r="Q923" s="1722"/>
    </row>
    <row r="924">
      <c r="A924" s="1732"/>
      <c r="C924" s="1706"/>
      <c r="D924" s="1706"/>
      <c r="E924" s="1706"/>
      <c r="F924" s="1733"/>
      <c r="G924" s="1734"/>
      <c r="H924" s="1733"/>
      <c r="I924" s="1706"/>
      <c r="J924" s="1734"/>
      <c r="K924" s="1733"/>
      <c r="L924" s="1734"/>
      <c r="M924" s="1735"/>
      <c r="N924" s="1733"/>
      <c r="P924" s="1736"/>
      <c r="Q924" s="1722"/>
    </row>
    <row r="925">
      <c r="A925" s="1732"/>
      <c r="C925" s="1706"/>
      <c r="D925" s="1706"/>
      <c r="E925" s="1706"/>
      <c r="F925" s="1733"/>
      <c r="G925" s="1734"/>
      <c r="H925" s="1733"/>
      <c r="I925" s="1706"/>
      <c r="J925" s="1734"/>
      <c r="K925" s="1733"/>
      <c r="L925" s="1734"/>
      <c r="M925" s="1735"/>
      <c r="N925" s="1733"/>
      <c r="P925" s="1736"/>
      <c r="Q925" s="1722"/>
    </row>
    <row r="926">
      <c r="A926" s="1732"/>
      <c r="C926" s="1706"/>
      <c r="D926" s="1706"/>
      <c r="E926" s="1706"/>
      <c r="F926" s="1733"/>
      <c r="G926" s="1734"/>
      <c r="H926" s="1733"/>
      <c r="I926" s="1706"/>
      <c r="J926" s="1734"/>
      <c r="K926" s="1733"/>
      <c r="L926" s="1734"/>
      <c r="M926" s="1735"/>
      <c r="N926" s="1733"/>
      <c r="P926" s="1736"/>
      <c r="Q926" s="1722"/>
    </row>
    <row r="927">
      <c r="A927" s="1732"/>
      <c r="C927" s="1706"/>
      <c r="D927" s="1706"/>
      <c r="E927" s="1706"/>
      <c r="F927" s="1733"/>
      <c r="G927" s="1734"/>
      <c r="H927" s="1733"/>
      <c r="I927" s="1706"/>
      <c r="J927" s="1734"/>
      <c r="K927" s="1733"/>
      <c r="L927" s="1734"/>
      <c r="M927" s="1735"/>
      <c r="N927" s="1733"/>
      <c r="P927" s="1736"/>
      <c r="Q927" s="1722"/>
    </row>
    <row r="928">
      <c r="A928" s="1732"/>
      <c r="C928" s="1706"/>
      <c r="D928" s="1706"/>
      <c r="E928" s="1706"/>
      <c r="F928" s="1733"/>
      <c r="G928" s="1734"/>
      <c r="H928" s="1733"/>
      <c r="I928" s="1706"/>
      <c r="J928" s="1734"/>
      <c r="K928" s="1733"/>
      <c r="L928" s="1734"/>
      <c r="M928" s="1735"/>
      <c r="N928" s="1733"/>
      <c r="P928" s="1736"/>
      <c r="Q928" s="1722"/>
    </row>
    <row r="929">
      <c r="A929" s="1732"/>
      <c r="C929" s="1706"/>
      <c r="D929" s="1706"/>
      <c r="E929" s="1706"/>
      <c r="F929" s="1733"/>
      <c r="G929" s="1734"/>
      <c r="H929" s="1733"/>
      <c r="I929" s="1706"/>
      <c r="J929" s="1734"/>
      <c r="K929" s="1733"/>
      <c r="L929" s="1734"/>
      <c r="M929" s="1735"/>
      <c r="N929" s="1733"/>
      <c r="P929" s="1736"/>
      <c r="Q929" s="1722"/>
    </row>
    <row r="930">
      <c r="A930" s="1732"/>
      <c r="C930" s="1706"/>
      <c r="D930" s="1706"/>
      <c r="E930" s="1706"/>
      <c r="F930" s="1733"/>
      <c r="G930" s="1734"/>
      <c r="H930" s="1733"/>
      <c r="I930" s="1706"/>
      <c r="J930" s="1734"/>
      <c r="K930" s="1733"/>
      <c r="L930" s="1734"/>
      <c r="M930" s="1735"/>
      <c r="N930" s="1733"/>
      <c r="P930" s="1736"/>
      <c r="Q930" s="1722"/>
    </row>
    <row r="931">
      <c r="A931" s="1732"/>
      <c r="C931" s="1706"/>
      <c r="D931" s="1706"/>
      <c r="E931" s="1706"/>
      <c r="F931" s="1733"/>
      <c r="G931" s="1734"/>
      <c r="H931" s="1733"/>
      <c r="I931" s="1706"/>
      <c r="J931" s="1734"/>
      <c r="K931" s="1733"/>
      <c r="L931" s="1734"/>
      <c r="M931" s="1735"/>
      <c r="N931" s="1733"/>
      <c r="P931" s="1736"/>
      <c r="Q931" s="1722"/>
    </row>
    <row r="932">
      <c r="A932" s="1732"/>
      <c r="C932" s="1706"/>
      <c r="D932" s="1706"/>
      <c r="E932" s="1706"/>
      <c r="F932" s="1733"/>
      <c r="G932" s="1734"/>
      <c r="H932" s="1733"/>
      <c r="I932" s="1706"/>
      <c r="J932" s="1734"/>
      <c r="K932" s="1733"/>
      <c r="L932" s="1734"/>
      <c r="M932" s="1735"/>
      <c r="N932" s="1733"/>
      <c r="P932" s="1736"/>
      <c r="Q932" s="1722"/>
    </row>
    <row r="933">
      <c r="A933" s="1732"/>
      <c r="C933" s="1706"/>
      <c r="D933" s="1706"/>
      <c r="E933" s="1706"/>
      <c r="F933" s="1733"/>
      <c r="G933" s="1734"/>
      <c r="H933" s="1733"/>
      <c r="I933" s="1706"/>
      <c r="J933" s="1734"/>
      <c r="K933" s="1733"/>
      <c r="L933" s="1734"/>
      <c r="M933" s="1735"/>
      <c r="N933" s="1733"/>
      <c r="P933" s="1736"/>
      <c r="Q933" s="1722"/>
    </row>
    <row r="934">
      <c r="A934" s="1732"/>
      <c r="C934" s="1706"/>
      <c r="D934" s="1706"/>
      <c r="E934" s="1706"/>
      <c r="F934" s="1733"/>
      <c r="G934" s="1734"/>
      <c r="H934" s="1733"/>
      <c r="I934" s="1706"/>
      <c r="J934" s="1734"/>
      <c r="K934" s="1733"/>
      <c r="L934" s="1734"/>
      <c r="M934" s="1735"/>
      <c r="N934" s="1733"/>
      <c r="P934" s="1736"/>
      <c r="Q934" s="1722"/>
    </row>
    <row r="935">
      <c r="A935" s="1732"/>
      <c r="C935" s="1706"/>
      <c r="D935" s="1706"/>
      <c r="E935" s="1706"/>
      <c r="F935" s="1733"/>
      <c r="G935" s="1734"/>
      <c r="H935" s="1733"/>
      <c r="I935" s="1706"/>
      <c r="J935" s="1734"/>
      <c r="K935" s="1733"/>
      <c r="L935" s="1734"/>
      <c r="M935" s="1735"/>
      <c r="N935" s="1733"/>
      <c r="P935" s="1736"/>
      <c r="Q935" s="1722"/>
    </row>
    <row r="936">
      <c r="A936" s="1732"/>
      <c r="C936" s="1706"/>
      <c r="D936" s="1706"/>
      <c r="E936" s="1706"/>
      <c r="F936" s="1733"/>
      <c r="G936" s="1734"/>
      <c r="H936" s="1733"/>
      <c r="I936" s="1706"/>
      <c r="J936" s="1734"/>
      <c r="K936" s="1733"/>
      <c r="L936" s="1734"/>
      <c r="M936" s="1735"/>
      <c r="N936" s="1733"/>
      <c r="P936" s="1736"/>
      <c r="Q936" s="1722"/>
    </row>
    <row r="937">
      <c r="A937" s="1732"/>
      <c r="C937" s="1706"/>
      <c r="D937" s="1706"/>
      <c r="E937" s="1706"/>
      <c r="F937" s="1733"/>
      <c r="G937" s="1734"/>
      <c r="H937" s="1733"/>
      <c r="I937" s="1706"/>
      <c r="J937" s="1734"/>
      <c r="K937" s="1733"/>
      <c r="L937" s="1734"/>
      <c r="M937" s="1735"/>
      <c r="N937" s="1733"/>
      <c r="P937" s="1736"/>
      <c r="Q937" s="1722"/>
    </row>
    <row r="938">
      <c r="A938" s="1732"/>
      <c r="C938" s="1706"/>
      <c r="D938" s="1706"/>
      <c r="E938" s="1706"/>
      <c r="F938" s="1733"/>
      <c r="G938" s="1734"/>
      <c r="H938" s="1733"/>
      <c r="I938" s="1706"/>
      <c r="J938" s="1734"/>
      <c r="K938" s="1733"/>
      <c r="L938" s="1734"/>
      <c r="M938" s="1735"/>
      <c r="N938" s="1733"/>
      <c r="P938" s="1736"/>
      <c r="Q938" s="1722"/>
    </row>
    <row r="939">
      <c r="A939" s="1732"/>
      <c r="C939" s="1706"/>
      <c r="D939" s="1706"/>
      <c r="E939" s="1706"/>
      <c r="F939" s="1733"/>
      <c r="G939" s="1734"/>
      <c r="H939" s="1733"/>
      <c r="I939" s="1706"/>
      <c r="J939" s="1734"/>
      <c r="K939" s="1733"/>
      <c r="L939" s="1734"/>
      <c r="M939" s="1735"/>
      <c r="N939" s="1733"/>
      <c r="P939" s="1736"/>
      <c r="Q939" s="1722"/>
    </row>
    <row r="940">
      <c r="A940" s="1732"/>
      <c r="C940" s="1706"/>
      <c r="D940" s="1706"/>
      <c r="E940" s="1706"/>
      <c r="F940" s="1733"/>
      <c r="G940" s="1734"/>
      <c r="H940" s="1733"/>
      <c r="I940" s="1706"/>
      <c r="J940" s="1734"/>
      <c r="K940" s="1733"/>
      <c r="L940" s="1734"/>
      <c r="M940" s="1735"/>
      <c r="N940" s="1733"/>
      <c r="P940" s="1736"/>
      <c r="Q940" s="1722"/>
    </row>
    <row r="941">
      <c r="A941" s="1732"/>
      <c r="C941" s="1706"/>
      <c r="D941" s="1706"/>
      <c r="E941" s="1706"/>
      <c r="F941" s="1733"/>
      <c r="G941" s="1734"/>
      <c r="H941" s="1733"/>
      <c r="I941" s="1706"/>
      <c r="J941" s="1734"/>
      <c r="K941" s="1733"/>
      <c r="L941" s="1734"/>
      <c r="M941" s="1735"/>
      <c r="N941" s="1733"/>
      <c r="P941" s="1736"/>
      <c r="Q941" s="1722"/>
    </row>
    <row r="942">
      <c r="A942" s="1732"/>
      <c r="C942" s="1706"/>
      <c r="D942" s="1706"/>
      <c r="E942" s="1706"/>
      <c r="F942" s="1733"/>
      <c r="G942" s="1734"/>
      <c r="H942" s="1733"/>
      <c r="I942" s="1706"/>
      <c r="J942" s="1734"/>
      <c r="K942" s="1733"/>
      <c r="L942" s="1734"/>
      <c r="M942" s="1735"/>
      <c r="N942" s="1733"/>
      <c r="P942" s="1736"/>
      <c r="Q942" s="1722"/>
    </row>
    <row r="943">
      <c r="A943" s="1732"/>
      <c r="C943" s="1706"/>
      <c r="D943" s="1706"/>
      <c r="E943" s="1706"/>
      <c r="F943" s="1733"/>
      <c r="G943" s="1734"/>
      <c r="H943" s="1733"/>
      <c r="I943" s="1706"/>
      <c r="J943" s="1734"/>
      <c r="K943" s="1733"/>
      <c r="L943" s="1734"/>
      <c r="M943" s="1735"/>
      <c r="N943" s="1733"/>
      <c r="P943" s="1736"/>
      <c r="Q943" s="1722"/>
    </row>
    <row r="944">
      <c r="A944" s="1732"/>
      <c r="C944" s="1706"/>
      <c r="D944" s="1706"/>
      <c r="E944" s="1706"/>
      <c r="F944" s="1733"/>
      <c r="G944" s="1734"/>
      <c r="H944" s="1733"/>
      <c r="I944" s="1706"/>
      <c r="J944" s="1734"/>
      <c r="K944" s="1733"/>
      <c r="L944" s="1734"/>
      <c r="M944" s="1735"/>
      <c r="N944" s="1733"/>
      <c r="P944" s="1736"/>
      <c r="Q944" s="1722"/>
    </row>
    <row r="945">
      <c r="A945" s="1732"/>
      <c r="C945" s="1706"/>
      <c r="D945" s="1706"/>
      <c r="E945" s="1706"/>
      <c r="F945" s="1733"/>
      <c r="G945" s="1734"/>
      <c r="H945" s="1733"/>
      <c r="I945" s="1706"/>
      <c r="J945" s="1734"/>
      <c r="K945" s="1733"/>
      <c r="L945" s="1734"/>
      <c r="M945" s="1735"/>
      <c r="N945" s="1733"/>
      <c r="P945" s="1736"/>
      <c r="Q945" s="1722"/>
    </row>
    <row r="946">
      <c r="A946" s="1732"/>
      <c r="C946" s="1706"/>
      <c r="D946" s="1706"/>
      <c r="E946" s="1706"/>
      <c r="F946" s="1733"/>
      <c r="G946" s="1734"/>
      <c r="H946" s="1733"/>
      <c r="I946" s="1706"/>
      <c r="J946" s="1734"/>
      <c r="K946" s="1733"/>
      <c r="L946" s="1734"/>
      <c r="M946" s="1735"/>
      <c r="N946" s="1733"/>
      <c r="P946" s="1736"/>
      <c r="Q946" s="1722"/>
    </row>
    <row r="947">
      <c r="A947" s="1732"/>
      <c r="C947" s="1706"/>
      <c r="D947" s="1706"/>
      <c r="E947" s="1706"/>
      <c r="F947" s="1733"/>
      <c r="G947" s="1734"/>
      <c r="H947" s="1733"/>
      <c r="I947" s="1706"/>
      <c r="J947" s="1734"/>
      <c r="K947" s="1733"/>
      <c r="L947" s="1734"/>
      <c r="M947" s="1735"/>
      <c r="N947" s="1733"/>
      <c r="P947" s="1736"/>
      <c r="Q947" s="1722"/>
    </row>
    <row r="948">
      <c r="A948" s="1732"/>
      <c r="C948" s="1706"/>
      <c r="D948" s="1706"/>
      <c r="E948" s="1706"/>
      <c r="F948" s="1733"/>
      <c r="G948" s="1734"/>
      <c r="H948" s="1733"/>
      <c r="I948" s="1706"/>
      <c r="J948" s="1734"/>
      <c r="K948" s="1733"/>
      <c r="L948" s="1734"/>
      <c r="M948" s="1735"/>
      <c r="N948" s="1733"/>
      <c r="P948" s="1736"/>
      <c r="Q948" s="1722"/>
    </row>
    <row r="949">
      <c r="A949" s="1732"/>
      <c r="C949" s="1706"/>
      <c r="D949" s="1706"/>
      <c r="E949" s="1706"/>
      <c r="F949" s="1733"/>
      <c r="G949" s="1734"/>
      <c r="H949" s="1733"/>
      <c r="I949" s="1706"/>
      <c r="J949" s="1734"/>
      <c r="K949" s="1733"/>
      <c r="L949" s="1734"/>
      <c r="M949" s="1735"/>
      <c r="N949" s="1733"/>
      <c r="P949" s="1736"/>
      <c r="Q949" s="1722"/>
    </row>
    <row r="950">
      <c r="A950" s="1732"/>
      <c r="C950" s="1706"/>
      <c r="D950" s="1706"/>
      <c r="E950" s="1706"/>
      <c r="F950" s="1733"/>
      <c r="G950" s="1734"/>
      <c r="H950" s="1733"/>
      <c r="I950" s="1706"/>
      <c r="J950" s="1734"/>
      <c r="K950" s="1733"/>
      <c r="L950" s="1734"/>
      <c r="M950" s="1735"/>
      <c r="N950" s="1733"/>
      <c r="P950" s="1736"/>
      <c r="Q950" s="1722"/>
    </row>
    <row r="951">
      <c r="A951" s="1732"/>
      <c r="C951" s="1706"/>
      <c r="D951" s="1706"/>
      <c r="E951" s="1706"/>
      <c r="F951" s="1733"/>
      <c r="G951" s="1734"/>
      <c r="H951" s="1733"/>
      <c r="I951" s="1706"/>
      <c r="J951" s="1734"/>
      <c r="K951" s="1733"/>
      <c r="L951" s="1734"/>
      <c r="M951" s="1735"/>
      <c r="N951" s="1733"/>
      <c r="P951" s="1736"/>
      <c r="Q951" s="1722"/>
    </row>
    <row r="952">
      <c r="A952" s="1732"/>
      <c r="C952" s="1706"/>
      <c r="D952" s="1706"/>
      <c r="E952" s="1706"/>
      <c r="F952" s="1733"/>
      <c r="G952" s="1734"/>
      <c r="H952" s="1733"/>
      <c r="I952" s="1706"/>
      <c r="J952" s="1734"/>
      <c r="K952" s="1733"/>
      <c r="L952" s="1734"/>
      <c r="M952" s="1735"/>
      <c r="N952" s="1733"/>
      <c r="P952" s="1736"/>
      <c r="Q952" s="1722"/>
    </row>
    <row r="953">
      <c r="A953" s="1732"/>
      <c r="C953" s="1706"/>
      <c r="D953" s="1706"/>
      <c r="E953" s="1706"/>
      <c r="F953" s="1733"/>
      <c r="G953" s="1734"/>
      <c r="H953" s="1733"/>
      <c r="I953" s="1706"/>
      <c r="J953" s="1734"/>
      <c r="K953" s="1733"/>
      <c r="L953" s="1734"/>
      <c r="M953" s="1735"/>
      <c r="N953" s="1733"/>
      <c r="P953" s="1736"/>
      <c r="Q953" s="1722"/>
    </row>
    <row r="954">
      <c r="A954" s="1732"/>
      <c r="C954" s="1706"/>
      <c r="D954" s="1706"/>
      <c r="E954" s="1706"/>
      <c r="F954" s="1733"/>
      <c r="G954" s="1734"/>
      <c r="H954" s="1733"/>
      <c r="I954" s="1706"/>
      <c r="J954" s="1734"/>
      <c r="K954" s="1733"/>
      <c r="L954" s="1734"/>
      <c r="M954" s="1735"/>
      <c r="N954" s="1733"/>
      <c r="P954" s="1736"/>
      <c r="Q954" s="1722"/>
    </row>
    <row r="955">
      <c r="A955" s="1732"/>
      <c r="C955" s="1706"/>
      <c r="D955" s="1706"/>
      <c r="E955" s="1706"/>
      <c r="F955" s="1733"/>
      <c r="G955" s="1734"/>
      <c r="H955" s="1733"/>
      <c r="I955" s="1706"/>
      <c r="J955" s="1734"/>
      <c r="K955" s="1733"/>
      <c r="L955" s="1734"/>
      <c r="M955" s="1735"/>
      <c r="N955" s="1733"/>
      <c r="P955" s="1736"/>
      <c r="Q955" s="1722"/>
    </row>
    <row r="956">
      <c r="A956" s="1732"/>
      <c r="C956" s="1706"/>
      <c r="D956" s="1706"/>
      <c r="E956" s="1706"/>
      <c r="F956" s="1733"/>
      <c r="G956" s="1734"/>
      <c r="H956" s="1733"/>
      <c r="I956" s="1706"/>
      <c r="J956" s="1734"/>
      <c r="K956" s="1733"/>
      <c r="L956" s="1734"/>
      <c r="M956" s="1735"/>
      <c r="N956" s="1733"/>
      <c r="P956" s="1736"/>
      <c r="Q956" s="1722"/>
    </row>
    <row r="957">
      <c r="A957" s="1732"/>
      <c r="C957" s="1706"/>
      <c r="D957" s="1706"/>
      <c r="E957" s="1706"/>
      <c r="F957" s="1733"/>
      <c r="G957" s="1734"/>
      <c r="H957" s="1733"/>
      <c r="I957" s="1706"/>
      <c r="J957" s="1734"/>
      <c r="K957" s="1733"/>
      <c r="L957" s="1734"/>
      <c r="M957" s="1735"/>
      <c r="N957" s="1733"/>
      <c r="P957" s="1736"/>
      <c r="Q957" s="1722"/>
    </row>
    <row r="958">
      <c r="A958" s="1732"/>
      <c r="C958" s="1706"/>
      <c r="D958" s="1706"/>
      <c r="E958" s="1706"/>
      <c r="F958" s="1733"/>
      <c r="G958" s="1734"/>
      <c r="H958" s="1733"/>
      <c r="I958" s="1706"/>
      <c r="J958" s="1734"/>
      <c r="K958" s="1733"/>
      <c r="L958" s="1734"/>
      <c r="M958" s="1735"/>
      <c r="N958" s="1733"/>
      <c r="P958" s="1736"/>
      <c r="Q958" s="1722"/>
    </row>
    <row r="959">
      <c r="A959" s="1732"/>
      <c r="C959" s="1706"/>
      <c r="D959" s="1706"/>
      <c r="E959" s="1706"/>
      <c r="F959" s="1733"/>
      <c r="G959" s="1734"/>
      <c r="H959" s="1733"/>
      <c r="I959" s="1706"/>
      <c r="J959" s="1734"/>
      <c r="K959" s="1733"/>
      <c r="L959" s="1734"/>
      <c r="M959" s="1735"/>
      <c r="N959" s="1733"/>
      <c r="P959" s="1736"/>
      <c r="Q959" s="1722"/>
    </row>
    <row r="960">
      <c r="A960" s="1732"/>
      <c r="C960" s="1706"/>
      <c r="D960" s="1706"/>
      <c r="E960" s="1706"/>
      <c r="F960" s="1733"/>
      <c r="G960" s="1734"/>
      <c r="H960" s="1733"/>
      <c r="I960" s="1706"/>
      <c r="J960" s="1734"/>
      <c r="K960" s="1733"/>
      <c r="L960" s="1734"/>
      <c r="M960" s="1735"/>
      <c r="N960" s="1733"/>
      <c r="P960" s="1736"/>
      <c r="Q960" s="1722"/>
    </row>
    <row r="961">
      <c r="A961" s="1732"/>
      <c r="C961" s="1706"/>
      <c r="D961" s="1706"/>
      <c r="E961" s="1706"/>
      <c r="F961" s="1733"/>
      <c r="G961" s="1734"/>
      <c r="H961" s="1733"/>
      <c r="I961" s="1706"/>
      <c r="J961" s="1734"/>
      <c r="K961" s="1733"/>
      <c r="L961" s="1734"/>
      <c r="M961" s="1735"/>
      <c r="N961" s="1733"/>
      <c r="P961" s="1736"/>
      <c r="Q961" s="1722"/>
    </row>
    <row r="962">
      <c r="A962" s="1732"/>
      <c r="C962" s="1706"/>
      <c r="D962" s="1706"/>
      <c r="E962" s="1706"/>
      <c r="F962" s="1733"/>
      <c r="G962" s="1734"/>
      <c r="H962" s="1733"/>
      <c r="I962" s="1706"/>
      <c r="J962" s="1734"/>
      <c r="K962" s="1733"/>
      <c r="L962" s="1734"/>
      <c r="M962" s="1735"/>
      <c r="N962" s="1733"/>
      <c r="P962" s="1736"/>
      <c r="Q962" s="1722"/>
    </row>
    <row r="963">
      <c r="A963" s="1732"/>
      <c r="C963" s="1706"/>
      <c r="D963" s="1706"/>
      <c r="E963" s="1706"/>
      <c r="F963" s="1733"/>
      <c r="G963" s="1734"/>
      <c r="H963" s="1733"/>
      <c r="I963" s="1706"/>
      <c r="J963" s="1734"/>
      <c r="K963" s="1733"/>
      <c r="L963" s="1734"/>
      <c r="M963" s="1735"/>
      <c r="N963" s="1733"/>
      <c r="P963" s="1736"/>
      <c r="Q963" s="1722"/>
    </row>
    <row r="964">
      <c r="A964" s="1732"/>
      <c r="C964" s="1706"/>
      <c r="D964" s="1706"/>
      <c r="E964" s="1706"/>
      <c r="F964" s="1733"/>
      <c r="G964" s="1734"/>
      <c r="H964" s="1733"/>
      <c r="I964" s="1706"/>
      <c r="J964" s="1734"/>
      <c r="K964" s="1733"/>
      <c r="L964" s="1734"/>
      <c r="M964" s="1735"/>
      <c r="N964" s="1733"/>
      <c r="P964" s="1736"/>
      <c r="Q964" s="1722"/>
    </row>
    <row r="965">
      <c r="A965" s="1732"/>
      <c r="C965" s="1706"/>
      <c r="D965" s="1706"/>
      <c r="E965" s="1706"/>
      <c r="F965" s="1733"/>
      <c r="G965" s="1734"/>
      <c r="H965" s="1733"/>
      <c r="I965" s="1706"/>
      <c r="J965" s="1734"/>
      <c r="K965" s="1733"/>
      <c r="L965" s="1734"/>
      <c r="M965" s="1735"/>
      <c r="N965" s="1733"/>
      <c r="P965" s="1736"/>
      <c r="Q965" s="1722"/>
    </row>
    <row r="966">
      <c r="A966" s="1732"/>
      <c r="C966" s="1706"/>
      <c r="D966" s="1706"/>
      <c r="E966" s="1706"/>
      <c r="F966" s="1733"/>
      <c r="G966" s="1734"/>
      <c r="H966" s="1733"/>
      <c r="I966" s="1706"/>
      <c r="J966" s="1734"/>
      <c r="K966" s="1733"/>
      <c r="L966" s="1734"/>
      <c r="M966" s="1735"/>
      <c r="N966" s="1733"/>
      <c r="P966" s="1736"/>
      <c r="Q966" s="1722"/>
    </row>
    <row r="967">
      <c r="A967" s="1732"/>
      <c r="C967" s="1706"/>
      <c r="D967" s="1706"/>
      <c r="E967" s="1706"/>
      <c r="F967" s="1733"/>
      <c r="G967" s="1734"/>
      <c r="H967" s="1733"/>
      <c r="I967" s="1706"/>
      <c r="J967" s="1734"/>
      <c r="K967" s="1733"/>
      <c r="L967" s="1734"/>
      <c r="M967" s="1735"/>
      <c r="N967" s="1733"/>
      <c r="P967" s="1736"/>
      <c r="Q967" s="1722"/>
    </row>
    <row r="968">
      <c r="A968" s="1732"/>
      <c r="C968" s="1706"/>
      <c r="D968" s="1706"/>
      <c r="E968" s="1706"/>
      <c r="F968" s="1733"/>
      <c r="G968" s="1734"/>
      <c r="H968" s="1733"/>
      <c r="I968" s="1706"/>
      <c r="J968" s="1734"/>
      <c r="K968" s="1733"/>
      <c r="L968" s="1734"/>
      <c r="M968" s="1735"/>
      <c r="N968" s="1733"/>
      <c r="P968" s="1736"/>
      <c r="Q968" s="1722"/>
    </row>
    <row r="969">
      <c r="A969" s="1732"/>
      <c r="C969" s="1706"/>
      <c r="D969" s="1706"/>
      <c r="E969" s="1706"/>
      <c r="F969" s="1733"/>
      <c r="G969" s="1734"/>
      <c r="H969" s="1733"/>
      <c r="I969" s="1706"/>
      <c r="J969" s="1734"/>
      <c r="K969" s="1733"/>
      <c r="L969" s="1734"/>
      <c r="M969" s="1735"/>
      <c r="N969" s="1733"/>
      <c r="P969" s="1736"/>
      <c r="Q969" s="1722"/>
    </row>
    <row r="970">
      <c r="A970" s="1732"/>
      <c r="C970" s="1706"/>
      <c r="D970" s="1706"/>
      <c r="E970" s="1706"/>
      <c r="F970" s="1733"/>
      <c r="G970" s="1734"/>
      <c r="H970" s="1733"/>
      <c r="I970" s="1706"/>
      <c r="J970" s="1734"/>
      <c r="K970" s="1733"/>
      <c r="L970" s="1734"/>
      <c r="M970" s="1735"/>
      <c r="N970" s="1733"/>
      <c r="P970" s="1736"/>
      <c r="Q970" s="1722"/>
    </row>
    <row r="971">
      <c r="A971" s="1732"/>
      <c r="C971" s="1706"/>
      <c r="D971" s="1706"/>
      <c r="E971" s="1706"/>
      <c r="F971" s="1733"/>
      <c r="G971" s="1734"/>
      <c r="H971" s="1733"/>
      <c r="I971" s="1706"/>
      <c r="J971" s="1734"/>
      <c r="K971" s="1733"/>
      <c r="L971" s="1734"/>
      <c r="M971" s="1735"/>
      <c r="N971" s="1733"/>
      <c r="P971" s="1736"/>
      <c r="Q971" s="1722"/>
    </row>
    <row r="972">
      <c r="A972" s="1732"/>
      <c r="C972" s="1706"/>
      <c r="D972" s="1706"/>
      <c r="E972" s="1706"/>
      <c r="F972" s="1733"/>
      <c r="G972" s="1734"/>
      <c r="H972" s="1733"/>
      <c r="I972" s="1706"/>
      <c r="J972" s="1734"/>
      <c r="K972" s="1733"/>
      <c r="L972" s="1734"/>
      <c r="M972" s="1735"/>
      <c r="N972" s="1733"/>
      <c r="P972" s="1736"/>
      <c r="Q972" s="1722"/>
    </row>
    <row r="973">
      <c r="A973" s="1732"/>
      <c r="C973" s="1706"/>
      <c r="D973" s="1706"/>
      <c r="E973" s="1706"/>
      <c r="F973" s="1733"/>
      <c r="G973" s="1734"/>
      <c r="H973" s="1733"/>
      <c r="I973" s="1706"/>
      <c r="J973" s="1734"/>
      <c r="K973" s="1733"/>
      <c r="L973" s="1734"/>
      <c r="M973" s="1735"/>
      <c r="N973" s="1733"/>
      <c r="P973" s="1736"/>
      <c r="Q973" s="1722"/>
    </row>
    <row r="974">
      <c r="A974" s="1732"/>
      <c r="C974" s="1706"/>
      <c r="D974" s="1706"/>
      <c r="E974" s="1706"/>
      <c r="F974" s="1733"/>
      <c r="G974" s="1734"/>
      <c r="H974" s="1733"/>
      <c r="I974" s="1706"/>
      <c r="J974" s="1734"/>
      <c r="K974" s="1733"/>
      <c r="L974" s="1734"/>
      <c r="M974" s="1735"/>
      <c r="N974" s="1733"/>
      <c r="P974" s="1736"/>
      <c r="Q974" s="1722"/>
    </row>
    <row r="975">
      <c r="A975" s="1732"/>
      <c r="C975" s="1706"/>
      <c r="D975" s="1706"/>
      <c r="E975" s="1706"/>
      <c r="F975" s="1733"/>
      <c r="G975" s="1734"/>
      <c r="H975" s="1733"/>
      <c r="I975" s="1706"/>
      <c r="J975" s="1734"/>
      <c r="K975" s="1733"/>
      <c r="L975" s="1734"/>
      <c r="M975" s="1735"/>
      <c r="N975" s="1733"/>
      <c r="P975" s="1736"/>
      <c r="Q975" s="1722"/>
    </row>
    <row r="976">
      <c r="A976" s="1732"/>
      <c r="C976" s="1706"/>
      <c r="D976" s="1706"/>
      <c r="E976" s="1706"/>
      <c r="F976" s="1733"/>
      <c r="G976" s="1734"/>
      <c r="H976" s="1733"/>
      <c r="I976" s="1706"/>
      <c r="J976" s="1734"/>
      <c r="K976" s="1733"/>
      <c r="L976" s="1734"/>
      <c r="M976" s="1735"/>
      <c r="N976" s="1733"/>
      <c r="P976" s="1736"/>
      <c r="Q976" s="1722"/>
    </row>
    <row r="977">
      <c r="A977" s="1732"/>
      <c r="C977" s="1706"/>
      <c r="D977" s="1706"/>
      <c r="E977" s="1706"/>
      <c r="F977" s="1733"/>
      <c r="G977" s="1734"/>
      <c r="H977" s="1733"/>
      <c r="I977" s="1706"/>
      <c r="J977" s="1734"/>
      <c r="K977" s="1733"/>
      <c r="L977" s="1734"/>
      <c r="M977" s="1735"/>
      <c r="N977" s="1733"/>
      <c r="P977" s="1736"/>
      <c r="Q977" s="1722"/>
    </row>
    <row r="978">
      <c r="A978" s="1732"/>
      <c r="C978" s="1706"/>
      <c r="D978" s="1706"/>
      <c r="E978" s="1706"/>
      <c r="F978" s="1733"/>
      <c r="G978" s="1734"/>
      <c r="H978" s="1733"/>
      <c r="I978" s="1706"/>
      <c r="J978" s="1734"/>
      <c r="K978" s="1733"/>
      <c r="L978" s="1734"/>
      <c r="M978" s="1735"/>
      <c r="N978" s="1733"/>
      <c r="P978" s="1736"/>
      <c r="Q978" s="1722"/>
    </row>
    <row r="979">
      <c r="A979" s="1732"/>
      <c r="C979" s="1706"/>
      <c r="D979" s="1706"/>
      <c r="E979" s="1706"/>
      <c r="F979" s="1733"/>
      <c r="G979" s="1734"/>
      <c r="H979" s="1733"/>
      <c r="I979" s="1706"/>
      <c r="J979" s="1734"/>
      <c r="K979" s="1733"/>
      <c r="L979" s="1734"/>
      <c r="M979" s="1735"/>
      <c r="N979" s="1733"/>
      <c r="P979" s="1736"/>
      <c r="Q979" s="1722"/>
    </row>
    <row r="980">
      <c r="A980" s="1732"/>
      <c r="C980" s="1706"/>
      <c r="D980" s="1706"/>
      <c r="E980" s="1706"/>
      <c r="F980" s="1733"/>
      <c r="G980" s="1734"/>
      <c r="H980" s="1733"/>
      <c r="I980" s="1706"/>
      <c r="J980" s="1734"/>
      <c r="K980" s="1733"/>
      <c r="L980" s="1734"/>
      <c r="M980" s="1735"/>
      <c r="N980" s="1733"/>
      <c r="P980" s="1736"/>
      <c r="Q980" s="1722"/>
    </row>
    <row r="981">
      <c r="A981" s="1732"/>
      <c r="C981" s="1706"/>
      <c r="D981" s="1706"/>
      <c r="E981" s="1706"/>
      <c r="F981" s="1733"/>
      <c r="G981" s="1734"/>
      <c r="H981" s="1733"/>
      <c r="I981" s="1706"/>
      <c r="J981" s="1734"/>
      <c r="K981" s="1733"/>
      <c r="L981" s="1734"/>
      <c r="M981" s="1735"/>
      <c r="N981" s="1733"/>
      <c r="P981" s="1736"/>
      <c r="Q981" s="1722"/>
    </row>
    <row r="982">
      <c r="A982" s="1732"/>
      <c r="C982" s="1706"/>
      <c r="D982" s="1706"/>
      <c r="E982" s="1706"/>
      <c r="F982" s="1733"/>
      <c r="G982" s="1734"/>
      <c r="H982" s="1733"/>
      <c r="I982" s="1706"/>
      <c r="J982" s="1734"/>
      <c r="K982" s="1733"/>
      <c r="L982" s="1734"/>
      <c r="M982" s="1735"/>
      <c r="N982" s="1733"/>
      <c r="P982" s="1736"/>
      <c r="Q982" s="1722"/>
    </row>
    <row r="983">
      <c r="A983" s="1732"/>
      <c r="C983" s="1706"/>
      <c r="D983" s="1706"/>
      <c r="E983" s="1706"/>
      <c r="F983" s="1733"/>
      <c r="G983" s="1734"/>
      <c r="H983" s="1733"/>
      <c r="I983" s="1706"/>
      <c r="J983" s="1734"/>
      <c r="K983" s="1733"/>
      <c r="L983" s="1734"/>
      <c r="M983" s="1735"/>
      <c r="N983" s="1733"/>
      <c r="P983" s="1736"/>
      <c r="Q983" s="1722"/>
    </row>
    <row r="984">
      <c r="A984" s="1732"/>
      <c r="C984" s="1706"/>
      <c r="D984" s="1706"/>
      <c r="E984" s="1706"/>
      <c r="F984" s="1733"/>
      <c r="G984" s="1734"/>
      <c r="H984" s="1733"/>
      <c r="I984" s="1706"/>
      <c r="J984" s="1734"/>
      <c r="K984" s="1733"/>
      <c r="L984" s="1734"/>
      <c r="M984" s="1735"/>
      <c r="N984" s="1733"/>
      <c r="P984" s="1736"/>
      <c r="Q984" s="1722"/>
    </row>
    <row r="985">
      <c r="A985" s="1732"/>
      <c r="C985" s="1706"/>
      <c r="D985" s="1706"/>
      <c r="E985" s="1706"/>
      <c r="F985" s="1733"/>
      <c r="G985" s="1734"/>
      <c r="H985" s="1733"/>
      <c r="I985" s="1706"/>
      <c r="J985" s="1734"/>
      <c r="K985" s="1733"/>
      <c r="L985" s="1734"/>
      <c r="M985" s="1735"/>
      <c r="N985" s="1733"/>
      <c r="P985" s="1736"/>
      <c r="Q985" s="1722"/>
    </row>
    <row r="986">
      <c r="A986" s="1732"/>
      <c r="C986" s="1706"/>
      <c r="D986" s="1706"/>
      <c r="E986" s="1706"/>
      <c r="F986" s="1733"/>
      <c r="G986" s="1734"/>
      <c r="H986" s="1733"/>
      <c r="I986" s="1706"/>
      <c r="J986" s="1734"/>
      <c r="K986" s="1733"/>
      <c r="L986" s="1734"/>
      <c r="M986" s="1735"/>
      <c r="N986" s="1733"/>
      <c r="P986" s="1736"/>
      <c r="Q986" s="1722"/>
    </row>
    <row r="987">
      <c r="A987" s="1732"/>
      <c r="C987" s="1706"/>
      <c r="D987" s="1706"/>
      <c r="E987" s="1706"/>
      <c r="F987" s="1733"/>
      <c r="G987" s="1734"/>
      <c r="H987" s="1733"/>
      <c r="I987" s="1706"/>
      <c r="J987" s="1734"/>
      <c r="K987" s="1733"/>
      <c r="L987" s="1734"/>
      <c r="M987" s="1735"/>
      <c r="N987" s="1733"/>
      <c r="P987" s="1736"/>
      <c r="Q987" s="1722"/>
    </row>
    <row r="988">
      <c r="A988" s="1732"/>
      <c r="C988" s="1706"/>
      <c r="D988" s="1706"/>
      <c r="E988" s="1706"/>
      <c r="F988" s="1733"/>
      <c r="G988" s="1734"/>
      <c r="H988" s="1733"/>
      <c r="I988" s="1706"/>
      <c r="J988" s="1734"/>
      <c r="K988" s="1733"/>
      <c r="L988" s="1734"/>
      <c r="M988" s="1735"/>
      <c r="N988" s="1733"/>
      <c r="P988" s="1736"/>
      <c r="Q988" s="1722"/>
    </row>
    <row r="989">
      <c r="A989" s="1732"/>
      <c r="C989" s="1706"/>
      <c r="D989" s="1706"/>
      <c r="E989" s="1706"/>
      <c r="F989" s="1733"/>
      <c r="G989" s="1734"/>
      <c r="H989" s="1733"/>
      <c r="I989" s="1706"/>
      <c r="J989" s="1734"/>
      <c r="K989" s="1733"/>
      <c r="L989" s="1734"/>
      <c r="M989" s="1735"/>
      <c r="N989" s="1733"/>
      <c r="P989" s="1736"/>
      <c r="Q989" s="1722"/>
    </row>
    <row r="990">
      <c r="A990" s="1732"/>
      <c r="C990" s="1706"/>
      <c r="D990" s="1706"/>
      <c r="E990" s="1706"/>
      <c r="F990" s="1733"/>
      <c r="G990" s="1734"/>
      <c r="H990" s="1733"/>
      <c r="I990" s="1706"/>
      <c r="J990" s="1734"/>
      <c r="K990" s="1733"/>
      <c r="L990" s="1734"/>
      <c r="M990" s="1735"/>
      <c r="N990" s="1733"/>
      <c r="P990" s="1736"/>
      <c r="Q990" s="1722"/>
    </row>
    <row r="991">
      <c r="A991" s="1732"/>
      <c r="C991" s="1706"/>
      <c r="D991" s="1706"/>
      <c r="E991" s="1706"/>
      <c r="F991" s="1733"/>
      <c r="G991" s="1734"/>
      <c r="H991" s="1733"/>
      <c r="I991" s="1706"/>
      <c r="J991" s="1734"/>
      <c r="K991" s="1733"/>
      <c r="L991" s="1734"/>
      <c r="M991" s="1735"/>
      <c r="N991" s="1733"/>
      <c r="P991" s="1736"/>
      <c r="Q991" s="1722"/>
    </row>
    <row r="992">
      <c r="A992" s="1732"/>
      <c r="C992" s="1706"/>
      <c r="D992" s="1706"/>
      <c r="E992" s="1706"/>
      <c r="F992" s="1733"/>
      <c r="G992" s="1734"/>
      <c r="H992" s="1733"/>
      <c r="I992" s="1706"/>
      <c r="J992" s="1734"/>
      <c r="K992" s="1733"/>
      <c r="L992" s="1734"/>
      <c r="M992" s="1735"/>
      <c r="N992" s="1733"/>
      <c r="P992" s="1736"/>
      <c r="Q992" s="1722"/>
    </row>
    <row r="993">
      <c r="A993" s="1732"/>
      <c r="C993" s="1706"/>
      <c r="D993" s="1706"/>
      <c r="E993" s="1706"/>
      <c r="F993" s="1733"/>
      <c r="G993" s="1734"/>
      <c r="H993" s="1733"/>
      <c r="I993" s="1706"/>
      <c r="J993" s="1734"/>
      <c r="K993" s="1733"/>
      <c r="L993" s="1734"/>
      <c r="M993" s="1735"/>
      <c r="N993" s="1733"/>
      <c r="P993" s="1736"/>
      <c r="Q993" s="1722"/>
    </row>
    <row r="994">
      <c r="A994" s="1732"/>
      <c r="C994" s="1706"/>
      <c r="D994" s="1706"/>
      <c r="E994" s="1706"/>
      <c r="F994" s="1733"/>
      <c r="G994" s="1734"/>
      <c r="H994" s="1733"/>
      <c r="I994" s="1706"/>
      <c r="J994" s="1734"/>
      <c r="K994" s="1733"/>
      <c r="L994" s="1734"/>
      <c r="M994" s="1735"/>
      <c r="N994" s="1733"/>
      <c r="P994" s="1736"/>
      <c r="Q994" s="1722"/>
    </row>
    <row r="995">
      <c r="A995" s="1732"/>
      <c r="C995" s="1706"/>
      <c r="D995" s="1706"/>
      <c r="E995" s="1706"/>
      <c r="F995" s="1733"/>
      <c r="G995" s="1734"/>
      <c r="H995" s="1733"/>
      <c r="I995" s="1706"/>
      <c r="J995" s="1734"/>
      <c r="K995" s="1733"/>
      <c r="L995" s="1734"/>
      <c r="M995" s="1735"/>
      <c r="N995" s="1733"/>
      <c r="P995" s="1736"/>
      <c r="Q995" s="1722"/>
    </row>
    <row r="996">
      <c r="A996" s="1732"/>
      <c r="C996" s="1706"/>
      <c r="D996" s="1706"/>
      <c r="E996" s="1706"/>
      <c r="F996" s="1733"/>
      <c r="G996" s="1734"/>
      <c r="H996" s="1733"/>
      <c r="I996" s="1706"/>
      <c r="J996" s="1734"/>
      <c r="K996" s="1733"/>
      <c r="L996" s="1734"/>
      <c r="M996" s="1735"/>
      <c r="N996" s="1733"/>
      <c r="P996" s="1736"/>
      <c r="Q996" s="1722"/>
    </row>
    <row r="997">
      <c r="A997" s="1732"/>
      <c r="C997" s="1706"/>
      <c r="D997" s="1706"/>
      <c r="E997" s="1706"/>
      <c r="F997" s="1733"/>
      <c r="G997" s="1734"/>
      <c r="H997" s="1733"/>
      <c r="I997" s="1706"/>
      <c r="J997" s="1734"/>
      <c r="K997" s="1733"/>
      <c r="L997" s="1734"/>
      <c r="M997" s="1735"/>
      <c r="N997" s="1733"/>
      <c r="P997" s="1736"/>
      <c r="Q997" s="1722"/>
    </row>
    <row r="998">
      <c r="A998" s="1732"/>
      <c r="C998" s="1706"/>
      <c r="D998" s="1706"/>
      <c r="E998" s="1706"/>
      <c r="F998" s="1733"/>
      <c r="G998" s="1734"/>
      <c r="H998" s="1733"/>
      <c r="I998" s="1706"/>
      <c r="J998" s="1734"/>
      <c r="K998" s="1733"/>
      <c r="L998" s="1734"/>
      <c r="M998" s="1735"/>
      <c r="N998" s="1733"/>
      <c r="P998" s="1736"/>
      <c r="Q998" s="1722"/>
    </row>
    <row r="999">
      <c r="A999" s="1732"/>
      <c r="C999" s="1706"/>
      <c r="D999" s="1706"/>
      <c r="E999" s="1706"/>
      <c r="F999" s="1733"/>
      <c r="G999" s="1734"/>
      <c r="H999" s="1733"/>
      <c r="I999" s="1706"/>
      <c r="J999" s="1734"/>
      <c r="K999" s="1733"/>
      <c r="L999" s="1734"/>
      <c r="M999" s="1735"/>
      <c r="N999" s="1733"/>
      <c r="P999" s="1736"/>
      <c r="Q999" s="1722"/>
    </row>
    <row r="1000">
      <c r="A1000" s="1732"/>
      <c r="C1000" s="1706"/>
      <c r="D1000" s="1706"/>
      <c r="E1000" s="1706"/>
      <c r="F1000" s="1733"/>
      <c r="G1000" s="1734"/>
      <c r="H1000" s="1733"/>
      <c r="I1000" s="1706"/>
      <c r="J1000" s="1734"/>
      <c r="K1000" s="1733"/>
      <c r="L1000" s="1734"/>
      <c r="M1000" s="1735"/>
      <c r="N1000" s="1733"/>
      <c r="P1000" s="1736"/>
      <c r="Q1000" s="1722"/>
    </row>
  </sheetData>
  <mergeCells count="1032">
    <mergeCell ref="N790:O790"/>
    <mergeCell ref="N791:O791"/>
    <mergeCell ref="N793:O793"/>
    <mergeCell ref="N792:O792"/>
    <mergeCell ref="N794:O794"/>
    <mergeCell ref="N789:O789"/>
    <mergeCell ref="N788:O788"/>
    <mergeCell ref="N787:O787"/>
    <mergeCell ref="N755:O755"/>
    <mergeCell ref="N756:O756"/>
    <mergeCell ref="N754:O754"/>
    <mergeCell ref="N757:O757"/>
    <mergeCell ref="N758:O758"/>
    <mergeCell ref="N763:O763"/>
    <mergeCell ref="N769:O769"/>
    <mergeCell ref="N768:O768"/>
    <mergeCell ref="N802:O802"/>
    <mergeCell ref="N803:O803"/>
    <mergeCell ref="N818:O818"/>
    <mergeCell ref="N817:O817"/>
    <mergeCell ref="N804:O804"/>
    <mergeCell ref="N805:O805"/>
    <mergeCell ref="N807:O807"/>
    <mergeCell ref="N806:O806"/>
    <mergeCell ref="N801:O801"/>
    <mergeCell ref="N649:O649"/>
    <mergeCell ref="N651:O651"/>
    <mergeCell ref="N650:O650"/>
    <mergeCell ref="N654:O654"/>
    <mergeCell ref="N652:O652"/>
    <mergeCell ref="N653:O653"/>
    <mergeCell ref="N647:O647"/>
    <mergeCell ref="N648:O648"/>
    <mergeCell ref="N632:O632"/>
    <mergeCell ref="N634:O634"/>
    <mergeCell ref="N611:O611"/>
    <mergeCell ref="N612:O612"/>
    <mergeCell ref="N669:O669"/>
    <mergeCell ref="N666:O666"/>
    <mergeCell ref="N665:O665"/>
    <mergeCell ref="N670:O670"/>
    <mergeCell ref="N686:O686"/>
    <mergeCell ref="N692:O692"/>
    <mergeCell ref="N694:O694"/>
    <mergeCell ref="N693:O693"/>
    <mergeCell ref="N673:O673"/>
    <mergeCell ref="N674:O674"/>
    <mergeCell ref="N728:O728"/>
    <mergeCell ref="N727:O727"/>
    <mergeCell ref="N749:O749"/>
    <mergeCell ref="N752:O752"/>
    <mergeCell ref="N734:O734"/>
    <mergeCell ref="N735:O735"/>
    <mergeCell ref="N731:O731"/>
    <mergeCell ref="N729:O729"/>
    <mergeCell ref="N730:O730"/>
    <mergeCell ref="N786:O786"/>
    <mergeCell ref="N764:O764"/>
    <mergeCell ref="N766:O766"/>
    <mergeCell ref="N765:O765"/>
    <mergeCell ref="N770:O770"/>
    <mergeCell ref="N704:O704"/>
    <mergeCell ref="N703:O703"/>
    <mergeCell ref="N725:O725"/>
    <mergeCell ref="N726:O726"/>
    <mergeCell ref="N724:O724"/>
    <mergeCell ref="N723:O723"/>
    <mergeCell ref="N795:O795"/>
    <mergeCell ref="N753:O753"/>
    <mergeCell ref="N750:O750"/>
    <mergeCell ref="N751:O751"/>
    <mergeCell ref="N748:O748"/>
    <mergeCell ref="N747:O747"/>
    <mergeCell ref="N746:O746"/>
    <mergeCell ref="N740:O740"/>
    <mergeCell ref="N741:O741"/>
    <mergeCell ref="N743:O743"/>
    <mergeCell ref="N742:O742"/>
    <mergeCell ref="N744:O744"/>
    <mergeCell ref="N745:O745"/>
    <mergeCell ref="N737:O737"/>
    <mergeCell ref="N736:O736"/>
    <mergeCell ref="N738:O738"/>
    <mergeCell ref="N739:O739"/>
    <mergeCell ref="N760:O760"/>
    <mergeCell ref="N759:O759"/>
    <mergeCell ref="N733:O733"/>
    <mergeCell ref="N732:O732"/>
    <mergeCell ref="N633:O633"/>
    <mergeCell ref="N631:O631"/>
    <mergeCell ref="N635:O635"/>
    <mergeCell ref="N628:O628"/>
    <mergeCell ref="N627:O627"/>
    <mergeCell ref="N629:O629"/>
    <mergeCell ref="N630:O630"/>
    <mergeCell ref="N621:O621"/>
    <mergeCell ref="N625:O625"/>
    <mergeCell ref="N624:O624"/>
    <mergeCell ref="N626:O626"/>
    <mergeCell ref="N622:O622"/>
    <mergeCell ref="N623:O623"/>
    <mergeCell ref="N620:O620"/>
    <mergeCell ref="N619:O619"/>
    <mergeCell ref="N646:O646"/>
    <mergeCell ref="N645:O645"/>
    <mergeCell ref="N643:O643"/>
    <mergeCell ref="N642:O642"/>
    <mergeCell ref="N640:O640"/>
    <mergeCell ref="N641:O641"/>
    <mergeCell ref="N638:O638"/>
    <mergeCell ref="N639:O639"/>
    <mergeCell ref="N609:O609"/>
    <mergeCell ref="N610:O610"/>
    <mergeCell ref="N615:O615"/>
    <mergeCell ref="N616:O616"/>
    <mergeCell ref="N617:O617"/>
    <mergeCell ref="N618:O618"/>
    <mergeCell ref="N599:O599"/>
    <mergeCell ref="N598:O598"/>
    <mergeCell ref="N594:O594"/>
    <mergeCell ref="N595:O595"/>
    <mergeCell ref="N603:O603"/>
    <mergeCell ref="N602:O602"/>
    <mergeCell ref="N601:O601"/>
    <mergeCell ref="N600:O600"/>
    <mergeCell ref="N604:O604"/>
    <mergeCell ref="N606:O606"/>
    <mergeCell ref="N605:O605"/>
    <mergeCell ref="N607:O607"/>
    <mergeCell ref="N608:O608"/>
    <mergeCell ref="N593:O593"/>
    <mergeCell ref="N596:O596"/>
    <mergeCell ref="N597:O597"/>
    <mergeCell ref="N705:O705"/>
    <mergeCell ref="N700:O700"/>
    <mergeCell ref="N701:O701"/>
    <mergeCell ref="N702:O702"/>
    <mergeCell ref="N664:O664"/>
    <mergeCell ref="N663:O663"/>
    <mergeCell ref="N721:O721"/>
    <mergeCell ref="N722:O722"/>
    <mergeCell ref="N719:O719"/>
    <mergeCell ref="N720:O720"/>
    <mergeCell ref="N706:O706"/>
    <mergeCell ref="N672:O672"/>
    <mergeCell ref="N671:O671"/>
    <mergeCell ref="N667:O667"/>
    <mergeCell ref="N668:O668"/>
    <mergeCell ref="N676:O676"/>
    <mergeCell ref="N675:O675"/>
    <mergeCell ref="N679:O679"/>
    <mergeCell ref="N677:O677"/>
    <mergeCell ref="N678:O678"/>
    <mergeCell ref="N685:O685"/>
    <mergeCell ref="N680:O680"/>
    <mergeCell ref="N699:O699"/>
    <mergeCell ref="N695:O695"/>
    <mergeCell ref="N698:O698"/>
    <mergeCell ref="N696:O696"/>
    <mergeCell ref="N697:O697"/>
    <mergeCell ref="N687:O687"/>
    <mergeCell ref="N691:O691"/>
    <mergeCell ref="N909:O909"/>
    <mergeCell ref="N914:O914"/>
    <mergeCell ref="N931:O931"/>
    <mergeCell ref="N932:O932"/>
    <mergeCell ref="N908:O908"/>
    <mergeCell ref="N942:O942"/>
    <mergeCell ref="N935:O935"/>
    <mergeCell ref="N936:O936"/>
    <mergeCell ref="N926:O926"/>
    <mergeCell ref="N925:O925"/>
    <mergeCell ref="N920:O920"/>
    <mergeCell ref="N960:O960"/>
    <mergeCell ref="N961:O961"/>
    <mergeCell ref="N963:O963"/>
    <mergeCell ref="N962:O962"/>
    <mergeCell ref="N959:O959"/>
    <mergeCell ref="N958:O958"/>
    <mergeCell ref="N957:O957"/>
    <mergeCell ref="N955:O955"/>
    <mergeCell ref="N956:O956"/>
    <mergeCell ref="N823:O823"/>
    <mergeCell ref="N825:O825"/>
    <mergeCell ref="N824:O824"/>
    <mergeCell ref="N821:O821"/>
    <mergeCell ref="N819:O819"/>
    <mergeCell ref="N820:O820"/>
    <mergeCell ref="N796:O796"/>
    <mergeCell ref="N799:O799"/>
    <mergeCell ref="N800:O800"/>
    <mergeCell ref="N798:O798"/>
    <mergeCell ref="N797:O797"/>
    <mergeCell ref="N830:O830"/>
    <mergeCell ref="N829:O829"/>
    <mergeCell ref="N326:O326"/>
    <mergeCell ref="N325:O325"/>
    <mergeCell ref="N324:O324"/>
    <mergeCell ref="N323:O323"/>
    <mergeCell ref="N333:O333"/>
    <mergeCell ref="N334:O334"/>
    <mergeCell ref="N338:O338"/>
    <mergeCell ref="N328:O328"/>
    <mergeCell ref="N327:O327"/>
    <mergeCell ref="N339:O339"/>
    <mergeCell ref="N329:O329"/>
    <mergeCell ref="N332:O332"/>
    <mergeCell ref="N322:O322"/>
    <mergeCell ref="N335:O335"/>
    <mergeCell ref="N232:O232"/>
    <mergeCell ref="N228:O228"/>
    <mergeCell ref="N229:O229"/>
    <mergeCell ref="N227:O227"/>
    <mergeCell ref="N226:O226"/>
    <mergeCell ref="N162:O162"/>
    <mergeCell ref="N164:O164"/>
    <mergeCell ref="N218:O218"/>
    <mergeCell ref="N216:O216"/>
    <mergeCell ref="N199:O199"/>
    <mergeCell ref="N196:O196"/>
    <mergeCell ref="N214:O214"/>
    <mergeCell ref="N189:O189"/>
    <mergeCell ref="N203:O203"/>
    <mergeCell ref="N202:O202"/>
    <mergeCell ref="N200:O200"/>
    <mergeCell ref="N201:O201"/>
    <mergeCell ref="N213:O213"/>
    <mergeCell ref="N187:O187"/>
    <mergeCell ref="N197:O197"/>
    <mergeCell ref="N160:O160"/>
    <mergeCell ref="N161:O161"/>
    <mergeCell ref="N233:O233"/>
    <mergeCell ref="N219:O219"/>
    <mergeCell ref="N220:O220"/>
    <mergeCell ref="N225:O225"/>
    <mergeCell ref="N215:O215"/>
    <mergeCell ref="N223:O223"/>
    <mergeCell ref="N224:O224"/>
    <mergeCell ref="N222:O222"/>
    <mergeCell ref="N221:O221"/>
    <mergeCell ref="N163:O163"/>
    <mergeCell ref="N172:O172"/>
    <mergeCell ref="N173:O173"/>
    <mergeCell ref="N181:O181"/>
    <mergeCell ref="N178:O178"/>
    <mergeCell ref="N180:O180"/>
    <mergeCell ref="N179:O179"/>
    <mergeCell ref="N182:O182"/>
    <mergeCell ref="N186:O186"/>
    <mergeCell ref="N183:O183"/>
    <mergeCell ref="N204:O204"/>
    <mergeCell ref="N205:O205"/>
    <mergeCell ref="N217:O217"/>
    <mergeCell ref="N207:O207"/>
    <mergeCell ref="N236:O236"/>
    <mergeCell ref="N237:O237"/>
    <mergeCell ref="N265:O265"/>
    <mergeCell ref="N266:O266"/>
    <mergeCell ref="N235:O235"/>
    <mergeCell ref="N240:O240"/>
    <mergeCell ref="N252:O252"/>
    <mergeCell ref="N251:O251"/>
    <mergeCell ref="N206:O206"/>
    <mergeCell ref="N245:O245"/>
    <mergeCell ref="N331:O331"/>
    <mergeCell ref="N330:O330"/>
    <mergeCell ref="N336:O336"/>
    <mergeCell ref="N337:O337"/>
    <mergeCell ref="N159:O159"/>
    <mergeCell ref="N158:O158"/>
    <mergeCell ref="N157:O157"/>
    <mergeCell ref="N123:O123"/>
    <mergeCell ref="N124:O124"/>
    <mergeCell ref="N96:O96"/>
    <mergeCell ref="N114:O114"/>
    <mergeCell ref="N129:O129"/>
    <mergeCell ref="N132:O132"/>
    <mergeCell ref="N125:O125"/>
    <mergeCell ref="N128:O128"/>
    <mergeCell ref="N122:O122"/>
    <mergeCell ref="N310:O310"/>
    <mergeCell ref="N311:O311"/>
    <mergeCell ref="N313:O313"/>
    <mergeCell ref="N301:O301"/>
    <mergeCell ref="N302:O302"/>
    <mergeCell ref="N300:O300"/>
    <mergeCell ref="N299:O299"/>
    <mergeCell ref="N315:O315"/>
    <mergeCell ref="N312:O312"/>
    <mergeCell ref="N317:O317"/>
    <mergeCell ref="N316:O316"/>
    <mergeCell ref="N288:O288"/>
    <mergeCell ref="N295:O295"/>
    <mergeCell ref="N289:O289"/>
    <mergeCell ref="N296:O296"/>
    <mergeCell ref="N297:O297"/>
    <mergeCell ref="N318:O318"/>
    <mergeCell ref="N314:O314"/>
    <mergeCell ref="N307:O307"/>
    <mergeCell ref="N306:O306"/>
    <mergeCell ref="N305:O305"/>
    <mergeCell ref="N304:O304"/>
    <mergeCell ref="N320:O320"/>
    <mergeCell ref="N319:O319"/>
    <mergeCell ref="N321:O321"/>
    <mergeCell ref="N303:O303"/>
    <mergeCell ref="N287:O287"/>
    <mergeCell ref="N298:O298"/>
    <mergeCell ref="N309:O309"/>
    <mergeCell ref="N308:O308"/>
    <mergeCell ref="N95:O95"/>
    <mergeCell ref="N90:O90"/>
    <mergeCell ref="N89:O89"/>
    <mergeCell ref="N87:O87"/>
    <mergeCell ref="N86:O86"/>
    <mergeCell ref="N85:O85"/>
    <mergeCell ref="N88:O88"/>
    <mergeCell ref="N66:O66"/>
    <mergeCell ref="N59:O59"/>
    <mergeCell ref="N63:O63"/>
    <mergeCell ref="N64:O64"/>
    <mergeCell ref="N58:O58"/>
    <mergeCell ref="N56:O56"/>
    <mergeCell ref="N55:O55"/>
    <mergeCell ref="N82:O82"/>
    <mergeCell ref="N80:O80"/>
    <mergeCell ref="N81:O81"/>
    <mergeCell ref="N79:O79"/>
    <mergeCell ref="N71:O71"/>
    <mergeCell ref="N70:O70"/>
    <mergeCell ref="N83:O83"/>
    <mergeCell ref="N84:O84"/>
    <mergeCell ref="N43:O43"/>
    <mergeCell ref="N42:O42"/>
    <mergeCell ref="N44:O44"/>
    <mergeCell ref="N45:O45"/>
    <mergeCell ref="N139:O139"/>
    <mergeCell ref="N155:O155"/>
    <mergeCell ref="N156:O156"/>
    <mergeCell ref="N98:O98"/>
    <mergeCell ref="N102:O102"/>
    <mergeCell ref="N101:O101"/>
    <mergeCell ref="N99:O99"/>
    <mergeCell ref="N100:O100"/>
    <mergeCell ref="N103:O103"/>
    <mergeCell ref="N104:O104"/>
    <mergeCell ref="N105:O105"/>
    <mergeCell ref="N108:O108"/>
    <mergeCell ref="N107:O107"/>
    <mergeCell ref="N121:O121"/>
    <mergeCell ref="N120:O120"/>
    <mergeCell ref="N53:O53"/>
    <mergeCell ref="N52:O52"/>
    <mergeCell ref="N50:O50"/>
    <mergeCell ref="N51:O51"/>
    <mergeCell ref="N60:O60"/>
    <mergeCell ref="N65:O65"/>
    <mergeCell ref="N239:O239"/>
    <mergeCell ref="N238:O238"/>
    <mergeCell ref="N231:O231"/>
    <mergeCell ref="N230:O230"/>
    <mergeCell ref="N234:O234"/>
    <mergeCell ref="N242:O242"/>
    <mergeCell ref="N241:O241"/>
    <mergeCell ref="N243:O243"/>
    <mergeCell ref="N244:O244"/>
    <mergeCell ref="N271:O271"/>
    <mergeCell ref="N272:O272"/>
    <mergeCell ref="N274:O274"/>
    <mergeCell ref="N284:O284"/>
    <mergeCell ref="N277:O277"/>
    <mergeCell ref="N278:O278"/>
    <mergeCell ref="N282:O282"/>
    <mergeCell ref="N281:O281"/>
    <mergeCell ref="N285:O285"/>
    <mergeCell ref="N286:O286"/>
    <mergeCell ref="N257:O257"/>
    <mergeCell ref="N256:O256"/>
    <mergeCell ref="N254:O254"/>
    <mergeCell ref="N253:O253"/>
    <mergeCell ref="N258:O258"/>
    <mergeCell ref="N248:O248"/>
    <mergeCell ref="N247:O247"/>
    <mergeCell ref="N249:O249"/>
    <mergeCell ref="N250:O250"/>
    <mergeCell ref="N246:O246"/>
    <mergeCell ref="N259:O259"/>
    <mergeCell ref="N255:O255"/>
    <mergeCell ref="N268:O268"/>
    <mergeCell ref="N267:O267"/>
    <mergeCell ref="N261:O261"/>
    <mergeCell ref="N260:O260"/>
    <mergeCell ref="N262:O262"/>
    <mergeCell ref="N264:O264"/>
    <mergeCell ref="N263:O263"/>
    <mergeCell ref="N270:O270"/>
    <mergeCell ref="N269:O269"/>
    <mergeCell ref="N424:O424"/>
    <mergeCell ref="N423:O423"/>
    <mergeCell ref="N415:O415"/>
    <mergeCell ref="N416:O416"/>
    <mergeCell ref="N428:O428"/>
    <mergeCell ref="N427:O427"/>
    <mergeCell ref="N419:O419"/>
    <mergeCell ref="N431:O431"/>
    <mergeCell ref="N422:O422"/>
    <mergeCell ref="N465:O465"/>
    <mergeCell ref="N476:O476"/>
    <mergeCell ref="N489:O489"/>
    <mergeCell ref="N488:O488"/>
    <mergeCell ref="N495:O495"/>
    <mergeCell ref="N447:O447"/>
    <mergeCell ref="N440:O440"/>
    <mergeCell ref="N441:O441"/>
    <mergeCell ref="N494:O494"/>
    <mergeCell ref="N493:O493"/>
    <mergeCell ref="N442:O442"/>
    <mergeCell ref="N406:O406"/>
    <mergeCell ref="N414:O414"/>
    <mergeCell ref="N409:O409"/>
    <mergeCell ref="N412:O412"/>
    <mergeCell ref="N411:O411"/>
    <mergeCell ref="N413:O413"/>
    <mergeCell ref="N407:O407"/>
    <mergeCell ref="N391:O391"/>
    <mergeCell ref="N390:O390"/>
    <mergeCell ref="N389:O389"/>
    <mergeCell ref="N394:O394"/>
    <mergeCell ref="N401:O401"/>
    <mergeCell ref="N397:O397"/>
    <mergeCell ref="N405:O405"/>
    <mergeCell ref="N404:O404"/>
    <mergeCell ref="N388:O388"/>
    <mergeCell ref="N421:O421"/>
    <mergeCell ref="N420:O420"/>
    <mergeCell ref="N782:O782"/>
    <mergeCell ref="N774:O774"/>
    <mergeCell ref="N778:O778"/>
    <mergeCell ref="N777:O777"/>
    <mergeCell ref="N776:O776"/>
    <mergeCell ref="N775:O775"/>
    <mergeCell ref="N779:O779"/>
    <mergeCell ref="N683:O683"/>
    <mergeCell ref="N684:O684"/>
    <mergeCell ref="N690:O690"/>
    <mergeCell ref="N688:O688"/>
    <mergeCell ref="N689:O689"/>
    <mergeCell ref="N783:O783"/>
    <mergeCell ref="N761:O761"/>
    <mergeCell ref="N767:O767"/>
    <mergeCell ref="N762:O762"/>
    <mergeCell ref="N773:O773"/>
    <mergeCell ref="N771:O771"/>
    <mergeCell ref="N772:O772"/>
    <mergeCell ref="N780:O780"/>
    <mergeCell ref="N781:O781"/>
    <mergeCell ref="N718:O718"/>
    <mergeCell ref="N713:O713"/>
    <mergeCell ref="N714:O714"/>
    <mergeCell ref="N715:O715"/>
    <mergeCell ref="N716:O716"/>
    <mergeCell ref="N717:O717"/>
    <mergeCell ref="N712:O712"/>
    <mergeCell ref="N711:O711"/>
    <mergeCell ref="N710:O710"/>
    <mergeCell ref="N709:O709"/>
    <mergeCell ref="N708:O708"/>
    <mergeCell ref="N707:O707"/>
    <mergeCell ref="N662:O662"/>
    <mergeCell ref="N655:O655"/>
    <mergeCell ref="N661:O661"/>
    <mergeCell ref="N660:O660"/>
    <mergeCell ref="N658:O658"/>
    <mergeCell ref="N659:O659"/>
    <mergeCell ref="N657:O657"/>
    <mergeCell ref="N656:O656"/>
    <mergeCell ref="N637:O637"/>
    <mergeCell ref="N636:O636"/>
    <mergeCell ref="N681:O681"/>
    <mergeCell ref="N614:O614"/>
    <mergeCell ref="N613:O613"/>
    <mergeCell ref="N682:O682"/>
    <mergeCell ref="N644:O644"/>
    <mergeCell ref="N585:O585"/>
    <mergeCell ref="N586:O586"/>
    <mergeCell ref="N580:O580"/>
    <mergeCell ref="N581:O581"/>
    <mergeCell ref="N582:O582"/>
    <mergeCell ref="N584:O584"/>
    <mergeCell ref="N588:O588"/>
    <mergeCell ref="N587:O587"/>
    <mergeCell ref="N583:O583"/>
    <mergeCell ref="N542:O542"/>
    <mergeCell ref="N543:O543"/>
    <mergeCell ref="N530:O530"/>
    <mergeCell ref="N528:O528"/>
    <mergeCell ref="N522:O522"/>
    <mergeCell ref="N523:O523"/>
    <mergeCell ref="N525:O525"/>
    <mergeCell ref="N511:O511"/>
    <mergeCell ref="N510:O510"/>
    <mergeCell ref="N561:O561"/>
    <mergeCell ref="N560:O560"/>
    <mergeCell ref="N549:O549"/>
    <mergeCell ref="N544:O544"/>
    <mergeCell ref="N545:O545"/>
    <mergeCell ref="N546:O546"/>
    <mergeCell ref="N541:O541"/>
    <mergeCell ref="N539:O539"/>
    <mergeCell ref="N538:O538"/>
    <mergeCell ref="N279:O279"/>
    <mergeCell ref="N273:O273"/>
    <mergeCell ref="N275:O275"/>
    <mergeCell ref="N276:O276"/>
    <mergeCell ref="N280:O280"/>
    <mergeCell ref="N292:O292"/>
    <mergeCell ref="N291:O291"/>
    <mergeCell ref="N293:O293"/>
    <mergeCell ref="N294:O294"/>
    <mergeCell ref="N290:O290"/>
    <mergeCell ref="N283:O283"/>
    <mergeCell ref="N209:O209"/>
    <mergeCell ref="N210:O210"/>
    <mergeCell ref="N198:O198"/>
    <mergeCell ref="N191:O191"/>
    <mergeCell ref="N195:O195"/>
    <mergeCell ref="N192:O192"/>
    <mergeCell ref="N193:O193"/>
    <mergeCell ref="N194:O194"/>
    <mergeCell ref="N190:O190"/>
    <mergeCell ref="N188:O188"/>
    <mergeCell ref="N184:O184"/>
    <mergeCell ref="N185:O185"/>
    <mergeCell ref="N169:O169"/>
    <mergeCell ref="N175:O175"/>
    <mergeCell ref="N170:O170"/>
    <mergeCell ref="N171:O171"/>
    <mergeCell ref="N174:O174"/>
    <mergeCell ref="N177:O177"/>
    <mergeCell ref="N176:O176"/>
    <mergeCell ref="N168:O168"/>
    <mergeCell ref="N166:O166"/>
    <mergeCell ref="N167:O167"/>
    <mergeCell ref="N165:O165"/>
    <mergeCell ref="N211:O211"/>
    <mergeCell ref="N212:O212"/>
    <mergeCell ref="N208:O208"/>
    <mergeCell ref="N418:O418"/>
    <mergeCell ref="N408:O408"/>
    <mergeCell ref="N410:O410"/>
    <mergeCell ref="N417:O417"/>
    <mergeCell ref="N374:O374"/>
    <mergeCell ref="N376:O376"/>
    <mergeCell ref="N402:O402"/>
    <mergeCell ref="N403:O403"/>
    <mergeCell ref="N400:O400"/>
    <mergeCell ref="N398:O398"/>
    <mergeCell ref="N399:O399"/>
    <mergeCell ref="N435:O435"/>
    <mergeCell ref="N434:O434"/>
    <mergeCell ref="N430:O430"/>
    <mergeCell ref="N429:O429"/>
    <mergeCell ref="N426:O426"/>
    <mergeCell ref="N425:O425"/>
    <mergeCell ref="N387:O387"/>
    <mergeCell ref="N392:O392"/>
    <mergeCell ref="N396:O396"/>
    <mergeCell ref="N393:O393"/>
    <mergeCell ref="N395:O395"/>
    <mergeCell ref="N384:O384"/>
    <mergeCell ref="N386:O386"/>
    <mergeCell ref="N385:O385"/>
    <mergeCell ref="N369:O369"/>
    <mergeCell ref="N367:O367"/>
    <mergeCell ref="N368:O368"/>
    <mergeCell ref="N373:O373"/>
    <mergeCell ref="N372:O372"/>
    <mergeCell ref="N371:O371"/>
    <mergeCell ref="N370:O370"/>
    <mergeCell ref="N357:O357"/>
    <mergeCell ref="N360:O360"/>
    <mergeCell ref="N365:O365"/>
    <mergeCell ref="N366:O366"/>
    <mergeCell ref="N358:O358"/>
    <mergeCell ref="N383:O383"/>
    <mergeCell ref="N381:O381"/>
    <mergeCell ref="N382:O382"/>
    <mergeCell ref="N375:O375"/>
    <mergeCell ref="N378:O378"/>
    <mergeCell ref="N377:O377"/>
    <mergeCell ref="N348:O348"/>
    <mergeCell ref="N345:O345"/>
    <mergeCell ref="N347:O347"/>
    <mergeCell ref="N346:O346"/>
    <mergeCell ref="N340:O340"/>
    <mergeCell ref="N341:O341"/>
    <mergeCell ref="N351:O351"/>
    <mergeCell ref="N352:O352"/>
    <mergeCell ref="N355:O355"/>
    <mergeCell ref="N356:O356"/>
    <mergeCell ref="N349:O349"/>
    <mergeCell ref="N350:O350"/>
    <mergeCell ref="N354:O354"/>
    <mergeCell ref="N353:O353"/>
    <mergeCell ref="N343:O343"/>
    <mergeCell ref="N359:O359"/>
    <mergeCell ref="N362:O362"/>
    <mergeCell ref="N361:O361"/>
    <mergeCell ref="N363:O363"/>
    <mergeCell ref="N364:O364"/>
    <mergeCell ref="N380:O380"/>
    <mergeCell ref="N379:O379"/>
    <mergeCell ref="N437:O437"/>
    <mergeCell ref="N436:O436"/>
    <mergeCell ref="N433:O433"/>
    <mergeCell ref="N432:O432"/>
    <mergeCell ref="N439:O439"/>
    <mergeCell ref="N438:O438"/>
    <mergeCell ref="N344:O344"/>
    <mergeCell ref="N342:O342"/>
    <mergeCell ref="N137:O137"/>
    <mergeCell ref="N136:O136"/>
    <mergeCell ref="N140:O140"/>
    <mergeCell ref="N143:O143"/>
    <mergeCell ref="N141:O141"/>
    <mergeCell ref="N142:O142"/>
    <mergeCell ref="N138:O138"/>
    <mergeCell ref="N133:O133"/>
    <mergeCell ref="N131:O131"/>
    <mergeCell ref="N97:O97"/>
    <mergeCell ref="N113:O113"/>
    <mergeCell ref="N112:O112"/>
    <mergeCell ref="N111:O111"/>
    <mergeCell ref="N106:O106"/>
    <mergeCell ref="N110:O110"/>
    <mergeCell ref="N109:O109"/>
    <mergeCell ref="N75:O75"/>
    <mergeCell ref="N74:O74"/>
    <mergeCell ref="N61:O61"/>
    <mergeCell ref="N78:O78"/>
    <mergeCell ref="N72:O72"/>
    <mergeCell ref="N69:O69"/>
    <mergeCell ref="N73:O73"/>
    <mergeCell ref="N62:O62"/>
    <mergeCell ref="N91:O91"/>
    <mergeCell ref="N92:O92"/>
    <mergeCell ref="N93:O93"/>
    <mergeCell ref="N94:O94"/>
    <mergeCell ref="N117:O117"/>
    <mergeCell ref="N116:O116"/>
    <mergeCell ref="N135:O135"/>
    <mergeCell ref="N134:O134"/>
    <mergeCell ref="N126:O126"/>
    <mergeCell ref="N144:O144"/>
    <mergeCell ref="N145:O145"/>
    <mergeCell ref="N151:O151"/>
    <mergeCell ref="N152:O152"/>
    <mergeCell ref="N154:O154"/>
    <mergeCell ref="N153:O153"/>
    <mergeCell ref="N150:O150"/>
    <mergeCell ref="N147:O147"/>
    <mergeCell ref="N149:O149"/>
    <mergeCell ref="N148:O148"/>
    <mergeCell ref="N146:O146"/>
    <mergeCell ref="N31:O31"/>
    <mergeCell ref="N29:O29"/>
    <mergeCell ref="N30:O30"/>
    <mergeCell ref="N17:O17"/>
    <mergeCell ref="N18:O18"/>
    <mergeCell ref="N19:O19"/>
    <mergeCell ref="N15:O15"/>
    <mergeCell ref="N16:O16"/>
    <mergeCell ref="N24:O24"/>
    <mergeCell ref="N28:O28"/>
    <mergeCell ref="N27:O27"/>
    <mergeCell ref="N26:O26"/>
    <mergeCell ref="N38:O38"/>
    <mergeCell ref="M22:M29"/>
    <mergeCell ref="M13:M20"/>
    <mergeCell ref="N32:O32"/>
    <mergeCell ref="N36:O36"/>
    <mergeCell ref="N37:O37"/>
    <mergeCell ref="N20:O20"/>
    <mergeCell ref="N48:O48"/>
    <mergeCell ref="N49:O49"/>
    <mergeCell ref="N54:O54"/>
    <mergeCell ref="N57:O57"/>
    <mergeCell ref="N47:O47"/>
    <mergeCell ref="N46:O46"/>
    <mergeCell ref="N22:O22"/>
    <mergeCell ref="N23:O23"/>
    <mergeCell ref="N33:O33"/>
    <mergeCell ref="N35:O35"/>
    <mergeCell ref="N34:O34"/>
    <mergeCell ref="N68:O68"/>
    <mergeCell ref="N67:O67"/>
    <mergeCell ref="N77:O77"/>
    <mergeCell ref="N76:O76"/>
    <mergeCell ref="N115:O115"/>
    <mergeCell ref="N119:O119"/>
    <mergeCell ref="N118:O118"/>
    <mergeCell ref="N130:O130"/>
    <mergeCell ref="N127:O127"/>
    <mergeCell ref="N39:O39"/>
    <mergeCell ref="N41:O41"/>
    <mergeCell ref="N40:O40"/>
    <mergeCell ref="N13:O13"/>
    <mergeCell ref="N14:O14"/>
    <mergeCell ref="N7:O7"/>
    <mergeCell ref="N8:O8"/>
    <mergeCell ref="P22:P28"/>
    <mergeCell ref="P13:P19"/>
    <mergeCell ref="N25:O25"/>
    <mergeCell ref="N21:O21"/>
    <mergeCell ref="N12:O12"/>
    <mergeCell ref="N11:O11"/>
    <mergeCell ref="H11:J11"/>
    <mergeCell ref="K11:L11"/>
    <mergeCell ref="F11:G11"/>
    <mergeCell ref="C11:E11"/>
    <mergeCell ref="F12:G12"/>
    <mergeCell ref="F29:G29"/>
    <mergeCell ref="C29:E29"/>
    <mergeCell ref="N2:O2"/>
    <mergeCell ref="N1:O1"/>
    <mergeCell ref="H1:J1"/>
    <mergeCell ref="K1:L1"/>
    <mergeCell ref="B1:E1"/>
    <mergeCell ref="F1:G1"/>
    <mergeCell ref="F3:G3"/>
    <mergeCell ref="M4:M11"/>
    <mergeCell ref="N10:O10"/>
    <mergeCell ref="P4:P10"/>
    <mergeCell ref="N9:O9"/>
    <mergeCell ref="N5:O5"/>
    <mergeCell ref="N6:O6"/>
    <mergeCell ref="N4:O4"/>
    <mergeCell ref="N3:O3"/>
    <mergeCell ref="H30:J30"/>
    <mergeCell ref="K30:L30"/>
    <mergeCell ref="C20:E20"/>
    <mergeCell ref="A12:A20"/>
    <mergeCell ref="A21:A29"/>
    <mergeCell ref="B30:E30"/>
    <mergeCell ref="A2:A11"/>
    <mergeCell ref="H20:J20"/>
    <mergeCell ref="F21:G21"/>
    <mergeCell ref="F20:G20"/>
    <mergeCell ref="K20:L20"/>
    <mergeCell ref="H29:J29"/>
    <mergeCell ref="F30:G30"/>
    <mergeCell ref="K29:L29"/>
    <mergeCell ref="N466:O466"/>
    <mergeCell ref="N472:O472"/>
    <mergeCell ref="N468:O468"/>
    <mergeCell ref="N467:O467"/>
    <mergeCell ref="N471:O471"/>
    <mergeCell ref="N469:O469"/>
    <mergeCell ref="N470:O470"/>
    <mergeCell ref="N453:O453"/>
    <mergeCell ref="N460:O460"/>
    <mergeCell ref="N459:O459"/>
    <mergeCell ref="N455:O455"/>
    <mergeCell ref="N456:O456"/>
    <mergeCell ref="N454:O454"/>
    <mergeCell ref="N457:O457"/>
    <mergeCell ref="N458:O458"/>
    <mergeCell ref="N461:O461"/>
    <mergeCell ref="N464:O464"/>
    <mergeCell ref="N462:O462"/>
    <mergeCell ref="N463:O463"/>
    <mergeCell ref="N481:O481"/>
    <mergeCell ref="N484:O484"/>
    <mergeCell ref="N483:O483"/>
    <mergeCell ref="N482:O482"/>
    <mergeCell ref="N449:O449"/>
    <mergeCell ref="N452:O452"/>
    <mergeCell ref="N450:O450"/>
    <mergeCell ref="N479:O479"/>
    <mergeCell ref="N478:O478"/>
    <mergeCell ref="N446:O446"/>
    <mergeCell ref="N445:O445"/>
    <mergeCell ref="N502:O502"/>
    <mergeCell ref="N504:O504"/>
    <mergeCell ref="N503:O503"/>
    <mergeCell ref="N496:O496"/>
    <mergeCell ref="N499:O499"/>
    <mergeCell ref="N500:O500"/>
    <mergeCell ref="N508:O508"/>
    <mergeCell ref="N497:O497"/>
    <mergeCell ref="N498:O498"/>
    <mergeCell ref="N501:O501"/>
    <mergeCell ref="N507:O507"/>
    <mergeCell ref="N475:O475"/>
    <mergeCell ref="N473:O473"/>
    <mergeCell ref="N474:O474"/>
    <mergeCell ref="N477:O477"/>
    <mergeCell ref="N443:O443"/>
    <mergeCell ref="N444:O444"/>
    <mergeCell ref="N485:O485"/>
    <mergeCell ref="N486:O486"/>
    <mergeCell ref="N480:O480"/>
    <mergeCell ref="N490:O490"/>
    <mergeCell ref="N491:O491"/>
    <mergeCell ref="N492:O492"/>
    <mergeCell ref="N487:O487"/>
    <mergeCell ref="N448:O448"/>
    <mergeCell ref="N451:O451"/>
    <mergeCell ref="N506:O506"/>
    <mergeCell ref="N505:O505"/>
    <mergeCell ref="N570:O570"/>
    <mergeCell ref="N568:O568"/>
    <mergeCell ref="N569:O569"/>
    <mergeCell ref="N577:O577"/>
    <mergeCell ref="N576:O576"/>
    <mergeCell ref="N564:O564"/>
    <mergeCell ref="N566:O566"/>
    <mergeCell ref="N563:O563"/>
    <mergeCell ref="N562:O562"/>
    <mergeCell ref="N575:O575"/>
    <mergeCell ref="N578:O578"/>
    <mergeCell ref="N579:O579"/>
    <mergeCell ref="N573:O573"/>
    <mergeCell ref="N574:O574"/>
    <mergeCell ref="N519:O519"/>
    <mergeCell ref="N520:O520"/>
    <mergeCell ref="N531:O531"/>
    <mergeCell ref="N526:O526"/>
    <mergeCell ref="N524:O524"/>
    <mergeCell ref="N521:O521"/>
    <mergeCell ref="N529:O529"/>
    <mergeCell ref="N527:O527"/>
    <mergeCell ref="N518:O518"/>
    <mergeCell ref="N552:O552"/>
    <mergeCell ref="N551:O551"/>
    <mergeCell ref="N565:O565"/>
    <mergeCell ref="N567:O567"/>
    <mergeCell ref="N572:O572"/>
    <mergeCell ref="N571:O571"/>
    <mergeCell ref="N589:O589"/>
    <mergeCell ref="N592:O592"/>
    <mergeCell ref="N590:O590"/>
    <mergeCell ref="N591:O591"/>
    <mergeCell ref="N517:O517"/>
    <mergeCell ref="N515:O515"/>
    <mergeCell ref="N516:O516"/>
    <mergeCell ref="N509:O509"/>
    <mergeCell ref="N512:O512"/>
    <mergeCell ref="N514:O514"/>
    <mergeCell ref="N513:O513"/>
    <mergeCell ref="N540:O540"/>
    <mergeCell ref="N537:O537"/>
    <mergeCell ref="N536:O536"/>
    <mergeCell ref="N532:O532"/>
    <mergeCell ref="N533:O533"/>
    <mergeCell ref="N534:O534"/>
    <mergeCell ref="N535:O535"/>
    <mergeCell ref="N550:O550"/>
    <mergeCell ref="N548:O548"/>
    <mergeCell ref="N547:O547"/>
    <mergeCell ref="N553:O553"/>
    <mergeCell ref="N554:O554"/>
    <mergeCell ref="N555:O555"/>
    <mergeCell ref="N557:O557"/>
    <mergeCell ref="N556:O556"/>
    <mergeCell ref="N558:O558"/>
    <mergeCell ref="N559:O559"/>
    <mergeCell ref="N812:O812"/>
    <mergeCell ref="N832:O832"/>
    <mergeCell ref="N849:O849"/>
    <mergeCell ref="N837:O837"/>
    <mergeCell ref="N841:O841"/>
    <mergeCell ref="N840:O840"/>
    <mergeCell ref="N838:O838"/>
    <mergeCell ref="N843:O843"/>
    <mergeCell ref="N835:O835"/>
    <mergeCell ref="N836:O836"/>
    <mergeCell ref="N784:O784"/>
    <mergeCell ref="N785:O785"/>
    <mergeCell ref="N904:O904"/>
    <mergeCell ref="N903:O903"/>
    <mergeCell ref="N901:O901"/>
    <mergeCell ref="N900:O900"/>
    <mergeCell ref="N864:O864"/>
    <mergeCell ref="N834:O834"/>
    <mergeCell ref="N898:O898"/>
    <mergeCell ref="N896:O896"/>
    <mergeCell ref="N897:O897"/>
    <mergeCell ref="N905:O905"/>
    <mergeCell ref="N902:O902"/>
    <mergeCell ref="N906:O906"/>
    <mergeCell ref="N907:O907"/>
    <mergeCell ref="N855:O855"/>
    <mergeCell ref="N856:O856"/>
    <mergeCell ref="N858:O858"/>
    <mergeCell ref="N863:O863"/>
    <mergeCell ref="N862:O862"/>
    <mergeCell ref="N861:O861"/>
    <mergeCell ref="N860:O860"/>
    <mergeCell ref="N859:O859"/>
    <mergeCell ref="N866:O866"/>
    <mergeCell ref="N865:O865"/>
    <mergeCell ref="N885:O885"/>
    <mergeCell ref="N884:O884"/>
    <mergeCell ref="N911:O911"/>
    <mergeCell ref="N910:O910"/>
    <mergeCell ref="N941:O941"/>
    <mergeCell ref="N943:O943"/>
    <mergeCell ref="N899:O899"/>
    <mergeCell ref="N886:O886"/>
    <mergeCell ref="N887:O887"/>
    <mergeCell ref="N890:O890"/>
    <mergeCell ref="N888:O888"/>
    <mergeCell ref="N889:O889"/>
    <mergeCell ref="N891:O891"/>
    <mergeCell ref="N814:O814"/>
    <mergeCell ref="N815:O815"/>
    <mergeCell ref="N811:O811"/>
    <mergeCell ref="N810:O810"/>
    <mergeCell ref="N808:O808"/>
    <mergeCell ref="N809:O809"/>
    <mergeCell ref="N822:O822"/>
    <mergeCell ref="N827:O827"/>
    <mergeCell ref="N826:O826"/>
    <mergeCell ref="N828:O828"/>
    <mergeCell ref="N831:O831"/>
    <mergeCell ref="N842:O842"/>
    <mergeCell ref="N839:O839"/>
    <mergeCell ref="N872:O872"/>
    <mergeCell ref="N871:O871"/>
    <mergeCell ref="N880:O880"/>
    <mergeCell ref="N883:O883"/>
    <mergeCell ref="N873:O873"/>
    <mergeCell ref="N874:O874"/>
    <mergeCell ref="N878:O878"/>
    <mergeCell ref="N879:O879"/>
    <mergeCell ref="N875:O875"/>
    <mergeCell ref="N850:O850"/>
    <mergeCell ref="N851:O851"/>
    <mergeCell ref="N857:O857"/>
    <mergeCell ref="N853:O853"/>
    <mergeCell ref="N844:O844"/>
    <mergeCell ref="N845:O845"/>
    <mergeCell ref="N854:O854"/>
    <mergeCell ref="N852:O852"/>
    <mergeCell ref="N848:O848"/>
    <mergeCell ref="N892:O892"/>
    <mergeCell ref="N895:O895"/>
    <mergeCell ref="N893:O893"/>
    <mergeCell ref="N894:O894"/>
    <mergeCell ref="N882:O882"/>
    <mergeCell ref="N881:O881"/>
    <mergeCell ref="N869:O869"/>
    <mergeCell ref="N870:O870"/>
    <mergeCell ref="N868:O868"/>
    <mergeCell ref="N867:O867"/>
    <mergeCell ref="N877:O877"/>
    <mergeCell ref="N876:O876"/>
    <mergeCell ref="N816:O816"/>
    <mergeCell ref="N813:O813"/>
    <mergeCell ref="N833:O833"/>
    <mergeCell ref="N846:O846"/>
    <mergeCell ref="N847:O847"/>
    <mergeCell ref="N913:O913"/>
    <mergeCell ref="N912:O912"/>
    <mergeCell ref="N918:O918"/>
    <mergeCell ref="N919:O919"/>
    <mergeCell ref="N922:O922"/>
    <mergeCell ref="N921:O921"/>
    <mergeCell ref="N916:O916"/>
    <mergeCell ref="N917:O917"/>
    <mergeCell ref="N923:O923"/>
    <mergeCell ref="N927:O927"/>
    <mergeCell ref="N915:O915"/>
    <mergeCell ref="N924:O924"/>
    <mergeCell ref="N939:O939"/>
    <mergeCell ref="N940:O940"/>
    <mergeCell ref="N933:O933"/>
    <mergeCell ref="N928:O928"/>
    <mergeCell ref="N930:O930"/>
    <mergeCell ref="N929:O929"/>
    <mergeCell ref="N934:O934"/>
    <mergeCell ref="N938:O938"/>
    <mergeCell ref="N937:O937"/>
    <mergeCell ref="N945:O945"/>
    <mergeCell ref="N944:O944"/>
    <mergeCell ref="N947:O947"/>
    <mergeCell ref="N946:O946"/>
    <mergeCell ref="N950:O950"/>
    <mergeCell ref="N949:O949"/>
    <mergeCell ref="N948:O948"/>
    <mergeCell ref="N952:O952"/>
    <mergeCell ref="N951:O951"/>
    <mergeCell ref="N998:O998"/>
    <mergeCell ref="N994:O994"/>
    <mergeCell ref="N983:O983"/>
    <mergeCell ref="N999:O999"/>
    <mergeCell ref="N1000:O1000"/>
    <mergeCell ref="N986:O986"/>
    <mergeCell ref="N984:O984"/>
    <mergeCell ref="N985:O985"/>
    <mergeCell ref="N991:O991"/>
    <mergeCell ref="N997:O997"/>
    <mergeCell ref="N995:O995"/>
    <mergeCell ref="N996:O996"/>
    <mergeCell ref="N993:O993"/>
    <mergeCell ref="N992:O992"/>
    <mergeCell ref="N987:O987"/>
    <mergeCell ref="N990:O990"/>
    <mergeCell ref="N989:O989"/>
    <mergeCell ref="N988:O988"/>
    <mergeCell ref="N971:O971"/>
    <mergeCell ref="N972:O972"/>
    <mergeCell ref="N973:O973"/>
    <mergeCell ref="N974:O974"/>
    <mergeCell ref="N975:O975"/>
    <mergeCell ref="N976:O976"/>
    <mergeCell ref="N977:O977"/>
    <mergeCell ref="N964:O964"/>
    <mergeCell ref="N970:O970"/>
    <mergeCell ref="N965:O965"/>
    <mergeCell ref="N967:O967"/>
    <mergeCell ref="N969:O969"/>
    <mergeCell ref="N968:O968"/>
    <mergeCell ref="N966:O966"/>
    <mergeCell ref="N980:O980"/>
    <mergeCell ref="N979:O979"/>
    <mergeCell ref="N978:O978"/>
    <mergeCell ref="N981:O981"/>
    <mergeCell ref="N982:O982"/>
    <mergeCell ref="N954:O954"/>
    <mergeCell ref="N953:O953"/>
  </mergeCells>
  <conditionalFormatting sqref="B11 B20 B29">
    <cfRule type="containsText" dxfId="15" priority="1" operator="containsText" text="SP">
      <formula>NOT(ISERROR(SEARCH(("SP"),(B11))))</formula>
    </cfRule>
  </conditionalFormatting>
  <conditionalFormatting sqref="B11 B20 B29">
    <cfRule type="containsText" dxfId="26" priority="2" operator="containsText" text="Onafhankelijk">
      <formula>NOT(ISERROR(SEARCH(("Onafhankelijk"),(B11))))</formula>
    </cfRule>
  </conditionalFormatting>
  <conditionalFormatting sqref="B11 B20 B29">
    <cfRule type="containsText" dxfId="44" priority="3" operator="containsText" text="Presidium">
      <formula>NOT(ISERROR(SEARCH(("Presidium"),(B11))))</formula>
    </cfRule>
  </conditionalFormatting>
  <conditionalFormatting sqref="B5 B7:B9 B14 B16:B18 B23 B25:B27">
    <cfRule type="cellIs" dxfId="32" priority="4" operator="equal">
      <formula>"GROEN"</formula>
    </cfRule>
  </conditionalFormatting>
  <conditionalFormatting sqref="B5 B7:B9 B14 B16:B18 B23 B25:B27">
    <cfRule type="containsText" dxfId="33" priority="5" operator="containsText" text="LPU">
      <formula>NOT(ISERROR(SEARCH(("LPU"),(B5))))</formula>
    </cfRule>
  </conditionalFormatting>
  <conditionalFormatting sqref="B3:B5 B7:B9 B11:B14 B16:B18 B20:B23 B25:B27 B29">
    <cfRule type="containsText" dxfId="20" priority="6" operator="containsText" text="PvdA">
      <formula>NOT(ISERROR(SEARCH(("PvdA"),(B3))))</formula>
    </cfRule>
  </conditionalFormatting>
  <conditionalFormatting sqref="B3:B5 B7:B9 B12:B14 B16:B18 B21:B23 B25:B27">
    <cfRule type="cellIs" dxfId="15" priority="7" operator="equal">
      <formula>"SP"</formula>
    </cfRule>
  </conditionalFormatting>
  <conditionalFormatting sqref="B3:B5 B7:B9 B12:B14 B16:B18 B21:B23 B25:B27">
    <cfRule type="containsText" dxfId="24" priority="8" operator="containsText" text="DNL">
      <formula>NOT(ISERROR(SEARCH(("DNL"),(B3))))</formula>
    </cfRule>
  </conditionalFormatting>
  <conditionalFormatting sqref="B3:B5 B7:B9 B12:B14 B16:B18 B21:B23 B25:B27">
    <cfRule type="cellIs" dxfId="28" priority="9" operator="equal">
      <formula>"PSP"</formula>
    </cfRule>
  </conditionalFormatting>
  <conditionalFormatting sqref="B3:B5 B7:B9 B11:B14 B16:B18 B20:B23 B25:B27 B29">
    <cfRule type="cellIs" dxfId="29" priority="10" operator="equal">
      <formula>"LPF"</formula>
    </cfRule>
  </conditionalFormatting>
  <conditionalFormatting sqref="B3:B5 B7:B9 B12:B14 B16:B18 B21:B23 B25:B27">
    <cfRule type="cellIs" dxfId="30" priority="11" operator="equal">
      <formula>"GPN"</formula>
    </cfRule>
  </conditionalFormatting>
  <conditionalFormatting sqref="B3:B5 B7:B9 B11:B14 B16:B18 B20:B23 B25:B27 B29">
    <cfRule type="containsText" dxfId="22" priority="12" operator="containsText" text="GL">
      <formula>NOT(ISERROR(SEARCH(("GL"),(B3))))</formula>
    </cfRule>
  </conditionalFormatting>
  <conditionalFormatting sqref="B3:B4 B11:B13 B20:B22 B29">
    <cfRule type="containsText" dxfId="16" priority="13" operator="containsText" text="PP">
      <formula>NOT(ISERROR(SEARCH(("PP"),(B3))))</formula>
    </cfRule>
  </conditionalFormatting>
  <conditionalFormatting sqref="B3:B5 B7:B9 B12:B14 B16:B18 B21:B23 B25:B27">
    <cfRule type="beginsWith" dxfId="26" priority="14" operator="beginsWith" text="Onafh">
      <formula>LEFT((B3),LEN("Onafh"))=("Onafh")</formula>
    </cfRule>
  </conditionalFormatting>
  <conditionalFormatting sqref="B3:B5 B7:B9 B11:B14 B16:B18 B20:B23 B25:B27 B29">
    <cfRule type="containsText" dxfId="19" priority="15" operator="containsText" text="D66">
      <formula>NOT(ISERROR(SEARCH(("D66"),(B3))))</formula>
    </cfRule>
  </conditionalFormatting>
  <conditionalFormatting sqref="B3:B5 B7:B9 B11:B14 B16:B18 B20:B23 B25:B27 B29">
    <cfRule type="containsText" dxfId="13" priority="16" operator="containsText" text="VVD">
      <formula>NOT(ISERROR(SEARCH(("VVD"),(B3))))</formula>
    </cfRule>
  </conditionalFormatting>
  <conditionalFormatting sqref="B3:B5 B7:B9 B11:B14 B16:B18 B20:B23 B25:B27 B29">
    <cfRule type="containsText" dxfId="21" priority="17" operator="containsText" text="CPN">
      <formula>NOT(ISERROR(SEARCH(("CPN"),(B3))))</formula>
    </cfRule>
  </conditionalFormatting>
  <conditionalFormatting sqref="B3:B5 B7:B9 B11:B14 B16:B18 B20:B23 B25:B27 B29">
    <cfRule type="containsText" dxfId="23" priority="18" operator="containsText" text="PVV">
      <formula>NOT(ISERROR(SEARCH(("PVV"),(B3))))</formula>
    </cfRule>
  </conditionalFormatting>
  <conditionalFormatting sqref="B3:B5 B7:B9 B11:B14 B16:B18 B20:B23 B25:B27 B29">
    <cfRule type="containsText" dxfId="25" priority="19" operator="containsText" text="CDA">
      <formula>NOT(ISERROR(SEARCH(("CDA"),(B3))))</formula>
    </cfRule>
  </conditionalFormatting>
  <conditionalFormatting sqref="B3:B5 B7:B9 B12:B14 B16:B18 B21:B23 B25:B27">
    <cfRule type="cellIs" dxfId="15" priority="20" operator="equal">
      <formula>"MPN"</formula>
    </cfRule>
  </conditionalFormatting>
  <conditionalFormatting sqref="B3:B5 B7:B9 B12:B14 B16:B18 B21:B23 B25:B27">
    <cfRule type="cellIs" dxfId="20" priority="21" operator="equal">
      <formula>"S&amp;V"</formula>
    </cfRule>
  </conditionalFormatting>
  <conditionalFormatting sqref="B3:B4 B11:B13 B20:B22 B29">
    <cfRule type="cellIs" dxfId="17" priority="22" operator="equal">
      <formula>"Regering"</formula>
    </cfRule>
  </conditionalFormatting>
  <conditionalFormatting sqref="B3:B4 B12:B13 B21:B22">
    <cfRule type="cellIs" dxfId="18" priority="23" operator="equal">
      <formula>"LPF"</formula>
    </cfRule>
  </conditionalFormatting>
  <conditionalFormatting sqref="B3:B5 B7:B9 B12:B14 B16:B18 B21:B23 B25:B27">
    <cfRule type="containsText" dxfId="31" priority="24" operator="containsText" text="SVN">
      <formula>NOT(ISERROR(SEARCH(("SVN"),(B3))))</formula>
    </cfRule>
  </conditionalFormatting>
  <conditionalFormatting sqref="B3:B5 B7:B9 B12:B14 B16:B18 B21:B23 B25:B27">
    <cfRule type="containsText" dxfId="16" priority="25" operator="containsText" text="FVD">
      <formula>NOT(ISERROR(SEARCH(("FVD"),(B3))))</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125.71"/>
    <col customWidth="1" min="3" max="3" width="51.86"/>
  </cols>
  <sheetData>
    <row r="1">
      <c r="A1" s="409" t="s">
        <v>1374</v>
      </c>
      <c r="B1" s="409" t="s">
        <v>1375</v>
      </c>
      <c r="C1" s="409" t="s">
        <v>1376</v>
      </c>
    </row>
    <row r="2">
      <c r="A2" s="409" t="s">
        <v>160</v>
      </c>
      <c r="B2" s="1737" t="s">
        <v>1377</v>
      </c>
    </row>
    <row r="3">
      <c r="A3" s="409" t="s">
        <v>164</v>
      </c>
      <c r="B3" s="406" t="s">
        <v>1378</v>
      </c>
    </row>
    <row r="4">
      <c r="A4" s="409" t="s">
        <v>167</v>
      </c>
      <c r="B4" s="406" t="s">
        <v>1379</v>
      </c>
    </row>
    <row r="5">
      <c r="A5" s="409" t="s">
        <v>169</v>
      </c>
      <c r="B5" s="1738" t="s">
        <v>1380</v>
      </c>
    </row>
    <row r="6">
      <c r="A6" s="409" t="s">
        <v>171</v>
      </c>
      <c r="B6" s="406" t="s">
        <v>1381</v>
      </c>
    </row>
    <row r="7">
      <c r="A7" s="409" t="s">
        <v>172</v>
      </c>
      <c r="B7" s="406" t="s">
        <v>1382</v>
      </c>
    </row>
    <row r="8">
      <c r="A8" s="409" t="s">
        <v>173</v>
      </c>
      <c r="B8" s="1737" t="s">
        <v>1377</v>
      </c>
    </row>
    <row r="9">
      <c r="A9" s="409" t="s">
        <v>175</v>
      </c>
      <c r="B9" s="406" t="s">
        <v>1383</v>
      </c>
    </row>
    <row r="10" ht="16.5" customHeight="1">
      <c r="A10" s="409" t="s">
        <v>176</v>
      </c>
      <c r="B10" s="406" t="s">
        <v>1384</v>
      </c>
    </row>
    <row r="11">
      <c r="A11" s="409" t="s">
        <v>178</v>
      </c>
      <c r="B11" s="1738" t="s">
        <v>1380</v>
      </c>
    </row>
    <row r="12">
      <c r="A12" s="409" t="s">
        <v>182</v>
      </c>
      <c r="B12" s="1738" t="s">
        <v>1380</v>
      </c>
    </row>
    <row r="13">
      <c r="A13" s="409" t="s">
        <v>185</v>
      </c>
      <c r="B13" s="406" t="s">
        <v>1385</v>
      </c>
    </row>
    <row r="14">
      <c r="A14" s="409" t="s">
        <v>186</v>
      </c>
      <c r="B14" s="1738" t="s">
        <v>1380</v>
      </c>
    </row>
    <row r="15">
      <c r="A15" s="409" t="s">
        <v>189</v>
      </c>
      <c r="B15" s="1738" t="s">
        <v>1380</v>
      </c>
    </row>
    <row r="16">
      <c r="A16" s="409" t="s">
        <v>190</v>
      </c>
      <c r="B16" s="406" t="s">
        <v>1386</v>
      </c>
    </row>
    <row r="17">
      <c r="A17" s="409" t="s">
        <v>191</v>
      </c>
      <c r="B17" s="1738" t="s">
        <v>1380</v>
      </c>
    </row>
    <row r="18">
      <c r="A18" s="409" t="s">
        <v>192</v>
      </c>
      <c r="B18" s="1737" t="s">
        <v>1377</v>
      </c>
    </row>
    <row r="19">
      <c r="A19" s="409" t="s">
        <v>193</v>
      </c>
      <c r="B19" s="406" t="s">
        <v>1387</v>
      </c>
    </row>
    <row r="20">
      <c r="A20" s="409" t="s">
        <v>194</v>
      </c>
      <c r="B20" s="406" t="s">
        <v>1388</v>
      </c>
    </row>
    <row r="21">
      <c r="A21" s="409" t="s">
        <v>195</v>
      </c>
      <c r="B21" s="1738" t="s">
        <v>1380</v>
      </c>
    </row>
    <row r="22">
      <c r="A22" s="409" t="s">
        <v>198</v>
      </c>
      <c r="B22" s="1738" t="s">
        <v>1380</v>
      </c>
    </row>
    <row r="23">
      <c r="A23" s="409" t="s">
        <v>199</v>
      </c>
      <c r="B23" s="1738" t="s">
        <v>1380</v>
      </c>
    </row>
    <row r="24">
      <c r="A24" s="409" t="s">
        <v>201</v>
      </c>
      <c r="B24" s="1737" t="s">
        <v>1377</v>
      </c>
    </row>
    <row r="25">
      <c r="A25" s="409" t="s">
        <v>203</v>
      </c>
      <c r="B25" s="1737" t="s">
        <v>1377</v>
      </c>
    </row>
    <row r="26">
      <c r="A26" s="409" t="s">
        <v>204</v>
      </c>
      <c r="B26" s="1738" t="s">
        <v>1380</v>
      </c>
    </row>
    <row r="27">
      <c r="A27" s="409" t="s">
        <v>205</v>
      </c>
      <c r="B27" s="406" t="s">
        <v>1389</v>
      </c>
    </row>
    <row r="28">
      <c r="A28" s="409" t="s">
        <v>206</v>
      </c>
      <c r="B28" s="406" t="s">
        <v>1390</v>
      </c>
    </row>
    <row r="29">
      <c r="A29" s="409" t="s">
        <v>207</v>
      </c>
      <c r="B29" s="1737" t="s">
        <v>1377</v>
      </c>
    </row>
    <row r="30">
      <c r="A30" s="409" t="s">
        <v>208</v>
      </c>
      <c r="B30" s="1738" t="s">
        <v>1380</v>
      </c>
    </row>
    <row r="31">
      <c r="A31" s="409" t="s">
        <v>209</v>
      </c>
      <c r="B31" s="406" t="s">
        <v>1391</v>
      </c>
    </row>
    <row r="32">
      <c r="A32" s="409" t="s">
        <v>210</v>
      </c>
      <c r="B32" s="1737" t="s">
        <v>1377</v>
      </c>
    </row>
    <row r="33">
      <c r="A33" s="409" t="s">
        <v>212</v>
      </c>
      <c r="B33" s="1737" t="s">
        <v>1377</v>
      </c>
    </row>
    <row r="34">
      <c r="A34" s="409" t="s">
        <v>213</v>
      </c>
      <c r="B34" s="1738" t="s">
        <v>1380</v>
      </c>
    </row>
    <row r="35">
      <c r="A35" s="409" t="s">
        <v>214</v>
      </c>
      <c r="B35" s="1737" t="s">
        <v>1377</v>
      </c>
    </row>
    <row r="36">
      <c r="A36" s="409" t="s">
        <v>216</v>
      </c>
      <c r="B36" s="1738" t="s">
        <v>1380</v>
      </c>
    </row>
    <row r="37">
      <c r="A37" s="409" t="s">
        <v>218</v>
      </c>
      <c r="B37" s="1737" t="s">
        <v>1377</v>
      </c>
    </row>
    <row r="38">
      <c r="A38" s="409" t="s">
        <v>219</v>
      </c>
      <c r="B38" s="1737" t="s">
        <v>1377</v>
      </c>
    </row>
    <row r="39">
      <c r="A39" s="409" t="s">
        <v>221</v>
      </c>
      <c r="B39" s="616" t="s">
        <v>1392</v>
      </c>
    </row>
    <row r="40">
      <c r="A40" s="409" t="s">
        <v>222</v>
      </c>
      <c r="B40" s="1737" t="s">
        <v>1377</v>
      </c>
    </row>
    <row r="41">
      <c r="A41" s="409" t="s">
        <v>223</v>
      </c>
      <c r="B41" s="1737" t="s">
        <v>1377</v>
      </c>
    </row>
    <row r="42">
      <c r="A42" s="409" t="s">
        <v>224</v>
      </c>
      <c r="B42" s="1738" t="s">
        <v>1380</v>
      </c>
    </row>
    <row r="43">
      <c r="A43" s="409" t="s">
        <v>226</v>
      </c>
      <c r="B43" s="1737" t="s">
        <v>1377</v>
      </c>
    </row>
    <row r="44">
      <c r="A44" s="409" t="s">
        <v>228</v>
      </c>
      <c r="B44" s="1737" t="s">
        <v>1377</v>
      </c>
    </row>
    <row r="45">
      <c r="A45" s="409" t="s">
        <v>229</v>
      </c>
      <c r="B45" s="1738" t="s">
        <v>1380</v>
      </c>
    </row>
    <row r="46">
      <c r="A46" s="409" t="s">
        <v>231</v>
      </c>
      <c r="B46" s="616" t="s">
        <v>1393</v>
      </c>
    </row>
    <row r="47">
      <c r="A47" s="409" t="s">
        <v>232</v>
      </c>
      <c r="B47" s="616" t="s">
        <v>1394</v>
      </c>
    </row>
    <row r="48">
      <c r="A48" s="409" t="s">
        <v>234</v>
      </c>
      <c r="B48" s="1737" t="s">
        <v>1377</v>
      </c>
    </row>
    <row r="49">
      <c r="A49" s="409" t="s">
        <v>235</v>
      </c>
      <c r="B49" s="616" t="s">
        <v>1395</v>
      </c>
    </row>
    <row r="50">
      <c r="A50" s="409" t="s">
        <v>236</v>
      </c>
      <c r="B50" s="616" t="s">
        <v>1395</v>
      </c>
    </row>
    <row r="51">
      <c r="A51" s="409" t="s">
        <v>237</v>
      </c>
      <c r="B51" s="616" t="s">
        <v>1395</v>
      </c>
    </row>
    <row r="52">
      <c r="A52" s="409" t="s">
        <v>238</v>
      </c>
      <c r="B52" s="616" t="s">
        <v>1395</v>
      </c>
    </row>
    <row r="53">
      <c r="A53" s="409" t="s">
        <v>239</v>
      </c>
      <c r="B53" s="1737" t="s">
        <v>1377</v>
      </c>
    </row>
    <row r="54">
      <c r="A54" s="409" t="s">
        <v>241</v>
      </c>
      <c r="B54" s="1737" t="s">
        <v>1377</v>
      </c>
    </row>
    <row r="55">
      <c r="A55" s="409" t="s">
        <v>242</v>
      </c>
      <c r="B55" s="616" t="s">
        <v>1395</v>
      </c>
    </row>
    <row r="56">
      <c r="A56" s="409" t="s">
        <v>244</v>
      </c>
      <c r="B56" s="1737" t="s">
        <v>1377</v>
      </c>
    </row>
    <row r="57">
      <c r="A57" s="409" t="s">
        <v>245</v>
      </c>
      <c r="B57" s="616" t="s">
        <v>1395</v>
      </c>
    </row>
    <row r="58">
      <c r="A58" s="409" t="s">
        <v>246</v>
      </c>
      <c r="B58" s="1737" t="s">
        <v>1377</v>
      </c>
    </row>
    <row r="59">
      <c r="A59" s="409" t="s">
        <v>247</v>
      </c>
    </row>
    <row r="60">
      <c r="A60" s="409" t="s">
        <v>248</v>
      </c>
    </row>
    <row r="61">
      <c r="A61" s="409" t="s">
        <v>249</v>
      </c>
      <c r="B61" s="1737" t="s">
        <v>1377</v>
      </c>
    </row>
    <row r="62">
      <c r="A62" s="409" t="s">
        <v>250</v>
      </c>
      <c r="B62" s="1737" t="s">
        <v>1377</v>
      </c>
    </row>
    <row r="63">
      <c r="A63" s="409" t="s">
        <v>252</v>
      </c>
    </row>
    <row r="64">
      <c r="A64" s="409" t="s">
        <v>254</v>
      </c>
    </row>
    <row r="65">
      <c r="A65" s="409" t="s">
        <v>255</v>
      </c>
    </row>
    <row r="66">
      <c r="A66" s="409" t="s">
        <v>256</v>
      </c>
    </row>
    <row r="67">
      <c r="A67" s="409" t="s">
        <v>258</v>
      </c>
    </row>
    <row r="68">
      <c r="A68" s="409" t="s">
        <v>260</v>
      </c>
      <c r="B68" s="1737" t="s">
        <v>1377</v>
      </c>
    </row>
    <row r="69">
      <c r="A69" s="409" t="s">
        <v>262</v>
      </c>
    </row>
    <row r="70">
      <c r="A70" s="409" t="s">
        <v>265</v>
      </c>
    </row>
    <row r="71">
      <c r="A71" s="409" t="s">
        <v>267</v>
      </c>
    </row>
    <row r="72">
      <c r="A72" s="409" t="s">
        <v>269</v>
      </c>
      <c r="B72" s="1737" t="s">
        <v>1377</v>
      </c>
    </row>
    <row r="73">
      <c r="A73" s="409" t="s">
        <v>271</v>
      </c>
    </row>
    <row r="74">
      <c r="A74" s="409" t="s">
        <v>273</v>
      </c>
      <c r="B74" s="1737" t="s">
        <v>1377</v>
      </c>
    </row>
    <row r="75">
      <c r="A75" s="409" t="s">
        <v>274</v>
      </c>
      <c r="B75" s="1737" t="s">
        <v>1377</v>
      </c>
    </row>
    <row r="76">
      <c r="A76" s="409" t="s">
        <v>275</v>
      </c>
    </row>
    <row r="77">
      <c r="A77" s="409" t="s">
        <v>276</v>
      </c>
      <c r="B77" s="1737" t="s">
        <v>1377</v>
      </c>
    </row>
    <row r="78">
      <c r="A78" s="409" t="s">
        <v>279</v>
      </c>
    </row>
    <row r="79">
      <c r="A79" s="409" t="s">
        <v>280</v>
      </c>
    </row>
    <row r="80">
      <c r="A80" s="409" t="s">
        <v>282</v>
      </c>
    </row>
    <row r="81">
      <c r="A81" s="409" t="s">
        <v>277</v>
      </c>
    </row>
    <row r="82">
      <c r="A82" s="409" t="s">
        <v>284</v>
      </c>
    </row>
    <row r="83">
      <c r="A83" s="409" t="s">
        <v>286</v>
      </c>
    </row>
    <row r="84">
      <c r="A84" s="409" t="s">
        <v>289</v>
      </c>
    </row>
    <row r="85">
      <c r="A85" s="409" t="s">
        <v>291</v>
      </c>
    </row>
    <row r="86">
      <c r="A86" s="409" t="s">
        <v>292</v>
      </c>
    </row>
    <row r="87">
      <c r="A87" s="409" t="s">
        <v>293</v>
      </c>
    </row>
    <row r="88">
      <c r="A88" s="409" t="s">
        <v>294</v>
      </c>
    </row>
    <row r="89">
      <c r="A89" s="409" t="s">
        <v>295</v>
      </c>
    </row>
    <row r="90">
      <c r="A90" s="409" t="s">
        <v>296</v>
      </c>
    </row>
    <row r="91">
      <c r="A91" s="409" t="s">
        <v>297</v>
      </c>
    </row>
    <row r="92">
      <c r="A92" s="409" t="s">
        <v>298</v>
      </c>
    </row>
    <row r="93">
      <c r="A93" s="409" t="s">
        <v>299</v>
      </c>
    </row>
    <row r="94">
      <c r="A94" s="409" t="s">
        <v>300</v>
      </c>
    </row>
    <row r="95">
      <c r="A95" s="409" t="s">
        <v>301</v>
      </c>
      <c r="B95" s="1737" t="s">
        <v>1377</v>
      </c>
    </row>
    <row r="96">
      <c r="A96" s="409" t="s">
        <v>302</v>
      </c>
      <c r="B96" s="1737" t="s">
        <v>1377</v>
      </c>
    </row>
    <row r="97">
      <c r="A97" s="409" t="s">
        <v>303</v>
      </c>
    </row>
    <row r="98">
      <c r="A98" s="409" t="s">
        <v>304</v>
      </c>
      <c r="B98" s="1737" t="s">
        <v>1377</v>
      </c>
    </row>
    <row r="99">
      <c r="A99" s="409" t="s">
        <v>305</v>
      </c>
      <c r="B99" s="1737" t="s">
        <v>1377</v>
      </c>
    </row>
    <row r="100">
      <c r="A100" s="409" t="s">
        <v>306</v>
      </c>
    </row>
    <row r="101">
      <c r="A101" s="409" t="s">
        <v>307</v>
      </c>
    </row>
    <row r="102">
      <c r="A102" s="409" t="s">
        <v>308</v>
      </c>
    </row>
    <row r="103">
      <c r="A103" s="409" t="s">
        <v>309</v>
      </c>
      <c r="B103" s="1737" t="s">
        <v>1377</v>
      </c>
    </row>
    <row r="104">
      <c r="A104" s="409" t="s">
        <v>310</v>
      </c>
    </row>
    <row r="105">
      <c r="A105" s="409" t="s">
        <v>311</v>
      </c>
      <c r="B105" s="1737" t="s">
        <v>1377</v>
      </c>
    </row>
    <row r="106">
      <c r="A106" s="409" t="s">
        <v>312</v>
      </c>
    </row>
    <row r="107">
      <c r="A107" s="409" t="s">
        <v>313</v>
      </c>
    </row>
    <row r="108">
      <c r="A108" s="409" t="s">
        <v>314</v>
      </c>
    </row>
    <row r="109">
      <c r="A109" s="409" t="s">
        <v>315</v>
      </c>
    </row>
    <row r="110">
      <c r="A110" s="409" t="s">
        <v>316</v>
      </c>
    </row>
    <row r="111">
      <c r="A111" s="409" t="s">
        <v>317</v>
      </c>
    </row>
    <row r="112">
      <c r="A112" s="409" t="s">
        <v>318</v>
      </c>
    </row>
    <row r="113">
      <c r="A113" s="409" t="s">
        <v>319</v>
      </c>
    </row>
    <row r="114">
      <c r="A114" s="409" t="s">
        <v>320</v>
      </c>
    </row>
    <row r="115">
      <c r="A115" s="409" t="s">
        <v>321</v>
      </c>
    </row>
    <row r="116">
      <c r="A116" s="409" t="s">
        <v>322</v>
      </c>
    </row>
    <row r="117">
      <c r="A117" s="409" t="s">
        <v>323</v>
      </c>
    </row>
    <row r="118">
      <c r="A118" s="409" t="s">
        <v>324</v>
      </c>
    </row>
    <row r="119">
      <c r="A119" s="409" t="s">
        <v>325</v>
      </c>
    </row>
    <row r="120">
      <c r="A120" s="409" t="s">
        <v>328</v>
      </c>
    </row>
    <row r="121">
      <c r="A121" s="409" t="s">
        <v>329</v>
      </c>
    </row>
    <row r="122">
      <c r="A122" s="409" t="s">
        <v>330</v>
      </c>
    </row>
    <row r="123">
      <c r="A123" s="409" t="s">
        <v>331</v>
      </c>
    </row>
    <row r="124">
      <c r="A124" s="409" t="s">
        <v>332</v>
      </c>
    </row>
    <row r="125">
      <c r="A125" s="409" t="s">
        <v>334</v>
      </c>
    </row>
    <row r="126">
      <c r="A126" s="409" t="s">
        <v>335</v>
      </c>
    </row>
    <row r="127">
      <c r="A127" s="409" t="s">
        <v>336</v>
      </c>
    </row>
    <row r="128">
      <c r="A128" s="409" t="s">
        <v>338</v>
      </c>
    </row>
    <row r="129">
      <c r="A129" s="409" t="s">
        <v>339</v>
      </c>
    </row>
    <row r="130">
      <c r="A130" s="409" t="s">
        <v>340</v>
      </c>
    </row>
    <row r="131">
      <c r="A131" s="409" t="s">
        <v>341</v>
      </c>
    </row>
    <row r="132">
      <c r="A132" s="409" t="s">
        <v>342</v>
      </c>
    </row>
    <row r="133">
      <c r="A133" s="409" t="s">
        <v>343</v>
      </c>
    </row>
    <row r="134">
      <c r="A134" s="409" t="s">
        <v>344</v>
      </c>
    </row>
    <row r="135">
      <c r="A135" s="409" t="s">
        <v>345</v>
      </c>
    </row>
    <row r="136">
      <c r="A136" s="409" t="s">
        <v>346</v>
      </c>
    </row>
    <row r="137">
      <c r="A137" s="409" t="s">
        <v>347</v>
      </c>
    </row>
    <row r="138">
      <c r="A138" s="409" t="s">
        <v>349</v>
      </c>
    </row>
    <row r="139">
      <c r="A139" s="409" t="s">
        <v>351</v>
      </c>
    </row>
    <row r="140">
      <c r="A140" s="409" t="s">
        <v>353</v>
      </c>
    </row>
    <row r="141">
      <c r="A141" s="409" t="s">
        <v>355</v>
      </c>
    </row>
    <row r="142">
      <c r="A142" s="409" t="s">
        <v>357</v>
      </c>
    </row>
    <row r="143">
      <c r="A143" s="409" t="s">
        <v>358</v>
      </c>
    </row>
    <row r="144">
      <c r="A144" s="409" t="s">
        <v>360</v>
      </c>
    </row>
    <row r="145">
      <c r="A145" s="409" t="s">
        <v>361</v>
      </c>
    </row>
    <row r="146">
      <c r="A146" s="409" t="s">
        <v>362</v>
      </c>
    </row>
    <row r="147">
      <c r="A147" s="409" t="s">
        <v>363</v>
      </c>
    </row>
    <row r="148">
      <c r="A148" s="409" t="s">
        <v>364</v>
      </c>
    </row>
    <row r="149">
      <c r="A149" s="409" t="s">
        <v>365</v>
      </c>
    </row>
    <row r="150">
      <c r="A150" s="409" t="s">
        <v>366</v>
      </c>
    </row>
    <row r="151">
      <c r="A151" s="409" t="s">
        <v>367</v>
      </c>
    </row>
    <row r="152">
      <c r="A152" s="409" t="s">
        <v>368</v>
      </c>
    </row>
    <row r="153">
      <c r="A153" s="409" t="s">
        <v>369</v>
      </c>
    </row>
    <row r="154">
      <c r="A154" s="409" t="s">
        <v>370</v>
      </c>
    </row>
    <row r="155">
      <c r="A155" s="409" t="s">
        <v>371</v>
      </c>
    </row>
    <row r="156">
      <c r="A156" s="409" t="s">
        <v>372</v>
      </c>
    </row>
    <row r="157">
      <c r="A157" s="409" t="s">
        <v>373</v>
      </c>
    </row>
    <row r="158">
      <c r="A158" s="409" t="s">
        <v>374</v>
      </c>
    </row>
    <row r="159">
      <c r="A159" s="409" t="s">
        <v>375</v>
      </c>
    </row>
    <row r="160">
      <c r="A160" s="409" t="s">
        <v>376</v>
      </c>
    </row>
    <row r="161">
      <c r="A161" s="409" t="s">
        <v>377</v>
      </c>
    </row>
    <row r="162">
      <c r="A162" s="409" t="s">
        <v>378</v>
      </c>
    </row>
    <row r="163">
      <c r="A163" s="409" t="s">
        <v>379</v>
      </c>
    </row>
    <row r="164">
      <c r="A164" s="409" t="s">
        <v>380</v>
      </c>
    </row>
    <row r="165">
      <c r="A165" s="409" t="s">
        <v>381</v>
      </c>
    </row>
    <row r="166">
      <c r="A166" s="409" t="s">
        <v>382</v>
      </c>
    </row>
    <row r="167">
      <c r="A167" s="409" t="s">
        <v>383</v>
      </c>
    </row>
    <row r="168">
      <c r="A168" s="409" t="s">
        <v>384</v>
      </c>
    </row>
    <row r="169">
      <c r="A169" s="409" t="s">
        <v>385</v>
      </c>
    </row>
    <row r="170">
      <c r="A170" s="409" t="s">
        <v>386</v>
      </c>
    </row>
    <row r="171">
      <c r="A171" s="409" t="s">
        <v>387</v>
      </c>
    </row>
    <row r="172">
      <c r="A172" s="409" t="s">
        <v>388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29"/>
  </cols>
  <sheetData>
    <row r="1" ht="18.75" customHeight="1">
      <c r="A1" s="60"/>
      <c r="B1" s="60"/>
      <c r="C1" s="60"/>
      <c r="D1" s="60"/>
      <c r="E1" s="60"/>
      <c r="F1" s="60"/>
      <c r="G1" s="60"/>
      <c r="H1" s="60"/>
      <c r="I1" s="60"/>
      <c r="J1" s="60"/>
      <c r="K1" s="60"/>
      <c r="L1" s="7"/>
      <c r="M1" s="7"/>
      <c r="N1" s="7"/>
      <c r="O1" s="7"/>
      <c r="P1" s="7"/>
      <c r="Q1" s="7"/>
      <c r="R1" s="7"/>
      <c r="S1" s="7"/>
      <c r="T1" s="7"/>
      <c r="U1" s="7"/>
      <c r="V1" s="7"/>
      <c r="W1" s="7"/>
      <c r="X1" s="7"/>
      <c r="Y1" s="7"/>
      <c r="Z1" s="7"/>
    </row>
    <row r="2" ht="18.75" customHeight="1">
      <c r="A2" s="61"/>
      <c r="B2" s="62"/>
      <c r="C2" s="62"/>
      <c r="D2" s="62"/>
      <c r="E2" s="62"/>
      <c r="F2" s="62"/>
      <c r="G2" s="62"/>
      <c r="H2" s="62"/>
      <c r="I2" s="62"/>
      <c r="J2" s="62"/>
      <c r="K2" s="62"/>
      <c r="L2" s="62"/>
      <c r="M2" s="62"/>
      <c r="N2" s="62"/>
      <c r="O2" s="62"/>
      <c r="P2" s="62"/>
      <c r="Q2" s="62"/>
      <c r="R2" s="62"/>
      <c r="S2" s="62"/>
      <c r="T2" s="62"/>
      <c r="U2" s="62"/>
      <c r="V2" s="62"/>
      <c r="W2" s="62"/>
      <c r="X2" s="62"/>
      <c r="Y2" s="62"/>
      <c r="Z2" s="63"/>
    </row>
    <row r="3" ht="18.75" customHeight="1">
      <c r="A3" s="64" t="s">
        <v>30</v>
      </c>
      <c r="B3" s="65"/>
      <c r="C3" s="66"/>
      <c r="D3" s="67" t="s">
        <v>31</v>
      </c>
      <c r="Y3" s="68"/>
      <c r="Z3" s="69"/>
    </row>
    <row r="4" ht="18.75" customHeight="1">
      <c r="A4" s="70" t="s">
        <v>32</v>
      </c>
      <c r="C4" s="71"/>
      <c r="Y4" s="68"/>
      <c r="Z4" s="69"/>
    </row>
    <row r="5" ht="18.75" customHeight="1">
      <c r="C5" s="71"/>
      <c r="D5" s="72"/>
      <c r="E5" s="72"/>
      <c r="F5" s="72"/>
      <c r="G5" s="72"/>
      <c r="H5" s="72"/>
      <c r="I5" s="72"/>
      <c r="J5" s="72"/>
      <c r="K5" s="72"/>
      <c r="L5" s="72"/>
      <c r="M5" s="72"/>
      <c r="N5" s="72"/>
      <c r="O5" s="72"/>
      <c r="P5" s="72"/>
      <c r="Q5" s="72"/>
      <c r="R5" s="72"/>
      <c r="S5" s="72"/>
      <c r="T5" s="72"/>
      <c r="U5" s="72"/>
      <c r="V5" s="72"/>
      <c r="W5" s="72"/>
      <c r="X5" s="72"/>
      <c r="Y5" s="73"/>
      <c r="Z5" s="69"/>
    </row>
    <row r="6" ht="18.75" customHeight="1">
      <c r="A6" s="74" t="s">
        <v>33</v>
      </c>
      <c r="B6" s="75" t="s">
        <v>7</v>
      </c>
      <c r="C6" s="76" t="s">
        <v>34</v>
      </c>
      <c r="D6" s="77"/>
      <c r="E6" s="77"/>
      <c r="F6" s="77"/>
      <c r="G6" s="77"/>
      <c r="H6" s="77"/>
      <c r="I6" s="77"/>
      <c r="J6" s="77"/>
      <c r="K6" s="77"/>
      <c r="L6" s="77"/>
      <c r="M6" s="77"/>
      <c r="N6" s="77"/>
      <c r="O6" s="77"/>
      <c r="P6" s="77"/>
      <c r="Q6" s="77"/>
      <c r="R6" s="78"/>
      <c r="S6" s="77"/>
      <c r="T6" s="79"/>
      <c r="U6" s="80"/>
      <c r="V6" s="79"/>
      <c r="W6" s="79"/>
      <c r="X6" s="79"/>
      <c r="Y6" s="80"/>
      <c r="Z6" s="69"/>
    </row>
    <row r="7" ht="6.0" customHeight="1">
      <c r="A7" s="81"/>
      <c r="B7" s="82"/>
      <c r="C7" s="82"/>
      <c r="D7" s="83"/>
      <c r="E7" s="84"/>
      <c r="F7" s="84"/>
      <c r="G7" s="84"/>
      <c r="H7" s="84"/>
      <c r="I7" s="84"/>
      <c r="J7" s="84"/>
      <c r="K7" s="84"/>
      <c r="L7" s="84"/>
      <c r="M7" s="84"/>
      <c r="N7" s="84"/>
      <c r="O7" s="84"/>
      <c r="P7" s="84"/>
      <c r="Q7" s="84"/>
      <c r="R7" s="84"/>
      <c r="S7" s="84"/>
      <c r="T7" s="84"/>
      <c r="U7" s="84"/>
      <c r="V7" s="84"/>
      <c r="W7" s="84"/>
      <c r="X7" s="84"/>
      <c r="Y7" s="84"/>
      <c r="Z7" s="84"/>
    </row>
    <row r="8" ht="18.75" customHeight="1">
      <c r="A8" s="85" t="s">
        <v>35</v>
      </c>
      <c r="B8" s="86" t="s">
        <v>36</v>
      </c>
      <c r="C8" s="87" t="s">
        <v>37</v>
      </c>
      <c r="D8" s="69"/>
      <c r="E8" s="69"/>
      <c r="F8" s="69"/>
      <c r="G8" s="69"/>
      <c r="H8" s="69"/>
      <c r="I8" s="69"/>
      <c r="J8" s="69"/>
      <c r="K8" s="69"/>
      <c r="L8" s="69"/>
      <c r="M8" s="69"/>
      <c r="N8" s="69"/>
      <c r="O8" s="69"/>
      <c r="P8" s="69"/>
      <c r="Q8" s="69"/>
      <c r="R8" s="69"/>
      <c r="S8" s="69"/>
      <c r="T8" s="69"/>
      <c r="U8" s="69"/>
      <c r="V8" s="69"/>
      <c r="W8" s="69"/>
      <c r="X8" s="69"/>
      <c r="Y8" s="69"/>
      <c r="Z8" s="69"/>
    </row>
    <row r="9" ht="18.75" customHeight="1">
      <c r="A9" s="88"/>
      <c r="B9" s="71"/>
      <c r="C9" s="89" t="s">
        <v>38</v>
      </c>
      <c r="D9" s="69"/>
      <c r="E9" s="69"/>
      <c r="F9" s="69"/>
      <c r="G9" s="69"/>
      <c r="H9" s="69"/>
      <c r="I9" s="69"/>
      <c r="J9" s="69"/>
      <c r="K9" s="69"/>
      <c r="L9" s="69"/>
      <c r="M9" s="69"/>
      <c r="N9" s="69"/>
      <c r="O9" s="69"/>
      <c r="P9" s="69"/>
      <c r="Q9" s="69"/>
      <c r="R9" s="69"/>
      <c r="S9" s="69"/>
      <c r="T9" s="69"/>
      <c r="U9" s="69"/>
      <c r="V9" s="69"/>
      <c r="W9" s="69"/>
      <c r="X9" s="69"/>
      <c r="Y9" s="69"/>
      <c r="Z9" s="69"/>
    </row>
    <row r="10" ht="18.75" customHeight="1">
      <c r="A10" s="88"/>
      <c r="B10" s="71"/>
      <c r="C10" s="90" t="s">
        <v>39</v>
      </c>
      <c r="D10" s="69"/>
      <c r="E10" s="69"/>
      <c r="F10" s="69"/>
      <c r="G10" s="69"/>
      <c r="H10" s="69"/>
      <c r="I10" s="69"/>
      <c r="J10" s="69"/>
      <c r="K10" s="69"/>
      <c r="L10" s="69"/>
      <c r="M10" s="69"/>
      <c r="N10" s="69"/>
      <c r="O10" s="69"/>
      <c r="P10" s="69"/>
      <c r="Q10" s="69"/>
      <c r="R10" s="69"/>
      <c r="S10" s="69"/>
      <c r="T10" s="69"/>
      <c r="U10" s="69"/>
      <c r="V10" s="69"/>
      <c r="W10" s="69"/>
      <c r="X10" s="69"/>
      <c r="Y10" s="69"/>
      <c r="Z10" s="69"/>
    </row>
    <row r="11" ht="18.75" customHeight="1">
      <c r="A11" s="88"/>
      <c r="B11" s="71"/>
      <c r="C11" s="91" t="s">
        <v>40</v>
      </c>
      <c r="D11" s="69"/>
      <c r="E11" s="69"/>
      <c r="F11" s="69"/>
      <c r="G11" s="69"/>
      <c r="H11" s="69"/>
      <c r="I11" s="69"/>
      <c r="J11" s="69"/>
      <c r="K11" s="69"/>
      <c r="L11" s="69"/>
      <c r="M11" s="69"/>
      <c r="N11" s="69"/>
      <c r="O11" s="69"/>
      <c r="P11" s="69"/>
      <c r="Q11" s="69"/>
      <c r="R11" s="69"/>
      <c r="S11" s="69"/>
      <c r="T11" s="69"/>
      <c r="U11" s="69"/>
      <c r="V11" s="69"/>
      <c r="W11" s="69"/>
      <c r="X11" s="69"/>
      <c r="Y11" s="69"/>
      <c r="Z11" s="69"/>
    </row>
    <row r="12" ht="18.75" customHeight="1">
      <c r="A12" s="88"/>
      <c r="B12" s="71"/>
      <c r="C12" s="92" t="s">
        <v>41</v>
      </c>
      <c r="D12" s="69"/>
      <c r="E12" s="69"/>
      <c r="F12" s="69"/>
      <c r="G12" s="69"/>
      <c r="H12" s="69"/>
      <c r="I12" s="69"/>
      <c r="J12" s="69"/>
      <c r="K12" s="69"/>
      <c r="L12" s="69"/>
      <c r="M12" s="69"/>
      <c r="N12" s="69"/>
      <c r="O12" s="69"/>
      <c r="P12" s="69"/>
      <c r="Q12" s="69"/>
      <c r="R12" s="69"/>
      <c r="S12" s="69"/>
      <c r="T12" s="69"/>
      <c r="U12" s="69"/>
      <c r="V12" s="69"/>
      <c r="W12" s="69"/>
      <c r="X12" s="69"/>
      <c r="Y12" s="69"/>
      <c r="Z12" s="69"/>
    </row>
    <row r="13" ht="18.75" customHeight="1">
      <c r="A13" s="88"/>
      <c r="B13" s="71"/>
      <c r="C13" s="93" t="s">
        <v>42</v>
      </c>
      <c r="D13" s="69"/>
      <c r="E13" s="69"/>
      <c r="F13" s="69"/>
      <c r="G13" s="69"/>
      <c r="H13" s="69"/>
      <c r="I13" s="69"/>
      <c r="J13" s="69"/>
      <c r="K13" s="69"/>
      <c r="L13" s="69"/>
      <c r="M13" s="69"/>
      <c r="N13" s="69"/>
      <c r="O13" s="69"/>
      <c r="P13" s="69"/>
      <c r="Q13" s="69"/>
      <c r="R13" s="69"/>
      <c r="S13" s="69"/>
      <c r="T13" s="69"/>
      <c r="U13" s="69"/>
      <c r="V13" s="69"/>
      <c r="W13" s="69"/>
      <c r="X13" s="69"/>
      <c r="Y13" s="69"/>
      <c r="Z13" s="69"/>
    </row>
    <row r="14" ht="18.75" customHeight="1">
      <c r="A14" s="88"/>
      <c r="B14" s="94" t="s">
        <v>43</v>
      </c>
      <c r="C14" s="95" t="s">
        <v>44</v>
      </c>
      <c r="D14" s="69"/>
      <c r="E14" s="69"/>
      <c r="F14" s="69"/>
      <c r="G14" s="69"/>
      <c r="H14" s="69"/>
      <c r="I14" s="69"/>
      <c r="J14" s="69"/>
      <c r="K14" s="69"/>
      <c r="L14" s="69"/>
      <c r="M14" s="69"/>
      <c r="N14" s="69"/>
      <c r="O14" s="69"/>
      <c r="P14" s="69"/>
      <c r="Q14" s="69"/>
      <c r="R14" s="69"/>
      <c r="S14" s="69"/>
      <c r="T14" s="69"/>
      <c r="U14" s="69"/>
      <c r="V14" s="69"/>
      <c r="W14" s="69"/>
      <c r="X14" s="69"/>
      <c r="Y14" s="69"/>
      <c r="Z14" s="69"/>
    </row>
    <row r="15" ht="18.75" customHeight="1">
      <c r="A15" s="88"/>
      <c r="B15" s="71"/>
      <c r="C15" s="96" t="s">
        <v>45</v>
      </c>
      <c r="D15" s="69"/>
      <c r="E15" s="69"/>
      <c r="F15" s="69"/>
      <c r="G15" s="69"/>
      <c r="H15" s="69"/>
      <c r="I15" s="69"/>
      <c r="J15" s="69"/>
      <c r="K15" s="69"/>
      <c r="L15" s="69"/>
      <c r="M15" s="69"/>
      <c r="N15" s="69"/>
      <c r="O15" s="69"/>
      <c r="P15" s="69"/>
      <c r="Q15" s="69"/>
      <c r="R15" s="69"/>
      <c r="S15" s="69"/>
      <c r="T15" s="69"/>
      <c r="U15" s="69"/>
      <c r="V15" s="69"/>
      <c r="W15" s="69"/>
      <c r="X15" s="69"/>
      <c r="Y15" s="69"/>
      <c r="Z15" s="69"/>
    </row>
    <row r="16" ht="18.75" customHeight="1">
      <c r="A16" s="88"/>
      <c r="B16" s="71"/>
      <c r="C16" s="96" t="s">
        <v>46</v>
      </c>
      <c r="D16" s="69"/>
      <c r="E16" s="69"/>
      <c r="F16" s="69"/>
      <c r="G16" s="69"/>
      <c r="H16" s="69"/>
      <c r="I16" s="69"/>
      <c r="J16" s="69"/>
      <c r="K16" s="69"/>
      <c r="L16" s="69"/>
      <c r="M16" s="69"/>
      <c r="N16" s="69"/>
      <c r="O16" s="69"/>
      <c r="P16" s="69"/>
      <c r="Q16" s="69"/>
      <c r="R16" s="69"/>
      <c r="S16" s="69"/>
      <c r="T16" s="69"/>
      <c r="U16" s="69"/>
      <c r="V16" s="69"/>
      <c r="W16" s="69"/>
      <c r="X16" s="69"/>
      <c r="Y16" s="69"/>
      <c r="Z16" s="69"/>
    </row>
    <row r="17" ht="18.75" customHeight="1">
      <c r="A17" s="88"/>
      <c r="B17" s="66"/>
      <c r="C17" s="97" t="s">
        <v>47</v>
      </c>
      <c r="D17" s="69"/>
      <c r="E17" s="69"/>
      <c r="F17" s="69"/>
      <c r="G17" s="69"/>
      <c r="H17" s="69"/>
      <c r="I17" s="69"/>
      <c r="J17" s="69"/>
      <c r="K17" s="69"/>
      <c r="L17" s="69"/>
      <c r="M17" s="69"/>
      <c r="N17" s="69"/>
      <c r="O17" s="69"/>
      <c r="P17" s="69"/>
      <c r="Q17" s="69"/>
      <c r="R17" s="69"/>
      <c r="S17" s="69"/>
      <c r="T17" s="69"/>
      <c r="U17" s="69"/>
      <c r="V17" s="69"/>
      <c r="W17" s="69"/>
      <c r="X17" s="69"/>
      <c r="Y17" s="69"/>
      <c r="Z17" s="69"/>
    </row>
    <row r="18" ht="18.75" customHeight="1">
      <c r="A18" s="88"/>
      <c r="B18" s="98" t="s">
        <v>48</v>
      </c>
      <c r="C18" s="99" t="s">
        <v>49</v>
      </c>
      <c r="D18" s="69"/>
      <c r="E18" s="69"/>
      <c r="F18" s="69"/>
      <c r="G18" s="69"/>
      <c r="H18" s="69"/>
      <c r="I18" s="69"/>
      <c r="J18" s="69"/>
      <c r="K18" s="69"/>
      <c r="L18" s="69"/>
      <c r="M18" s="69"/>
      <c r="N18" s="69"/>
      <c r="O18" s="69"/>
      <c r="P18" s="69"/>
      <c r="Q18" s="69"/>
      <c r="R18" s="69"/>
      <c r="S18" s="69"/>
      <c r="T18" s="69"/>
      <c r="U18" s="69"/>
      <c r="V18" s="69"/>
      <c r="W18" s="69"/>
      <c r="X18" s="69"/>
      <c r="Y18" s="69"/>
      <c r="Z18" s="69"/>
    </row>
    <row r="19" ht="18.75" customHeight="1">
      <c r="A19" s="88"/>
      <c r="B19" s="71"/>
      <c r="C19" s="100" t="s">
        <v>50</v>
      </c>
      <c r="D19" s="69"/>
      <c r="E19" s="69"/>
      <c r="F19" s="69"/>
      <c r="G19" s="69"/>
      <c r="H19" s="69"/>
      <c r="I19" s="69"/>
      <c r="J19" s="69"/>
      <c r="K19" s="69"/>
      <c r="L19" s="69"/>
      <c r="M19" s="69"/>
      <c r="N19" s="69"/>
      <c r="O19" s="69"/>
      <c r="P19" s="69"/>
      <c r="Q19" s="69"/>
      <c r="R19" s="69"/>
      <c r="S19" s="69"/>
      <c r="T19" s="69"/>
      <c r="U19" s="69"/>
      <c r="V19" s="69"/>
      <c r="W19" s="69"/>
      <c r="X19" s="69"/>
      <c r="Y19" s="69"/>
      <c r="Z19" s="69"/>
    </row>
    <row r="20" ht="18.75" customHeight="1">
      <c r="A20" s="88"/>
      <c r="B20" s="66"/>
      <c r="C20" s="101" t="s">
        <v>51</v>
      </c>
      <c r="D20" s="69"/>
      <c r="E20" s="69"/>
      <c r="F20" s="69"/>
      <c r="G20" s="69"/>
      <c r="H20" s="69"/>
      <c r="I20" s="69"/>
      <c r="J20" s="69"/>
      <c r="K20" s="69"/>
      <c r="L20" s="69"/>
      <c r="M20" s="69"/>
      <c r="N20" s="69"/>
      <c r="O20" s="69"/>
      <c r="P20" s="69"/>
      <c r="Q20" s="69"/>
      <c r="R20" s="69"/>
      <c r="S20" s="69"/>
      <c r="T20" s="69"/>
      <c r="U20" s="69"/>
      <c r="V20" s="69"/>
      <c r="W20" s="69"/>
      <c r="X20" s="69"/>
      <c r="Y20" s="69"/>
      <c r="Z20" s="69"/>
    </row>
    <row r="21" ht="18.75" customHeight="1">
      <c r="A21" s="88"/>
      <c r="B21" s="102" t="s">
        <v>52</v>
      </c>
      <c r="C21" s="103" t="s">
        <v>53</v>
      </c>
      <c r="D21" s="69"/>
      <c r="E21" s="69"/>
      <c r="F21" s="69"/>
      <c r="G21" s="69"/>
      <c r="H21" s="69"/>
      <c r="I21" s="69"/>
      <c r="J21" s="69"/>
      <c r="K21" s="69"/>
      <c r="L21" s="69"/>
      <c r="M21" s="69"/>
      <c r="N21" s="69"/>
      <c r="O21" s="69"/>
      <c r="P21" s="69"/>
      <c r="Q21" s="69"/>
      <c r="R21" s="69"/>
      <c r="S21" s="69"/>
      <c r="T21" s="69"/>
      <c r="U21" s="69"/>
      <c r="V21" s="69"/>
      <c r="W21" s="69"/>
      <c r="X21" s="69"/>
      <c r="Y21" s="69"/>
      <c r="Z21" s="69"/>
    </row>
    <row r="22" ht="18.75" customHeight="1">
      <c r="A22" s="88"/>
      <c r="B22" s="71"/>
      <c r="C22" s="104" t="s">
        <v>54</v>
      </c>
      <c r="D22" s="69"/>
      <c r="E22" s="105"/>
      <c r="F22" s="69"/>
      <c r="G22" s="69"/>
      <c r="H22" s="69"/>
      <c r="I22" s="69"/>
      <c r="J22" s="69"/>
      <c r="K22" s="69"/>
      <c r="L22" s="69"/>
      <c r="M22" s="69"/>
      <c r="N22" s="69"/>
      <c r="O22" s="69"/>
      <c r="P22" s="69"/>
      <c r="Q22" s="69"/>
      <c r="R22" s="69"/>
      <c r="S22" s="69"/>
      <c r="T22" s="69"/>
      <c r="U22" s="69"/>
      <c r="V22" s="69"/>
      <c r="W22" s="69"/>
      <c r="X22" s="69"/>
      <c r="Y22" s="69"/>
      <c r="Z22" s="69"/>
    </row>
    <row r="23" ht="18.75" customHeight="1">
      <c r="A23" s="106"/>
      <c r="B23" s="66"/>
      <c r="C23" s="104" t="s">
        <v>55</v>
      </c>
      <c r="D23" s="69"/>
      <c r="E23" s="69"/>
      <c r="F23" s="69"/>
      <c r="G23" s="69"/>
      <c r="H23" s="69"/>
      <c r="I23" s="69"/>
      <c r="J23" s="69"/>
      <c r="K23" s="69"/>
      <c r="L23" s="69"/>
      <c r="M23" s="69"/>
      <c r="N23" s="69"/>
      <c r="O23" s="69"/>
      <c r="P23" s="69"/>
      <c r="Q23" s="69"/>
      <c r="R23" s="69"/>
      <c r="S23" s="69"/>
      <c r="T23" s="69"/>
      <c r="U23" s="69"/>
      <c r="V23" s="69"/>
      <c r="W23" s="69"/>
      <c r="X23" s="69"/>
      <c r="Y23" s="69"/>
      <c r="Z23" s="69"/>
    </row>
    <row r="24" ht="6.0" customHeight="1">
      <c r="A24" s="107"/>
      <c r="B24" s="108"/>
      <c r="C24" s="109"/>
      <c r="D24" s="110"/>
      <c r="E24" s="110"/>
      <c r="F24" s="110"/>
      <c r="G24" s="110"/>
      <c r="H24" s="110"/>
      <c r="I24" s="110"/>
      <c r="J24" s="110"/>
      <c r="K24" s="110"/>
      <c r="L24" s="110"/>
      <c r="M24" s="110"/>
      <c r="N24" s="110"/>
      <c r="O24" s="110"/>
      <c r="P24" s="110"/>
      <c r="Q24" s="110"/>
      <c r="R24" s="110"/>
      <c r="S24" s="110"/>
      <c r="T24" s="110"/>
      <c r="U24" s="110"/>
      <c r="V24" s="110"/>
      <c r="W24" s="110"/>
      <c r="X24" s="110"/>
      <c r="Y24" s="110"/>
      <c r="Z24" s="110"/>
    </row>
    <row r="25" ht="18.75" customHeight="1">
      <c r="A25" s="111" t="s">
        <v>56</v>
      </c>
      <c r="B25" s="112" t="s">
        <v>57</v>
      </c>
      <c r="C25" s="113" t="s">
        <v>58</v>
      </c>
      <c r="D25" s="69"/>
      <c r="E25" s="69"/>
      <c r="F25" s="69"/>
      <c r="G25" s="69"/>
      <c r="H25" s="69"/>
      <c r="I25" s="69"/>
      <c r="J25" s="69"/>
      <c r="K25" s="69"/>
      <c r="L25" s="69"/>
      <c r="M25" s="69"/>
      <c r="N25" s="69"/>
      <c r="O25" s="69"/>
      <c r="P25" s="69"/>
      <c r="Q25" s="69"/>
      <c r="R25" s="69"/>
      <c r="S25" s="69"/>
      <c r="T25" s="69"/>
      <c r="U25" s="69"/>
      <c r="V25" s="69"/>
      <c r="W25" s="69"/>
      <c r="X25" s="69"/>
      <c r="Y25" s="69"/>
      <c r="Z25" s="69"/>
    </row>
    <row r="26" ht="18.75" customHeight="1">
      <c r="A26" s="114"/>
      <c r="B26" s="115"/>
      <c r="C26" s="116" t="s">
        <v>59</v>
      </c>
      <c r="D26" s="69"/>
      <c r="E26" s="69"/>
      <c r="F26" s="69"/>
      <c r="G26" s="69"/>
      <c r="H26" s="69"/>
      <c r="I26" s="69"/>
      <c r="J26" s="69"/>
      <c r="K26" s="69"/>
      <c r="L26" s="69"/>
      <c r="M26" s="69"/>
      <c r="N26" s="69"/>
      <c r="O26" s="69"/>
      <c r="P26" s="69"/>
      <c r="Q26" s="69"/>
      <c r="R26" s="69"/>
      <c r="S26" s="69"/>
      <c r="T26" s="69"/>
      <c r="U26" s="69"/>
      <c r="V26" s="69"/>
      <c r="W26" s="69"/>
      <c r="X26" s="69"/>
      <c r="Y26" s="69"/>
      <c r="Z26" s="69"/>
    </row>
    <row r="27" ht="18.75" customHeight="1">
      <c r="A27" s="114"/>
      <c r="B27" s="115"/>
      <c r="C27" s="117" t="s">
        <v>60</v>
      </c>
      <c r="D27" s="69"/>
      <c r="E27" s="69"/>
      <c r="F27" s="69"/>
      <c r="G27" s="69"/>
      <c r="H27" s="69"/>
      <c r="I27" s="69"/>
      <c r="J27" s="69"/>
      <c r="K27" s="69"/>
      <c r="L27" s="69"/>
      <c r="M27" s="69"/>
      <c r="N27" s="69"/>
      <c r="O27" s="69"/>
      <c r="P27" s="69"/>
      <c r="Q27" s="69"/>
      <c r="R27" s="69"/>
      <c r="S27" s="69"/>
      <c r="T27" s="69"/>
      <c r="U27" s="69"/>
      <c r="V27" s="69"/>
      <c r="W27" s="69"/>
      <c r="X27" s="69"/>
      <c r="Y27" s="69"/>
      <c r="Z27" s="69"/>
    </row>
    <row r="28" ht="18.75" customHeight="1">
      <c r="A28" s="114"/>
      <c r="B28" s="115"/>
      <c r="C28" s="118" t="s">
        <v>61</v>
      </c>
      <c r="D28" s="69"/>
      <c r="E28" s="69"/>
      <c r="F28" s="69"/>
      <c r="G28" s="69"/>
      <c r="H28" s="69"/>
      <c r="I28" s="69"/>
      <c r="J28" s="69"/>
      <c r="K28" s="69"/>
      <c r="L28" s="69"/>
      <c r="M28" s="69"/>
      <c r="N28" s="69"/>
      <c r="O28" s="69"/>
      <c r="P28" s="69"/>
      <c r="Q28" s="69"/>
      <c r="R28" s="69"/>
      <c r="S28" s="69"/>
      <c r="T28" s="69"/>
      <c r="U28" s="69"/>
      <c r="V28" s="69"/>
      <c r="W28" s="69"/>
      <c r="X28" s="69"/>
      <c r="Y28" s="69"/>
      <c r="Z28" s="69"/>
    </row>
    <row r="29" ht="18.75" customHeight="1">
      <c r="A29" s="114"/>
      <c r="B29" s="119"/>
      <c r="C29" s="117" t="s">
        <v>62</v>
      </c>
      <c r="D29" s="69"/>
      <c r="E29" s="69"/>
      <c r="F29" s="69"/>
      <c r="G29" s="69"/>
      <c r="H29" s="69"/>
      <c r="I29" s="69"/>
      <c r="J29" s="69"/>
      <c r="K29" s="69"/>
      <c r="L29" s="69"/>
      <c r="M29" s="69"/>
      <c r="N29" s="69"/>
      <c r="O29" s="69"/>
      <c r="P29" s="69"/>
      <c r="Q29" s="69"/>
      <c r="R29" s="69"/>
      <c r="S29" s="69"/>
      <c r="T29" s="69"/>
      <c r="U29" s="69"/>
      <c r="V29" s="69"/>
      <c r="W29" s="69"/>
      <c r="X29" s="69"/>
      <c r="Y29" s="69"/>
      <c r="Z29" s="69"/>
    </row>
    <row r="30" ht="18.75" customHeight="1">
      <c r="A30" s="114"/>
      <c r="B30" s="120" t="s">
        <v>63</v>
      </c>
      <c r="C30" s="121" t="s">
        <v>64</v>
      </c>
      <c r="D30" s="69"/>
      <c r="E30" s="69"/>
      <c r="F30" s="69"/>
      <c r="G30" s="69"/>
      <c r="H30" s="69"/>
      <c r="I30" s="69"/>
      <c r="J30" s="69"/>
      <c r="K30" s="69"/>
      <c r="L30" s="69"/>
      <c r="M30" s="69"/>
      <c r="N30" s="69"/>
      <c r="O30" s="69"/>
      <c r="P30" s="69"/>
      <c r="Q30" s="69"/>
      <c r="R30" s="69"/>
      <c r="S30" s="69"/>
      <c r="T30" s="69"/>
      <c r="U30" s="69"/>
      <c r="V30" s="69"/>
      <c r="W30" s="69"/>
      <c r="X30" s="69"/>
      <c r="Y30" s="69"/>
      <c r="Z30" s="69"/>
    </row>
    <row r="31" ht="18.75" customHeight="1">
      <c r="A31" s="114"/>
      <c r="B31" s="115"/>
      <c r="C31" s="122" t="s">
        <v>65</v>
      </c>
      <c r="D31" s="69"/>
      <c r="E31" s="69"/>
      <c r="F31" s="69"/>
      <c r="G31" s="69"/>
      <c r="H31" s="69"/>
      <c r="I31" s="69"/>
      <c r="J31" s="69"/>
      <c r="K31" s="69"/>
      <c r="L31" s="69"/>
      <c r="M31" s="69"/>
      <c r="N31" s="69"/>
      <c r="O31" s="69"/>
      <c r="P31" s="69"/>
      <c r="Q31" s="69"/>
      <c r="R31" s="69"/>
      <c r="S31" s="69"/>
      <c r="T31" s="69"/>
      <c r="U31" s="69"/>
      <c r="V31" s="69"/>
      <c r="W31" s="69"/>
      <c r="X31" s="69"/>
      <c r="Y31" s="69"/>
      <c r="Z31" s="69"/>
    </row>
    <row r="32" ht="18.75" customHeight="1">
      <c r="A32" s="114"/>
      <c r="B32" s="115"/>
      <c r="C32" s="123" t="s">
        <v>66</v>
      </c>
      <c r="D32" s="69"/>
      <c r="E32" s="69"/>
      <c r="F32" s="69"/>
      <c r="G32" s="69"/>
      <c r="H32" s="69"/>
      <c r="I32" s="69"/>
      <c r="J32" s="69"/>
      <c r="K32" s="69"/>
      <c r="L32" s="69"/>
      <c r="M32" s="69"/>
      <c r="N32" s="69"/>
      <c r="O32" s="69"/>
      <c r="P32" s="69"/>
      <c r="Q32" s="69"/>
      <c r="R32" s="69"/>
      <c r="S32" s="69"/>
      <c r="T32" s="69"/>
      <c r="U32" s="69"/>
      <c r="V32" s="69"/>
      <c r="W32" s="69"/>
      <c r="X32" s="69"/>
      <c r="Y32" s="69"/>
      <c r="Z32" s="69"/>
    </row>
    <row r="33" ht="18.75" customHeight="1">
      <c r="A33" s="124"/>
      <c r="B33" s="119"/>
      <c r="C33" s="125" t="s">
        <v>67</v>
      </c>
      <c r="D33" s="69"/>
      <c r="E33" s="69"/>
      <c r="F33" s="69"/>
      <c r="G33" s="69"/>
      <c r="H33" s="69"/>
      <c r="I33" s="69"/>
      <c r="J33" s="69"/>
      <c r="K33" s="69"/>
      <c r="L33" s="69"/>
      <c r="M33" s="69"/>
      <c r="N33" s="69"/>
      <c r="O33" s="69"/>
      <c r="P33" s="69"/>
      <c r="Q33" s="69"/>
      <c r="R33" s="69"/>
      <c r="S33" s="69"/>
      <c r="T33" s="69"/>
      <c r="U33" s="69"/>
      <c r="V33" s="69"/>
      <c r="W33" s="69"/>
      <c r="X33" s="69"/>
      <c r="Y33" s="69"/>
      <c r="Z33" s="69"/>
    </row>
    <row r="34" ht="6.0" customHeight="1">
      <c r="A34" s="126"/>
      <c r="B34" s="82"/>
      <c r="C34" s="127"/>
      <c r="D34" s="126"/>
      <c r="E34" s="128"/>
      <c r="F34" s="128"/>
      <c r="G34" s="128"/>
      <c r="H34" s="128"/>
      <c r="I34" s="128"/>
      <c r="J34" s="128"/>
      <c r="K34" s="128"/>
      <c r="L34" s="128"/>
      <c r="M34" s="128"/>
      <c r="N34" s="128"/>
      <c r="O34" s="128"/>
      <c r="P34" s="128"/>
      <c r="Q34" s="128"/>
      <c r="R34" s="128"/>
      <c r="S34" s="128"/>
      <c r="T34" s="128"/>
      <c r="U34" s="128"/>
      <c r="V34" s="128"/>
      <c r="W34" s="128"/>
      <c r="X34" s="128"/>
      <c r="Y34" s="128"/>
      <c r="Z34" s="128"/>
    </row>
    <row r="35" ht="18.75" customHeight="1">
      <c r="A35" s="129" t="s">
        <v>68</v>
      </c>
      <c r="B35" s="130" t="s">
        <v>69</v>
      </c>
      <c r="C35" s="68"/>
      <c r="D35" s="131">
        <f t="shared" ref="D35:Y35" si="1">COUNTIF(D5:D33,"Voor")</f>
        <v>0</v>
      </c>
      <c r="E35" s="131">
        <f t="shared" si="1"/>
        <v>0</v>
      </c>
      <c r="F35" s="131">
        <f t="shared" si="1"/>
        <v>0</v>
      </c>
      <c r="G35" s="131">
        <f t="shared" si="1"/>
        <v>0</v>
      </c>
      <c r="H35" s="131">
        <f t="shared" si="1"/>
        <v>0</v>
      </c>
      <c r="I35" s="131">
        <f t="shared" si="1"/>
        <v>0</v>
      </c>
      <c r="J35" s="131">
        <f t="shared" si="1"/>
        <v>0</v>
      </c>
      <c r="K35" s="131">
        <f t="shared" si="1"/>
        <v>0</v>
      </c>
      <c r="L35" s="131">
        <f t="shared" si="1"/>
        <v>0</v>
      </c>
      <c r="M35" s="131">
        <f t="shared" si="1"/>
        <v>0</v>
      </c>
      <c r="N35" s="131">
        <f t="shared" si="1"/>
        <v>0</v>
      </c>
      <c r="O35" s="131">
        <f t="shared" si="1"/>
        <v>0</v>
      </c>
      <c r="P35" s="131">
        <f t="shared" si="1"/>
        <v>0</v>
      </c>
      <c r="Q35" s="131">
        <f t="shared" si="1"/>
        <v>0</v>
      </c>
      <c r="R35" s="131">
        <f t="shared" si="1"/>
        <v>0</v>
      </c>
      <c r="S35" s="131">
        <f t="shared" si="1"/>
        <v>0</v>
      </c>
      <c r="T35" s="131">
        <f t="shared" si="1"/>
        <v>0</v>
      </c>
      <c r="U35" s="131">
        <f t="shared" si="1"/>
        <v>0</v>
      </c>
      <c r="V35" s="131">
        <f t="shared" si="1"/>
        <v>0</v>
      </c>
      <c r="W35" s="131">
        <f t="shared" si="1"/>
        <v>0</v>
      </c>
      <c r="X35" s="131">
        <f t="shared" si="1"/>
        <v>0</v>
      </c>
      <c r="Y35" s="132">
        <f t="shared" si="1"/>
        <v>0</v>
      </c>
      <c r="Z35" s="69"/>
    </row>
    <row r="36" ht="18.75" customHeight="1">
      <c r="A36" s="68"/>
      <c r="B36" s="133" t="s">
        <v>70</v>
      </c>
      <c r="C36" s="68"/>
      <c r="D36" s="134">
        <f t="shared" ref="D36:Y36" si="2">COUNTIF(D5:D33,"Tegen")</f>
        <v>0</v>
      </c>
      <c r="E36" s="134">
        <f t="shared" si="2"/>
        <v>0</v>
      </c>
      <c r="F36" s="134">
        <f t="shared" si="2"/>
        <v>0</v>
      </c>
      <c r="G36" s="134">
        <f t="shared" si="2"/>
        <v>0</v>
      </c>
      <c r="H36" s="134">
        <f t="shared" si="2"/>
        <v>0</v>
      </c>
      <c r="I36" s="134">
        <f t="shared" si="2"/>
        <v>0</v>
      </c>
      <c r="J36" s="134">
        <f t="shared" si="2"/>
        <v>0</v>
      </c>
      <c r="K36" s="134">
        <f t="shared" si="2"/>
        <v>0</v>
      </c>
      <c r="L36" s="134">
        <f t="shared" si="2"/>
        <v>0</v>
      </c>
      <c r="M36" s="134">
        <f t="shared" si="2"/>
        <v>0</v>
      </c>
      <c r="N36" s="134">
        <f t="shared" si="2"/>
        <v>0</v>
      </c>
      <c r="O36" s="134">
        <f t="shared" si="2"/>
        <v>0</v>
      </c>
      <c r="P36" s="134">
        <f t="shared" si="2"/>
        <v>0</v>
      </c>
      <c r="Q36" s="134">
        <f t="shared" si="2"/>
        <v>0</v>
      </c>
      <c r="R36" s="134">
        <f t="shared" si="2"/>
        <v>0</v>
      </c>
      <c r="S36" s="134">
        <f t="shared" si="2"/>
        <v>0</v>
      </c>
      <c r="T36" s="134">
        <f t="shared" si="2"/>
        <v>0</v>
      </c>
      <c r="U36" s="134">
        <f t="shared" si="2"/>
        <v>0</v>
      </c>
      <c r="V36" s="134">
        <f t="shared" si="2"/>
        <v>0</v>
      </c>
      <c r="W36" s="134">
        <f t="shared" si="2"/>
        <v>0</v>
      </c>
      <c r="X36" s="134">
        <f t="shared" si="2"/>
        <v>0</v>
      </c>
      <c r="Y36" s="135">
        <f t="shared" si="2"/>
        <v>0</v>
      </c>
      <c r="Z36" s="69"/>
    </row>
    <row r="37" ht="18.75" customHeight="1">
      <c r="A37" s="68"/>
      <c r="B37" s="136" t="s">
        <v>71</v>
      </c>
      <c r="C37" s="68"/>
      <c r="D37" s="137">
        <f t="shared" ref="D37:Y37" si="3">COUNTIF(D5:D33,"SO")</f>
        <v>0</v>
      </c>
      <c r="E37" s="137">
        <f t="shared" si="3"/>
        <v>0</v>
      </c>
      <c r="F37" s="137">
        <f t="shared" si="3"/>
        <v>0</v>
      </c>
      <c r="G37" s="137">
        <f t="shared" si="3"/>
        <v>0</v>
      </c>
      <c r="H37" s="137">
        <f t="shared" si="3"/>
        <v>0</v>
      </c>
      <c r="I37" s="137">
        <f t="shared" si="3"/>
        <v>0</v>
      </c>
      <c r="J37" s="137">
        <f t="shared" si="3"/>
        <v>0</v>
      </c>
      <c r="K37" s="137">
        <f t="shared" si="3"/>
        <v>0</v>
      </c>
      <c r="L37" s="137">
        <f t="shared" si="3"/>
        <v>0</v>
      </c>
      <c r="M37" s="137">
        <f t="shared" si="3"/>
        <v>0</v>
      </c>
      <c r="N37" s="137">
        <f t="shared" si="3"/>
        <v>0</v>
      </c>
      <c r="O37" s="137">
        <f t="shared" si="3"/>
        <v>0</v>
      </c>
      <c r="P37" s="137">
        <f t="shared" si="3"/>
        <v>0</v>
      </c>
      <c r="Q37" s="137">
        <f t="shared" si="3"/>
        <v>0</v>
      </c>
      <c r="R37" s="137">
        <f t="shared" si="3"/>
        <v>0</v>
      </c>
      <c r="S37" s="137">
        <f t="shared" si="3"/>
        <v>0</v>
      </c>
      <c r="T37" s="137">
        <f t="shared" si="3"/>
        <v>0</v>
      </c>
      <c r="U37" s="137">
        <f t="shared" si="3"/>
        <v>0</v>
      </c>
      <c r="V37" s="137">
        <f t="shared" si="3"/>
        <v>0</v>
      </c>
      <c r="W37" s="137">
        <f t="shared" si="3"/>
        <v>0</v>
      </c>
      <c r="X37" s="137">
        <f t="shared" si="3"/>
        <v>0</v>
      </c>
      <c r="Y37" s="138">
        <f t="shared" si="3"/>
        <v>0</v>
      </c>
      <c r="Z37" s="69"/>
    </row>
    <row r="38" ht="18.75" customHeight="1">
      <c r="A38" s="68"/>
      <c r="B38" s="139" t="s">
        <v>72</v>
      </c>
      <c r="C38" s="68"/>
      <c r="D38" s="140">
        <f t="shared" ref="D38:Y38" si="4">COUNTIF(D5:D33,"NG")</f>
        <v>0</v>
      </c>
      <c r="E38" s="140">
        <f t="shared" si="4"/>
        <v>0</v>
      </c>
      <c r="F38" s="140">
        <f t="shared" si="4"/>
        <v>0</v>
      </c>
      <c r="G38" s="140">
        <f t="shared" si="4"/>
        <v>0</v>
      </c>
      <c r="H38" s="140">
        <f t="shared" si="4"/>
        <v>0</v>
      </c>
      <c r="I38" s="140">
        <f t="shared" si="4"/>
        <v>0</v>
      </c>
      <c r="J38" s="140">
        <f t="shared" si="4"/>
        <v>0</v>
      </c>
      <c r="K38" s="140">
        <f t="shared" si="4"/>
        <v>0</v>
      </c>
      <c r="L38" s="140">
        <f t="shared" si="4"/>
        <v>0</v>
      </c>
      <c r="M38" s="140">
        <f t="shared" si="4"/>
        <v>0</v>
      </c>
      <c r="N38" s="140">
        <f t="shared" si="4"/>
        <v>0</v>
      </c>
      <c r="O38" s="140">
        <f t="shared" si="4"/>
        <v>0</v>
      </c>
      <c r="P38" s="140">
        <f t="shared" si="4"/>
        <v>0</v>
      </c>
      <c r="Q38" s="140">
        <f t="shared" si="4"/>
        <v>0</v>
      </c>
      <c r="R38" s="140">
        <f t="shared" si="4"/>
        <v>0</v>
      </c>
      <c r="S38" s="140">
        <f t="shared" si="4"/>
        <v>0</v>
      </c>
      <c r="T38" s="140">
        <f t="shared" si="4"/>
        <v>0</v>
      </c>
      <c r="U38" s="140">
        <f t="shared" si="4"/>
        <v>0</v>
      </c>
      <c r="V38" s="140">
        <f t="shared" si="4"/>
        <v>0</v>
      </c>
      <c r="W38" s="140">
        <f t="shared" si="4"/>
        <v>0</v>
      </c>
      <c r="X38" s="140">
        <f t="shared" si="4"/>
        <v>0</v>
      </c>
      <c r="Y38" s="141">
        <f t="shared" si="4"/>
        <v>0</v>
      </c>
      <c r="Z38" s="69"/>
    </row>
    <row r="39" ht="18.75" customHeight="1">
      <c r="A39" s="68"/>
      <c r="B39" s="142" t="s">
        <v>73</v>
      </c>
      <c r="C39" s="68"/>
      <c r="D39" s="143">
        <f t="shared" ref="D39:Y39" si="5">SUM(D35:D38)</f>
        <v>0</v>
      </c>
      <c r="E39" s="143">
        <f t="shared" si="5"/>
        <v>0</v>
      </c>
      <c r="F39" s="143">
        <f t="shared" si="5"/>
        <v>0</v>
      </c>
      <c r="G39" s="143">
        <f t="shared" si="5"/>
        <v>0</v>
      </c>
      <c r="H39" s="143">
        <f t="shared" si="5"/>
        <v>0</v>
      </c>
      <c r="I39" s="143">
        <f t="shared" si="5"/>
        <v>0</v>
      </c>
      <c r="J39" s="143">
        <f t="shared" si="5"/>
        <v>0</v>
      </c>
      <c r="K39" s="143">
        <f t="shared" si="5"/>
        <v>0</v>
      </c>
      <c r="L39" s="143">
        <f t="shared" si="5"/>
        <v>0</v>
      </c>
      <c r="M39" s="143">
        <f t="shared" si="5"/>
        <v>0</v>
      </c>
      <c r="N39" s="143">
        <f t="shared" si="5"/>
        <v>0</v>
      </c>
      <c r="O39" s="143">
        <f t="shared" si="5"/>
        <v>0</v>
      </c>
      <c r="P39" s="143">
        <f t="shared" si="5"/>
        <v>0</v>
      </c>
      <c r="Q39" s="143">
        <f t="shared" si="5"/>
        <v>0</v>
      </c>
      <c r="R39" s="143">
        <f t="shared" si="5"/>
        <v>0</v>
      </c>
      <c r="S39" s="143">
        <f t="shared" si="5"/>
        <v>0</v>
      </c>
      <c r="T39" s="143">
        <f t="shared" si="5"/>
        <v>0</v>
      </c>
      <c r="U39" s="143">
        <f t="shared" si="5"/>
        <v>0</v>
      </c>
      <c r="V39" s="143">
        <f t="shared" si="5"/>
        <v>0</v>
      </c>
      <c r="W39" s="143">
        <f t="shared" si="5"/>
        <v>0</v>
      </c>
      <c r="X39" s="143">
        <f t="shared" si="5"/>
        <v>0</v>
      </c>
      <c r="Y39" s="144">
        <f t="shared" si="5"/>
        <v>0</v>
      </c>
      <c r="Z39" s="69"/>
    </row>
    <row r="40" ht="18.75" customHeight="1">
      <c r="A40" s="68"/>
      <c r="B40" s="145" t="s">
        <v>74</v>
      </c>
      <c r="C40" s="68"/>
      <c r="D40" s="146">
        <f t="shared" ref="D40:Y40" si="6">D35+D36+D37</f>
        <v>0</v>
      </c>
      <c r="E40" s="146">
        <f t="shared" si="6"/>
        <v>0</v>
      </c>
      <c r="F40" s="146">
        <f t="shared" si="6"/>
        <v>0</v>
      </c>
      <c r="G40" s="146">
        <f t="shared" si="6"/>
        <v>0</v>
      </c>
      <c r="H40" s="146">
        <f t="shared" si="6"/>
        <v>0</v>
      </c>
      <c r="I40" s="146">
        <f t="shared" si="6"/>
        <v>0</v>
      </c>
      <c r="J40" s="146">
        <f t="shared" si="6"/>
        <v>0</v>
      </c>
      <c r="K40" s="146">
        <f t="shared" si="6"/>
        <v>0</v>
      </c>
      <c r="L40" s="146">
        <f t="shared" si="6"/>
        <v>0</v>
      </c>
      <c r="M40" s="146">
        <f t="shared" si="6"/>
        <v>0</v>
      </c>
      <c r="N40" s="146">
        <f t="shared" si="6"/>
        <v>0</v>
      </c>
      <c r="O40" s="146">
        <f t="shared" si="6"/>
        <v>0</v>
      </c>
      <c r="P40" s="146">
        <f t="shared" si="6"/>
        <v>0</v>
      </c>
      <c r="Q40" s="146">
        <f t="shared" si="6"/>
        <v>0</v>
      </c>
      <c r="R40" s="146">
        <f t="shared" si="6"/>
        <v>0</v>
      </c>
      <c r="S40" s="146">
        <f t="shared" si="6"/>
        <v>0</v>
      </c>
      <c r="T40" s="146">
        <f t="shared" si="6"/>
        <v>0</v>
      </c>
      <c r="U40" s="146">
        <f t="shared" si="6"/>
        <v>0</v>
      </c>
      <c r="V40" s="146">
        <f t="shared" si="6"/>
        <v>0</v>
      </c>
      <c r="W40" s="146">
        <f t="shared" si="6"/>
        <v>0</v>
      </c>
      <c r="X40" s="146">
        <f t="shared" si="6"/>
        <v>0</v>
      </c>
      <c r="Y40" s="147">
        <f t="shared" si="6"/>
        <v>0</v>
      </c>
      <c r="Z40" s="69"/>
    </row>
    <row r="41" ht="18.75" customHeight="1">
      <c r="A41" s="148"/>
      <c r="B41" s="149" t="s">
        <v>75</v>
      </c>
      <c r="C41" s="148"/>
      <c r="D41" s="150" t="str">
        <f t="shared" ref="D41:Y41" si="7">IFERROR(D40/D39,"")</f>
        <v/>
      </c>
      <c r="E41" s="150" t="str">
        <f t="shared" si="7"/>
        <v/>
      </c>
      <c r="F41" s="150" t="str">
        <f t="shared" si="7"/>
        <v/>
      </c>
      <c r="G41" s="150" t="str">
        <f t="shared" si="7"/>
        <v/>
      </c>
      <c r="H41" s="150" t="str">
        <f t="shared" si="7"/>
        <v/>
      </c>
      <c r="I41" s="150" t="str">
        <f t="shared" si="7"/>
        <v/>
      </c>
      <c r="J41" s="150" t="str">
        <f t="shared" si="7"/>
        <v/>
      </c>
      <c r="K41" s="150" t="str">
        <f t="shared" si="7"/>
        <v/>
      </c>
      <c r="L41" s="150" t="str">
        <f t="shared" si="7"/>
        <v/>
      </c>
      <c r="M41" s="150" t="str">
        <f t="shared" si="7"/>
        <v/>
      </c>
      <c r="N41" s="150" t="str">
        <f t="shared" si="7"/>
        <v/>
      </c>
      <c r="O41" s="150" t="str">
        <f t="shared" si="7"/>
        <v/>
      </c>
      <c r="P41" s="150" t="str">
        <f t="shared" si="7"/>
        <v/>
      </c>
      <c r="Q41" s="150" t="str">
        <f t="shared" si="7"/>
        <v/>
      </c>
      <c r="R41" s="150" t="str">
        <f t="shared" si="7"/>
        <v/>
      </c>
      <c r="S41" s="150" t="str">
        <f t="shared" si="7"/>
        <v/>
      </c>
      <c r="T41" s="150" t="str">
        <f t="shared" si="7"/>
        <v/>
      </c>
      <c r="U41" s="150" t="str">
        <f t="shared" si="7"/>
        <v/>
      </c>
      <c r="V41" s="150" t="str">
        <f t="shared" si="7"/>
        <v/>
      </c>
      <c r="W41" s="150" t="str">
        <f t="shared" si="7"/>
        <v/>
      </c>
      <c r="X41" s="150" t="str">
        <f t="shared" si="7"/>
        <v/>
      </c>
      <c r="Y41" s="151" t="str">
        <f t="shared" si="7"/>
        <v/>
      </c>
      <c r="Z41" s="69"/>
    </row>
    <row r="42" ht="18.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8.75" customHeight="1">
      <c r="A43" s="152" t="s">
        <v>30</v>
      </c>
      <c r="B43" s="153"/>
      <c r="C43" s="154"/>
      <c r="D43" s="155" t="s">
        <v>31</v>
      </c>
      <c r="E43" s="156"/>
      <c r="F43" s="156"/>
      <c r="G43" s="156"/>
      <c r="H43" s="156"/>
      <c r="I43" s="156"/>
      <c r="J43" s="156"/>
      <c r="K43" s="156"/>
      <c r="L43" s="156"/>
      <c r="M43" s="156"/>
      <c r="N43" s="156"/>
      <c r="O43" s="156"/>
      <c r="P43" s="156"/>
      <c r="Q43" s="156"/>
      <c r="R43" s="156"/>
      <c r="S43" s="156"/>
      <c r="T43" s="156"/>
      <c r="U43" s="156"/>
      <c r="V43" s="156"/>
      <c r="W43" s="156"/>
      <c r="X43" s="156"/>
      <c r="Y43" s="156"/>
      <c r="Z43" s="157"/>
    </row>
    <row r="44" ht="18.75" customHeight="1">
      <c r="A44" s="158" t="s">
        <v>76</v>
      </c>
      <c r="C44" s="71"/>
      <c r="D44" s="159"/>
      <c r="Z44" s="68"/>
    </row>
    <row r="45" ht="18.75" customHeight="1">
      <c r="C45" s="71"/>
      <c r="D45" s="160"/>
      <c r="E45" s="72"/>
      <c r="F45" s="72"/>
      <c r="G45" s="72"/>
      <c r="H45" s="72"/>
      <c r="I45" s="72"/>
      <c r="J45" s="72"/>
      <c r="K45" s="72"/>
      <c r="L45" s="72"/>
      <c r="M45" s="72"/>
      <c r="N45" s="72"/>
      <c r="O45" s="72"/>
      <c r="P45" s="72"/>
      <c r="Q45" s="72"/>
      <c r="R45" s="72"/>
      <c r="S45" s="72"/>
      <c r="T45" s="72"/>
      <c r="U45" s="72"/>
      <c r="V45" s="72"/>
      <c r="W45" s="72"/>
      <c r="X45" s="72"/>
      <c r="Y45" s="72"/>
      <c r="Z45" s="73"/>
    </row>
    <row r="46" ht="18.75" customHeight="1">
      <c r="A46" s="161" t="s">
        <v>33</v>
      </c>
      <c r="B46" s="162" t="s">
        <v>7</v>
      </c>
      <c r="C46" s="163" t="s">
        <v>34</v>
      </c>
      <c r="D46" s="164" t="s">
        <v>77</v>
      </c>
      <c r="E46" s="164" t="s">
        <v>78</v>
      </c>
      <c r="F46" s="164" t="s">
        <v>79</v>
      </c>
      <c r="G46" s="164" t="s">
        <v>80</v>
      </c>
      <c r="H46" s="164" t="s">
        <v>81</v>
      </c>
      <c r="I46" s="164" t="s">
        <v>82</v>
      </c>
      <c r="J46" s="165" t="s">
        <v>83</v>
      </c>
      <c r="K46" s="164" t="s">
        <v>84</v>
      </c>
      <c r="L46" s="164" t="s">
        <v>85</v>
      </c>
      <c r="M46" s="164" t="s">
        <v>86</v>
      </c>
      <c r="N46" s="164" t="s">
        <v>87</v>
      </c>
      <c r="O46" s="165" t="s">
        <v>88</v>
      </c>
      <c r="P46" s="164" t="s">
        <v>89</v>
      </c>
      <c r="Q46" s="164" t="s">
        <v>90</v>
      </c>
      <c r="R46" s="165" t="s">
        <v>91</v>
      </c>
      <c r="S46" s="165" t="s">
        <v>92</v>
      </c>
      <c r="T46" s="164" t="s">
        <v>93</v>
      </c>
      <c r="U46" s="164" t="s">
        <v>94</v>
      </c>
      <c r="V46" s="164" t="s">
        <v>95</v>
      </c>
      <c r="W46" s="165" t="s">
        <v>96</v>
      </c>
      <c r="X46" s="164" t="s">
        <v>97</v>
      </c>
      <c r="Y46" s="166" t="s">
        <v>98</v>
      </c>
      <c r="Z46" s="165" t="s">
        <v>98</v>
      </c>
    </row>
    <row r="47" ht="6.0" customHeight="1">
      <c r="A47" s="81"/>
      <c r="B47" s="82"/>
      <c r="C47" s="82"/>
      <c r="D47" s="83"/>
      <c r="E47" s="84"/>
      <c r="F47" s="84"/>
      <c r="G47" s="84"/>
      <c r="H47" s="84"/>
      <c r="I47" s="84"/>
      <c r="J47" s="84"/>
      <c r="K47" s="84"/>
      <c r="L47" s="84"/>
      <c r="M47" s="84"/>
      <c r="N47" s="84"/>
      <c r="O47" s="84"/>
      <c r="P47" s="84"/>
      <c r="Q47" s="84"/>
      <c r="R47" s="84"/>
      <c r="S47" s="84"/>
      <c r="T47" s="84"/>
      <c r="U47" s="84"/>
      <c r="V47" s="84"/>
      <c r="W47" s="84"/>
      <c r="X47" s="84"/>
      <c r="Y47" s="84"/>
      <c r="Z47" s="84"/>
    </row>
    <row r="48" ht="18.75" customHeight="1">
      <c r="A48" s="85" t="s">
        <v>35</v>
      </c>
      <c r="B48" s="86" t="s">
        <v>36</v>
      </c>
      <c r="C48" s="87" t="s">
        <v>37</v>
      </c>
      <c r="D48" s="167" t="s">
        <v>70</v>
      </c>
      <c r="E48" s="167" t="s">
        <v>70</v>
      </c>
      <c r="F48" s="167" t="s">
        <v>70</v>
      </c>
      <c r="G48" s="167" t="s">
        <v>70</v>
      </c>
      <c r="H48" s="167" t="s">
        <v>70</v>
      </c>
      <c r="I48" s="167" t="s">
        <v>70</v>
      </c>
      <c r="J48" s="168" t="s">
        <v>69</v>
      </c>
      <c r="K48" s="167" t="s">
        <v>70</v>
      </c>
      <c r="L48" s="167" t="s">
        <v>69</v>
      </c>
      <c r="M48" s="167" t="s">
        <v>70</v>
      </c>
      <c r="N48" s="167" t="s">
        <v>69</v>
      </c>
      <c r="O48" s="168" t="s">
        <v>69</v>
      </c>
      <c r="P48" s="167" t="s">
        <v>70</v>
      </c>
      <c r="Q48" s="167" t="s">
        <v>70</v>
      </c>
      <c r="R48" s="168" t="s">
        <v>69</v>
      </c>
      <c r="S48" s="168" t="s">
        <v>69</v>
      </c>
      <c r="T48" s="167" t="s">
        <v>69</v>
      </c>
      <c r="U48" s="167" t="s">
        <v>69</v>
      </c>
      <c r="V48" s="167" t="s">
        <v>69</v>
      </c>
      <c r="W48" s="168" t="s">
        <v>69</v>
      </c>
      <c r="X48" s="169" t="s">
        <v>69</v>
      </c>
      <c r="Y48" s="170" t="s">
        <v>69</v>
      </c>
      <c r="Z48" s="171" t="s">
        <v>69</v>
      </c>
    </row>
    <row r="49" ht="18.75" customHeight="1">
      <c r="A49" s="88"/>
      <c r="B49" s="71"/>
      <c r="C49" s="89" t="s">
        <v>38</v>
      </c>
      <c r="D49" s="167" t="s">
        <v>70</v>
      </c>
      <c r="E49" s="167" t="s">
        <v>70</v>
      </c>
      <c r="F49" s="167" t="s">
        <v>69</v>
      </c>
      <c r="G49" s="167" t="s">
        <v>70</v>
      </c>
      <c r="H49" s="167" t="s">
        <v>70</v>
      </c>
      <c r="I49" s="167" t="s">
        <v>70</v>
      </c>
      <c r="J49" s="168" t="s">
        <v>69</v>
      </c>
      <c r="K49" s="167" t="s">
        <v>70</v>
      </c>
      <c r="L49" s="167" t="s">
        <v>69</v>
      </c>
      <c r="M49" s="167" t="s">
        <v>69</v>
      </c>
      <c r="N49" s="167" t="s">
        <v>69</v>
      </c>
      <c r="O49" s="168" t="s">
        <v>69</v>
      </c>
      <c r="P49" s="167" t="s">
        <v>70</v>
      </c>
      <c r="Q49" s="167" t="s">
        <v>69</v>
      </c>
      <c r="R49" s="168" t="s">
        <v>69</v>
      </c>
      <c r="S49" s="168" t="s">
        <v>69</v>
      </c>
      <c r="T49" s="167" t="s">
        <v>69</v>
      </c>
      <c r="U49" s="167" t="s">
        <v>69</v>
      </c>
      <c r="V49" s="167" t="s">
        <v>69</v>
      </c>
      <c r="W49" s="168" t="s">
        <v>69</v>
      </c>
      <c r="X49" s="169" t="s">
        <v>69</v>
      </c>
      <c r="Y49" s="170" t="s">
        <v>69</v>
      </c>
      <c r="Z49" s="171" t="s">
        <v>69</v>
      </c>
    </row>
    <row r="50" ht="18.75" customHeight="1">
      <c r="A50" s="88"/>
      <c r="B50" s="71"/>
      <c r="C50" s="90" t="s">
        <v>39</v>
      </c>
      <c r="D50" s="167" t="s">
        <v>70</v>
      </c>
      <c r="E50" s="167" t="s">
        <v>70</v>
      </c>
      <c r="F50" s="167" t="s">
        <v>70</v>
      </c>
      <c r="G50" s="167" t="s">
        <v>70</v>
      </c>
      <c r="H50" s="167" t="s">
        <v>70</v>
      </c>
      <c r="I50" s="167" t="s">
        <v>70</v>
      </c>
      <c r="J50" s="168" t="s">
        <v>69</v>
      </c>
      <c r="K50" s="167" t="s">
        <v>70</v>
      </c>
      <c r="L50" s="167" t="s">
        <v>69</v>
      </c>
      <c r="M50" s="167" t="s">
        <v>70</v>
      </c>
      <c r="N50" s="167" t="s">
        <v>69</v>
      </c>
      <c r="O50" s="168" t="s">
        <v>69</v>
      </c>
      <c r="P50" s="167" t="s">
        <v>70</v>
      </c>
      <c r="Q50" s="167" t="s">
        <v>69</v>
      </c>
      <c r="R50" s="168" t="s">
        <v>69</v>
      </c>
      <c r="S50" s="168" t="s">
        <v>69</v>
      </c>
      <c r="T50" s="167" t="s">
        <v>69</v>
      </c>
      <c r="U50" s="167" t="s">
        <v>69</v>
      </c>
      <c r="V50" s="167" t="s">
        <v>69</v>
      </c>
      <c r="W50" s="168" t="s">
        <v>69</v>
      </c>
      <c r="X50" s="169" t="s">
        <v>69</v>
      </c>
      <c r="Y50" s="170" t="s">
        <v>69</v>
      </c>
      <c r="Z50" s="171" t="s">
        <v>69</v>
      </c>
    </row>
    <row r="51" ht="18.75" customHeight="1">
      <c r="A51" s="88"/>
      <c r="B51" s="71"/>
      <c r="C51" s="91" t="s">
        <v>40</v>
      </c>
      <c r="D51" s="167" t="s">
        <v>70</v>
      </c>
      <c r="E51" s="167" t="s">
        <v>70</v>
      </c>
      <c r="F51" s="167" t="s">
        <v>69</v>
      </c>
      <c r="G51" s="167" t="s">
        <v>70</v>
      </c>
      <c r="H51" s="167" t="s">
        <v>69</v>
      </c>
      <c r="I51" s="167" t="s">
        <v>69</v>
      </c>
      <c r="J51" s="168" t="s">
        <v>69</v>
      </c>
      <c r="K51" s="167" t="s">
        <v>70</v>
      </c>
      <c r="L51" s="167" t="s">
        <v>69</v>
      </c>
      <c r="M51" s="167" t="s">
        <v>69</v>
      </c>
      <c r="N51" s="167" t="s">
        <v>69</v>
      </c>
      <c r="O51" s="168" t="s">
        <v>69</v>
      </c>
      <c r="P51" s="167" t="s">
        <v>70</v>
      </c>
      <c r="Q51" s="167" t="s">
        <v>69</v>
      </c>
      <c r="R51" s="168" t="s">
        <v>69</v>
      </c>
      <c r="S51" s="168" t="s">
        <v>69</v>
      </c>
      <c r="T51" s="167" t="s">
        <v>69</v>
      </c>
      <c r="U51" s="167" t="s">
        <v>69</v>
      </c>
      <c r="V51" s="167" t="s">
        <v>69</v>
      </c>
      <c r="W51" s="168" t="s">
        <v>69</v>
      </c>
      <c r="X51" s="169" t="s">
        <v>69</v>
      </c>
      <c r="Y51" s="170" t="s">
        <v>69</v>
      </c>
      <c r="Z51" s="171" t="s">
        <v>69</v>
      </c>
    </row>
    <row r="52" ht="18.75" customHeight="1">
      <c r="A52" s="88"/>
      <c r="B52" s="71"/>
      <c r="C52" s="92" t="s">
        <v>41</v>
      </c>
      <c r="D52" s="167" t="s">
        <v>70</v>
      </c>
      <c r="E52" s="167" t="s">
        <v>70</v>
      </c>
      <c r="F52" s="167" t="s">
        <v>70</v>
      </c>
      <c r="G52" s="167" t="s">
        <v>70</v>
      </c>
      <c r="H52" s="167" t="s">
        <v>99</v>
      </c>
      <c r="I52" s="167" t="s">
        <v>70</v>
      </c>
      <c r="J52" s="168" t="s">
        <v>69</v>
      </c>
      <c r="K52" s="167" t="s">
        <v>70</v>
      </c>
      <c r="L52" s="167" t="s">
        <v>69</v>
      </c>
      <c r="M52" s="167" t="s">
        <v>70</v>
      </c>
      <c r="N52" s="167" t="s">
        <v>69</v>
      </c>
      <c r="O52" s="168" t="s">
        <v>69</v>
      </c>
      <c r="P52" s="167" t="s">
        <v>70</v>
      </c>
      <c r="Q52" s="167" t="s">
        <v>99</v>
      </c>
      <c r="R52" s="168" t="s">
        <v>70</v>
      </c>
      <c r="S52" s="168" t="s">
        <v>100</v>
      </c>
      <c r="T52" s="167" t="s">
        <v>100</v>
      </c>
      <c r="U52" s="167" t="s">
        <v>100</v>
      </c>
      <c r="V52" s="167" t="s">
        <v>100</v>
      </c>
      <c r="W52" s="168" t="s">
        <v>100</v>
      </c>
      <c r="X52" s="167" t="s">
        <v>100</v>
      </c>
      <c r="Y52" s="167" t="s">
        <v>100</v>
      </c>
      <c r="Z52" s="168" t="s">
        <v>100</v>
      </c>
    </row>
    <row r="53" ht="18.75" customHeight="1">
      <c r="A53" s="88"/>
      <c r="B53" s="71"/>
      <c r="C53" s="93" t="s">
        <v>42</v>
      </c>
      <c r="D53" s="167" t="s">
        <v>100</v>
      </c>
      <c r="E53" s="167" t="s">
        <v>100</v>
      </c>
      <c r="F53" s="167" t="s">
        <v>100</v>
      </c>
      <c r="G53" s="167" t="s">
        <v>100</v>
      </c>
      <c r="H53" s="167" t="s">
        <v>100</v>
      </c>
      <c r="I53" s="167" t="s">
        <v>100</v>
      </c>
      <c r="J53" s="168" t="s">
        <v>100</v>
      </c>
      <c r="K53" s="167" t="s">
        <v>70</v>
      </c>
      <c r="L53" s="167" t="s">
        <v>69</v>
      </c>
      <c r="M53" s="167" t="s">
        <v>69</v>
      </c>
      <c r="N53" s="167" t="s">
        <v>69</v>
      </c>
      <c r="O53" s="168" t="s">
        <v>69</v>
      </c>
      <c r="P53" s="167" t="s">
        <v>70</v>
      </c>
      <c r="Q53" s="167" t="s">
        <v>69</v>
      </c>
      <c r="R53" s="168" t="s">
        <v>69</v>
      </c>
      <c r="S53" s="168" t="s">
        <v>69</v>
      </c>
      <c r="T53" s="167" t="s">
        <v>69</v>
      </c>
      <c r="U53" s="167" t="s">
        <v>69</v>
      </c>
      <c r="V53" s="167" t="s">
        <v>69</v>
      </c>
      <c r="W53" s="168" t="s">
        <v>69</v>
      </c>
      <c r="X53" s="169" t="s">
        <v>69</v>
      </c>
      <c r="Y53" s="170" t="s">
        <v>69</v>
      </c>
      <c r="Z53" s="171" t="s">
        <v>69</v>
      </c>
    </row>
    <row r="54" ht="18.75" customHeight="1">
      <c r="A54" s="88"/>
      <c r="B54" s="94" t="s">
        <v>43</v>
      </c>
      <c r="C54" s="95" t="s">
        <v>44</v>
      </c>
      <c r="D54" s="167" t="s">
        <v>70</v>
      </c>
      <c r="E54" s="167" t="s">
        <v>70</v>
      </c>
      <c r="F54" s="167" t="s">
        <v>69</v>
      </c>
      <c r="G54" s="167" t="s">
        <v>70</v>
      </c>
      <c r="H54" s="167" t="s">
        <v>69</v>
      </c>
      <c r="I54" s="167" t="s">
        <v>69</v>
      </c>
      <c r="J54" s="168" t="s">
        <v>69</v>
      </c>
      <c r="K54" s="172" t="s">
        <v>69</v>
      </c>
      <c r="L54" s="170" t="s">
        <v>69</v>
      </c>
      <c r="M54" s="170" t="s">
        <v>69</v>
      </c>
      <c r="N54" s="173" t="s">
        <v>69</v>
      </c>
      <c r="O54" s="174" t="s">
        <v>70</v>
      </c>
      <c r="P54" s="167" t="s">
        <v>70</v>
      </c>
      <c r="Q54" s="167" t="s">
        <v>69</v>
      </c>
      <c r="R54" s="168" t="s">
        <v>69</v>
      </c>
      <c r="S54" s="168" t="s">
        <v>69</v>
      </c>
      <c r="T54" s="167" t="s">
        <v>69</v>
      </c>
      <c r="U54" s="167" t="s">
        <v>99</v>
      </c>
      <c r="V54" s="167" t="s">
        <v>69</v>
      </c>
      <c r="W54" s="168" t="s">
        <v>69</v>
      </c>
      <c r="X54" s="167" t="s">
        <v>70</v>
      </c>
      <c r="Y54" s="167" t="s">
        <v>70</v>
      </c>
      <c r="Z54" s="168" t="s">
        <v>69</v>
      </c>
    </row>
    <row r="55" ht="18.75" customHeight="1">
      <c r="A55" s="88"/>
      <c r="B55" s="71"/>
      <c r="C55" s="96" t="s">
        <v>45</v>
      </c>
      <c r="D55" s="167" t="s">
        <v>70</v>
      </c>
      <c r="E55" s="167" t="s">
        <v>70</v>
      </c>
      <c r="F55" s="167" t="s">
        <v>69</v>
      </c>
      <c r="G55" s="167" t="s">
        <v>70</v>
      </c>
      <c r="H55" s="167" t="s">
        <v>69</v>
      </c>
      <c r="I55" s="167" t="s">
        <v>69</v>
      </c>
      <c r="J55" s="168" t="s">
        <v>69</v>
      </c>
      <c r="K55" s="175" t="s">
        <v>100</v>
      </c>
      <c r="L55" s="176" t="s">
        <v>100</v>
      </c>
      <c r="M55" s="176" t="s">
        <v>100</v>
      </c>
      <c r="N55" s="176" t="s">
        <v>100</v>
      </c>
      <c r="O55" s="177" t="s">
        <v>100</v>
      </c>
      <c r="P55" s="167" t="s">
        <v>70</v>
      </c>
      <c r="Q55" s="167" t="s">
        <v>69</v>
      </c>
      <c r="R55" s="168" t="s">
        <v>69</v>
      </c>
      <c r="S55" s="168" t="s">
        <v>100</v>
      </c>
      <c r="T55" s="167" t="s">
        <v>100</v>
      </c>
      <c r="U55" s="167" t="s">
        <v>100</v>
      </c>
      <c r="V55" s="167" t="s">
        <v>100</v>
      </c>
      <c r="W55" s="168" t="s">
        <v>100</v>
      </c>
      <c r="X55" s="167" t="s">
        <v>100</v>
      </c>
      <c r="Y55" s="167" t="s">
        <v>100</v>
      </c>
      <c r="Z55" s="168" t="s">
        <v>100</v>
      </c>
    </row>
    <row r="56" ht="18.75" customHeight="1">
      <c r="A56" s="88"/>
      <c r="B56" s="71"/>
      <c r="C56" s="178" t="s">
        <v>65</v>
      </c>
      <c r="D56" s="167" t="s">
        <v>70</v>
      </c>
      <c r="E56" s="167" t="s">
        <v>70</v>
      </c>
      <c r="F56" s="167" t="s">
        <v>69</v>
      </c>
      <c r="G56" s="167" t="s">
        <v>70</v>
      </c>
      <c r="H56" s="167" t="s">
        <v>69</v>
      </c>
      <c r="I56" s="167" t="s">
        <v>69</v>
      </c>
      <c r="J56" s="168" t="s">
        <v>69</v>
      </c>
      <c r="K56" s="172" t="s">
        <v>69</v>
      </c>
      <c r="L56" s="170" t="s">
        <v>69</v>
      </c>
      <c r="M56" s="170" t="s">
        <v>69</v>
      </c>
      <c r="N56" s="173" t="s">
        <v>69</v>
      </c>
      <c r="O56" s="174" t="s">
        <v>70</v>
      </c>
      <c r="P56" s="167" t="s">
        <v>70</v>
      </c>
      <c r="Q56" s="167" t="s">
        <v>69</v>
      </c>
      <c r="R56" s="168" t="s">
        <v>69</v>
      </c>
      <c r="S56" s="168" t="s">
        <v>69</v>
      </c>
      <c r="T56" s="167" t="s">
        <v>69</v>
      </c>
      <c r="U56" s="167" t="s">
        <v>70</v>
      </c>
      <c r="V56" s="167" t="s">
        <v>69</v>
      </c>
      <c r="W56" s="168" t="s">
        <v>70</v>
      </c>
      <c r="X56" s="179" t="s">
        <v>101</v>
      </c>
      <c r="Y56" s="179" t="s">
        <v>101</v>
      </c>
      <c r="Z56" s="180" t="s">
        <v>101</v>
      </c>
    </row>
    <row r="57" ht="18.75" customHeight="1">
      <c r="A57" s="88"/>
      <c r="B57" s="71"/>
      <c r="C57" s="96" t="s">
        <v>46</v>
      </c>
      <c r="D57" s="167"/>
      <c r="E57" s="167"/>
      <c r="F57" s="179" t="s">
        <v>101</v>
      </c>
      <c r="G57" s="179" t="s">
        <v>101</v>
      </c>
      <c r="H57" s="179" t="s">
        <v>101</v>
      </c>
      <c r="I57" s="179" t="s">
        <v>101</v>
      </c>
      <c r="J57" s="180" t="s">
        <v>101</v>
      </c>
      <c r="K57" s="179" t="s">
        <v>101</v>
      </c>
      <c r="L57" s="179" t="s">
        <v>101</v>
      </c>
      <c r="M57" s="179" t="s">
        <v>101</v>
      </c>
      <c r="N57" s="179" t="s">
        <v>101</v>
      </c>
      <c r="O57" s="180" t="s">
        <v>101</v>
      </c>
      <c r="P57" s="179" t="s">
        <v>101</v>
      </c>
      <c r="Q57" s="179" t="s">
        <v>101</v>
      </c>
      <c r="R57" s="180" t="s">
        <v>101</v>
      </c>
      <c r="S57" s="180" t="s">
        <v>101</v>
      </c>
      <c r="T57" s="179" t="s">
        <v>101</v>
      </c>
      <c r="U57" s="179" t="s">
        <v>101</v>
      </c>
      <c r="V57" s="179" t="s">
        <v>101</v>
      </c>
      <c r="W57" s="180" t="s">
        <v>101</v>
      </c>
      <c r="X57" s="167" t="s">
        <v>100</v>
      </c>
      <c r="Y57" s="167" t="s">
        <v>100</v>
      </c>
      <c r="Z57" s="168" t="s">
        <v>100</v>
      </c>
    </row>
    <row r="58" ht="18.75" customHeight="1">
      <c r="A58" s="88"/>
      <c r="B58" s="66"/>
      <c r="C58" s="97" t="s">
        <v>47</v>
      </c>
      <c r="D58" s="179" t="s">
        <v>101</v>
      </c>
      <c r="E58" s="179" t="s">
        <v>101</v>
      </c>
      <c r="F58" s="179" t="s">
        <v>101</v>
      </c>
      <c r="G58" s="179" t="s">
        <v>101</v>
      </c>
      <c r="H58" s="179" t="s">
        <v>101</v>
      </c>
      <c r="I58" s="179" t="s">
        <v>101</v>
      </c>
      <c r="J58" s="180" t="s">
        <v>101</v>
      </c>
      <c r="K58" s="179" t="s">
        <v>101</v>
      </c>
      <c r="L58" s="179" t="s">
        <v>101</v>
      </c>
      <c r="M58" s="179" t="s">
        <v>101</v>
      </c>
      <c r="N58" s="179" t="s">
        <v>101</v>
      </c>
      <c r="O58" s="180" t="s">
        <v>101</v>
      </c>
      <c r="P58" s="167" t="s">
        <v>70</v>
      </c>
      <c r="Q58" s="167" t="s">
        <v>69</v>
      </c>
      <c r="R58" s="168" t="s">
        <v>69</v>
      </c>
      <c r="S58" s="168" t="s">
        <v>69</v>
      </c>
      <c r="T58" s="167" t="s">
        <v>100</v>
      </c>
      <c r="U58" s="167" t="s">
        <v>100</v>
      </c>
      <c r="V58" s="167" t="s">
        <v>100</v>
      </c>
      <c r="W58" s="168" t="s">
        <v>100</v>
      </c>
      <c r="X58" s="167" t="s">
        <v>70</v>
      </c>
      <c r="Y58" s="167" t="s">
        <v>70</v>
      </c>
      <c r="Z58" s="168" t="s">
        <v>69</v>
      </c>
    </row>
    <row r="59" ht="18.75" customHeight="1">
      <c r="A59" s="88"/>
      <c r="B59" s="98" t="s">
        <v>48</v>
      </c>
      <c r="C59" s="99" t="s">
        <v>49</v>
      </c>
      <c r="D59" s="167" t="s">
        <v>70</v>
      </c>
      <c r="E59" s="167" t="s">
        <v>70</v>
      </c>
      <c r="F59" s="167" t="s">
        <v>70</v>
      </c>
      <c r="G59" s="167" t="s">
        <v>70</v>
      </c>
      <c r="H59" s="167" t="s">
        <v>70</v>
      </c>
      <c r="I59" s="167" t="s">
        <v>70</v>
      </c>
      <c r="J59" s="168" t="s">
        <v>69</v>
      </c>
      <c r="K59" s="167" t="s">
        <v>70</v>
      </c>
      <c r="L59" s="167" t="s">
        <v>69</v>
      </c>
      <c r="M59" s="167" t="s">
        <v>70</v>
      </c>
      <c r="N59" s="167" t="s">
        <v>69</v>
      </c>
      <c r="O59" s="168" t="s">
        <v>69</v>
      </c>
      <c r="P59" s="167" t="s">
        <v>70</v>
      </c>
      <c r="Q59" s="167" t="s">
        <v>69</v>
      </c>
      <c r="R59" s="168" t="s">
        <v>69</v>
      </c>
      <c r="S59" s="168" t="s">
        <v>70</v>
      </c>
      <c r="T59" s="167" t="s">
        <v>100</v>
      </c>
      <c r="U59" s="167" t="s">
        <v>100</v>
      </c>
      <c r="V59" s="167" t="s">
        <v>100</v>
      </c>
      <c r="W59" s="168" t="s">
        <v>100</v>
      </c>
      <c r="X59" s="169" t="s">
        <v>69</v>
      </c>
      <c r="Y59" s="170" t="s">
        <v>69</v>
      </c>
      <c r="Z59" s="171" t="s">
        <v>69</v>
      </c>
    </row>
    <row r="60" ht="18.75" customHeight="1">
      <c r="A60" s="88"/>
      <c r="B60" s="71"/>
      <c r="C60" s="100" t="s">
        <v>50</v>
      </c>
      <c r="D60" s="167" t="s">
        <v>70</v>
      </c>
      <c r="E60" s="167" t="s">
        <v>70</v>
      </c>
      <c r="F60" s="167" t="s">
        <v>70</v>
      </c>
      <c r="G60" s="167" t="s">
        <v>70</v>
      </c>
      <c r="H60" s="167" t="s">
        <v>70</v>
      </c>
      <c r="I60" s="167" t="s">
        <v>70</v>
      </c>
      <c r="J60" s="168" t="s">
        <v>69</v>
      </c>
      <c r="K60" s="167" t="s">
        <v>70</v>
      </c>
      <c r="L60" s="167" t="s">
        <v>69</v>
      </c>
      <c r="M60" s="167" t="s">
        <v>70</v>
      </c>
      <c r="N60" s="167" t="s">
        <v>69</v>
      </c>
      <c r="O60" s="168" t="s">
        <v>69</v>
      </c>
      <c r="P60" s="167" t="s">
        <v>100</v>
      </c>
      <c r="Q60" s="167" t="s">
        <v>100</v>
      </c>
      <c r="R60" s="168" t="s">
        <v>100</v>
      </c>
      <c r="S60" s="168" t="s">
        <v>100</v>
      </c>
      <c r="T60" s="167" t="s">
        <v>100</v>
      </c>
      <c r="U60" s="167" t="s">
        <v>100</v>
      </c>
      <c r="V60" s="167" t="s">
        <v>100</v>
      </c>
      <c r="W60" s="168" t="s">
        <v>100</v>
      </c>
      <c r="X60" s="167" t="s">
        <v>100</v>
      </c>
      <c r="Y60" s="167" t="s">
        <v>100</v>
      </c>
      <c r="Z60" s="168" t="s">
        <v>100</v>
      </c>
    </row>
    <row r="61" ht="18.75" customHeight="1">
      <c r="A61" s="88"/>
      <c r="B61" s="66"/>
      <c r="C61" s="101" t="s">
        <v>51</v>
      </c>
      <c r="D61" s="167" t="s">
        <v>70</v>
      </c>
      <c r="E61" s="167" t="s">
        <v>70</v>
      </c>
      <c r="F61" s="167" t="s">
        <v>70</v>
      </c>
      <c r="G61" s="167" t="s">
        <v>70</v>
      </c>
      <c r="H61" s="167" t="s">
        <v>70</v>
      </c>
      <c r="I61" s="167" t="s">
        <v>70</v>
      </c>
      <c r="J61" s="168" t="s">
        <v>69</v>
      </c>
      <c r="K61" s="167" t="s">
        <v>70</v>
      </c>
      <c r="L61" s="167" t="s">
        <v>69</v>
      </c>
      <c r="M61" s="167" t="s">
        <v>70</v>
      </c>
      <c r="N61" s="167" t="s">
        <v>69</v>
      </c>
      <c r="O61" s="168" t="s">
        <v>69</v>
      </c>
      <c r="P61" s="167" t="s">
        <v>70</v>
      </c>
      <c r="Q61" s="167" t="s">
        <v>69</v>
      </c>
      <c r="R61" s="168" t="s">
        <v>69</v>
      </c>
      <c r="S61" s="168" t="s">
        <v>70</v>
      </c>
      <c r="T61" s="167" t="s">
        <v>100</v>
      </c>
      <c r="U61" s="167" t="s">
        <v>100</v>
      </c>
      <c r="V61" s="167" t="s">
        <v>100</v>
      </c>
      <c r="W61" s="168" t="s">
        <v>100</v>
      </c>
      <c r="X61" s="167" t="s">
        <v>100</v>
      </c>
      <c r="Y61" s="167" t="s">
        <v>100</v>
      </c>
      <c r="Z61" s="168" t="s">
        <v>100</v>
      </c>
    </row>
    <row r="62" ht="18.75" customHeight="1">
      <c r="A62" s="88"/>
      <c r="B62" s="102" t="s">
        <v>52</v>
      </c>
      <c r="C62" s="103" t="s">
        <v>53</v>
      </c>
      <c r="D62" s="167" t="s">
        <v>70</v>
      </c>
      <c r="E62" s="167" t="s">
        <v>70</v>
      </c>
      <c r="F62" s="167" t="s">
        <v>70</v>
      </c>
      <c r="G62" s="167" t="s">
        <v>70</v>
      </c>
      <c r="H62" s="167" t="s">
        <v>69</v>
      </c>
      <c r="I62" s="167" t="s">
        <v>69</v>
      </c>
      <c r="J62" s="168" t="s">
        <v>69</v>
      </c>
      <c r="K62" s="167" t="s">
        <v>69</v>
      </c>
      <c r="L62" s="167" t="s">
        <v>69</v>
      </c>
      <c r="M62" s="167" t="s">
        <v>69</v>
      </c>
      <c r="N62" s="167" t="s">
        <v>70</v>
      </c>
      <c r="O62" s="168" t="s">
        <v>69</v>
      </c>
      <c r="P62" s="167" t="s">
        <v>70</v>
      </c>
      <c r="Q62" s="167" t="s">
        <v>70</v>
      </c>
      <c r="R62" s="168" t="s">
        <v>69</v>
      </c>
      <c r="S62" s="168" t="s">
        <v>69</v>
      </c>
      <c r="T62" s="167" t="s">
        <v>70</v>
      </c>
      <c r="U62" s="167" t="s">
        <v>69</v>
      </c>
      <c r="V62" s="167" t="s">
        <v>69</v>
      </c>
      <c r="W62" s="168" t="s">
        <v>70</v>
      </c>
      <c r="X62" s="167" t="s">
        <v>70</v>
      </c>
      <c r="Y62" s="167" t="s">
        <v>70</v>
      </c>
      <c r="Z62" s="168" t="s">
        <v>69</v>
      </c>
    </row>
    <row r="63" ht="18.75" customHeight="1">
      <c r="A63" s="88"/>
      <c r="B63" s="71"/>
      <c r="C63" s="104" t="s">
        <v>54</v>
      </c>
      <c r="D63" s="167" t="s">
        <v>70</v>
      </c>
      <c r="E63" s="167" t="s">
        <v>70</v>
      </c>
      <c r="F63" s="167" t="s">
        <v>70</v>
      </c>
      <c r="G63" s="167" t="s">
        <v>70</v>
      </c>
      <c r="H63" s="167" t="s">
        <v>69</v>
      </c>
      <c r="I63" s="167" t="s">
        <v>69</v>
      </c>
      <c r="J63" s="168" t="s">
        <v>69</v>
      </c>
      <c r="K63" s="167" t="s">
        <v>69</v>
      </c>
      <c r="L63" s="167" t="s">
        <v>69</v>
      </c>
      <c r="M63" s="167" t="s">
        <v>69</v>
      </c>
      <c r="N63" s="167" t="s">
        <v>70</v>
      </c>
      <c r="O63" s="168" t="s">
        <v>69</v>
      </c>
      <c r="P63" s="167" t="s">
        <v>70</v>
      </c>
      <c r="Q63" s="167" t="s">
        <v>70</v>
      </c>
      <c r="R63" s="168" t="s">
        <v>69</v>
      </c>
      <c r="S63" s="168" t="s">
        <v>69</v>
      </c>
      <c r="T63" s="167" t="s">
        <v>70</v>
      </c>
      <c r="U63" s="167" t="s">
        <v>69</v>
      </c>
      <c r="V63" s="167" t="s">
        <v>69</v>
      </c>
      <c r="W63" s="168" t="s">
        <v>70</v>
      </c>
      <c r="X63" s="167" t="s">
        <v>70</v>
      </c>
      <c r="Y63" s="167" t="s">
        <v>70</v>
      </c>
      <c r="Z63" s="168" t="s">
        <v>69</v>
      </c>
    </row>
    <row r="64" ht="18.75" customHeight="1">
      <c r="A64" s="106"/>
      <c r="B64" s="66"/>
      <c r="C64" s="104" t="s">
        <v>55</v>
      </c>
      <c r="D64" s="167" t="s">
        <v>70</v>
      </c>
      <c r="E64" s="167" t="s">
        <v>70</v>
      </c>
      <c r="F64" s="167" t="s">
        <v>70</v>
      </c>
      <c r="G64" s="167" t="s">
        <v>70</v>
      </c>
      <c r="H64" s="167" t="s">
        <v>69</v>
      </c>
      <c r="I64" s="167" t="s">
        <v>69</v>
      </c>
      <c r="J64" s="168" t="s">
        <v>69</v>
      </c>
      <c r="K64" s="175" t="s">
        <v>100</v>
      </c>
      <c r="L64" s="176" t="s">
        <v>100</v>
      </c>
      <c r="M64" s="176" t="s">
        <v>100</v>
      </c>
      <c r="N64" s="176" t="s">
        <v>100</v>
      </c>
      <c r="O64" s="181" t="s">
        <v>100</v>
      </c>
      <c r="P64" s="167" t="s">
        <v>70</v>
      </c>
      <c r="Q64" s="167" t="s">
        <v>70</v>
      </c>
      <c r="R64" s="168" t="s">
        <v>69</v>
      </c>
      <c r="S64" s="168" t="s">
        <v>69</v>
      </c>
      <c r="T64" s="167" t="s">
        <v>100</v>
      </c>
      <c r="U64" s="167" t="s">
        <v>100</v>
      </c>
      <c r="V64" s="167" t="s">
        <v>100</v>
      </c>
      <c r="W64" s="168" t="s">
        <v>100</v>
      </c>
      <c r="X64" s="167" t="s">
        <v>100</v>
      </c>
      <c r="Y64" s="167" t="s">
        <v>100</v>
      </c>
      <c r="Z64" s="168" t="s">
        <v>100</v>
      </c>
    </row>
    <row r="65" ht="6.0" customHeight="1">
      <c r="A65" s="107"/>
      <c r="B65" s="108"/>
      <c r="C65" s="109"/>
      <c r="D65" s="110"/>
      <c r="E65" s="110"/>
      <c r="F65" s="110"/>
      <c r="G65" s="110"/>
      <c r="H65" s="110"/>
      <c r="I65" s="110"/>
      <c r="J65" s="182"/>
      <c r="K65" s="110"/>
      <c r="L65" s="110"/>
      <c r="M65" s="110"/>
      <c r="N65" s="110"/>
      <c r="O65" s="182"/>
      <c r="P65" s="110"/>
      <c r="Q65" s="110"/>
      <c r="R65" s="182"/>
      <c r="S65" s="182"/>
      <c r="T65" s="110"/>
      <c r="U65" s="110"/>
      <c r="V65" s="110"/>
      <c r="W65" s="182"/>
      <c r="X65" s="110"/>
      <c r="Y65" s="110"/>
      <c r="Z65" s="182"/>
    </row>
    <row r="66" ht="18.75" customHeight="1">
      <c r="A66" s="183" t="s">
        <v>56</v>
      </c>
      <c r="B66" s="184" t="s">
        <v>57</v>
      </c>
      <c r="C66" s="185" t="s">
        <v>60</v>
      </c>
      <c r="D66" s="167" t="s">
        <v>69</v>
      </c>
      <c r="E66" s="167" t="s">
        <v>69</v>
      </c>
      <c r="F66" s="167" t="s">
        <v>69</v>
      </c>
      <c r="G66" s="167" t="s">
        <v>70</v>
      </c>
      <c r="H66" s="167" t="s">
        <v>69</v>
      </c>
      <c r="I66" s="167" t="s">
        <v>69</v>
      </c>
      <c r="J66" s="168" t="s">
        <v>70</v>
      </c>
      <c r="K66" s="172" t="s">
        <v>69</v>
      </c>
      <c r="L66" s="170" t="s">
        <v>69</v>
      </c>
      <c r="M66" s="170" t="s">
        <v>69</v>
      </c>
      <c r="N66" s="173" t="s">
        <v>69</v>
      </c>
      <c r="O66" s="174" t="s">
        <v>99</v>
      </c>
      <c r="P66" s="169" t="s">
        <v>69</v>
      </c>
      <c r="Q66" s="170" t="s">
        <v>69</v>
      </c>
      <c r="R66" s="171" t="s">
        <v>69</v>
      </c>
      <c r="S66" s="186" t="s">
        <v>69</v>
      </c>
      <c r="T66" s="167" t="s">
        <v>69</v>
      </c>
      <c r="U66" s="167" t="s">
        <v>70</v>
      </c>
      <c r="V66" s="167" t="s">
        <v>69</v>
      </c>
      <c r="W66" s="168" t="s">
        <v>70</v>
      </c>
      <c r="X66" s="167" t="s">
        <v>70</v>
      </c>
      <c r="Y66" s="167" t="s">
        <v>70</v>
      </c>
      <c r="Z66" s="168" t="s">
        <v>69</v>
      </c>
    </row>
    <row r="67" ht="18.75" customHeight="1">
      <c r="A67" s="88"/>
      <c r="B67" s="71"/>
      <c r="C67" s="116" t="s">
        <v>59</v>
      </c>
      <c r="D67" s="167" t="s">
        <v>69</v>
      </c>
      <c r="E67" s="167" t="s">
        <v>70</v>
      </c>
      <c r="F67" s="167" t="s">
        <v>69</v>
      </c>
      <c r="G67" s="167" t="s">
        <v>70</v>
      </c>
      <c r="H67" s="167" t="s">
        <v>69</v>
      </c>
      <c r="I67" s="167" t="s">
        <v>69</v>
      </c>
      <c r="J67" s="168" t="s">
        <v>70</v>
      </c>
      <c r="K67" s="167" t="s">
        <v>100</v>
      </c>
      <c r="L67" s="167" t="s">
        <v>100</v>
      </c>
      <c r="M67" s="167" t="s">
        <v>100</v>
      </c>
      <c r="N67" s="167" t="s">
        <v>100</v>
      </c>
      <c r="O67" s="168" t="s">
        <v>100</v>
      </c>
      <c r="P67" s="167" t="s">
        <v>70</v>
      </c>
      <c r="Q67" s="167" t="s">
        <v>69</v>
      </c>
      <c r="R67" s="168" t="s">
        <v>69</v>
      </c>
      <c r="S67" s="168" t="s">
        <v>69</v>
      </c>
      <c r="T67" s="167" t="s">
        <v>69</v>
      </c>
      <c r="U67" s="167" t="s">
        <v>70</v>
      </c>
      <c r="V67" s="167" t="s">
        <v>69</v>
      </c>
      <c r="W67" s="168" t="s">
        <v>70</v>
      </c>
      <c r="X67" s="167" t="s">
        <v>100</v>
      </c>
      <c r="Y67" s="167" t="s">
        <v>100</v>
      </c>
      <c r="Z67" s="168" t="s">
        <v>100</v>
      </c>
    </row>
    <row r="68" ht="18.75" customHeight="1">
      <c r="A68" s="88"/>
      <c r="B68" s="71"/>
      <c r="C68" s="187" t="s">
        <v>102</v>
      </c>
      <c r="D68" s="167" t="s">
        <v>69</v>
      </c>
      <c r="E68" s="167" t="s">
        <v>69</v>
      </c>
      <c r="F68" s="167" t="s">
        <v>69</v>
      </c>
      <c r="G68" s="167" t="s">
        <v>69</v>
      </c>
      <c r="H68" s="167" t="s">
        <v>69</v>
      </c>
      <c r="I68" s="167" t="s">
        <v>69</v>
      </c>
      <c r="J68" s="168" t="s">
        <v>70</v>
      </c>
      <c r="K68" s="172" t="s">
        <v>69</v>
      </c>
      <c r="L68" s="170" t="s">
        <v>69</v>
      </c>
      <c r="M68" s="170" t="s">
        <v>69</v>
      </c>
      <c r="N68" s="173" t="s">
        <v>69</v>
      </c>
      <c r="O68" s="171" t="s">
        <v>69</v>
      </c>
      <c r="P68" s="167" t="s">
        <v>70</v>
      </c>
      <c r="Q68" s="167" t="s">
        <v>69</v>
      </c>
      <c r="R68" s="168" t="s">
        <v>69</v>
      </c>
      <c r="S68" s="168" t="s">
        <v>69</v>
      </c>
      <c r="T68" s="167" t="s">
        <v>100</v>
      </c>
      <c r="U68" s="167" t="s">
        <v>100</v>
      </c>
      <c r="V68" s="167" t="s">
        <v>100</v>
      </c>
      <c r="W68" s="168" t="s">
        <v>100</v>
      </c>
      <c r="X68" s="179" t="s">
        <v>101</v>
      </c>
      <c r="Y68" s="179" t="s">
        <v>101</v>
      </c>
      <c r="Z68" s="180" t="s">
        <v>101</v>
      </c>
    </row>
    <row r="69" ht="18.75" customHeight="1">
      <c r="A69" s="88"/>
      <c r="B69" s="71"/>
      <c r="C69" s="118" t="s">
        <v>61</v>
      </c>
      <c r="D69" s="179" t="s">
        <v>101</v>
      </c>
      <c r="E69" s="179" t="s">
        <v>101</v>
      </c>
      <c r="F69" s="179" t="s">
        <v>101</v>
      </c>
      <c r="G69" s="179" t="s">
        <v>101</v>
      </c>
      <c r="H69" s="179" t="s">
        <v>101</v>
      </c>
      <c r="I69" s="179" t="s">
        <v>101</v>
      </c>
      <c r="J69" s="180" t="s">
        <v>101</v>
      </c>
      <c r="K69" s="179" t="s">
        <v>101</v>
      </c>
      <c r="L69" s="179" t="s">
        <v>101</v>
      </c>
      <c r="M69" s="179" t="s">
        <v>101</v>
      </c>
      <c r="N69" s="179" t="s">
        <v>101</v>
      </c>
      <c r="O69" s="180" t="s">
        <v>101</v>
      </c>
      <c r="P69" s="179" t="s">
        <v>101</v>
      </c>
      <c r="Q69" s="179" t="s">
        <v>101</v>
      </c>
      <c r="R69" s="180" t="s">
        <v>101</v>
      </c>
      <c r="S69" s="180" t="s">
        <v>101</v>
      </c>
      <c r="T69" s="179" t="s">
        <v>101</v>
      </c>
      <c r="U69" s="179" t="s">
        <v>101</v>
      </c>
      <c r="V69" s="179" t="s">
        <v>101</v>
      </c>
      <c r="W69" s="180" t="s">
        <v>101</v>
      </c>
      <c r="X69" s="167" t="s">
        <v>70</v>
      </c>
      <c r="Y69" s="167" t="s">
        <v>70</v>
      </c>
      <c r="Z69" s="168" t="s">
        <v>69</v>
      </c>
    </row>
    <row r="70" ht="18.75" customHeight="1">
      <c r="A70" s="88"/>
      <c r="B70" s="71"/>
      <c r="C70" s="187" t="s">
        <v>103</v>
      </c>
      <c r="D70" s="167" t="s">
        <v>100</v>
      </c>
      <c r="E70" s="167" t="s">
        <v>100</v>
      </c>
      <c r="F70" s="167" t="s">
        <v>100</v>
      </c>
      <c r="G70" s="167" t="s">
        <v>100</v>
      </c>
      <c r="H70" s="167" t="s">
        <v>100</v>
      </c>
      <c r="I70" s="167" t="s">
        <v>100</v>
      </c>
      <c r="J70" s="168" t="s">
        <v>100</v>
      </c>
      <c r="K70" s="167" t="s">
        <v>100</v>
      </c>
      <c r="L70" s="167" t="s">
        <v>100</v>
      </c>
      <c r="M70" s="167" t="s">
        <v>100</v>
      </c>
      <c r="N70" s="167" t="s">
        <v>100</v>
      </c>
      <c r="O70" s="168" t="s">
        <v>100</v>
      </c>
      <c r="P70" s="179" t="s">
        <v>101</v>
      </c>
      <c r="Q70" s="179" t="s">
        <v>101</v>
      </c>
      <c r="R70" s="180" t="s">
        <v>101</v>
      </c>
      <c r="S70" s="180" t="s">
        <v>101</v>
      </c>
      <c r="T70" s="179" t="s">
        <v>101</v>
      </c>
      <c r="U70" s="179" t="s">
        <v>101</v>
      </c>
      <c r="V70" s="179" t="s">
        <v>101</v>
      </c>
      <c r="W70" s="180" t="s">
        <v>101</v>
      </c>
      <c r="X70" s="179" t="s">
        <v>101</v>
      </c>
      <c r="Y70" s="179" t="s">
        <v>101</v>
      </c>
      <c r="Z70" s="180" t="s">
        <v>101</v>
      </c>
    </row>
    <row r="71" ht="18.75" customHeight="1">
      <c r="A71" s="88"/>
      <c r="B71" s="71"/>
      <c r="C71" s="188" t="s">
        <v>104</v>
      </c>
      <c r="D71" s="179" t="s">
        <v>101</v>
      </c>
      <c r="E71" s="179" t="s">
        <v>101</v>
      </c>
      <c r="F71" s="179" t="s">
        <v>101</v>
      </c>
      <c r="G71" s="179" t="s">
        <v>101</v>
      </c>
      <c r="H71" s="179" t="s">
        <v>101</v>
      </c>
      <c r="I71" s="179" t="s">
        <v>101</v>
      </c>
      <c r="J71" s="180" t="s">
        <v>101</v>
      </c>
      <c r="K71" s="179" t="s">
        <v>101</v>
      </c>
      <c r="L71" s="179" t="s">
        <v>101</v>
      </c>
      <c r="M71" s="179" t="s">
        <v>101</v>
      </c>
      <c r="N71" s="179" t="s">
        <v>101</v>
      </c>
      <c r="O71" s="180" t="s">
        <v>101</v>
      </c>
      <c r="P71" s="167" t="s">
        <v>70</v>
      </c>
      <c r="Q71" s="167" t="s">
        <v>69</v>
      </c>
      <c r="R71" s="168" t="s">
        <v>69</v>
      </c>
      <c r="S71" s="168" t="s">
        <v>100</v>
      </c>
      <c r="T71" s="167" t="s">
        <v>100</v>
      </c>
      <c r="U71" s="167" t="s">
        <v>100</v>
      </c>
      <c r="V71" s="167" t="s">
        <v>100</v>
      </c>
      <c r="W71" s="168" t="s">
        <v>100</v>
      </c>
      <c r="X71" s="179" t="s">
        <v>101</v>
      </c>
      <c r="Y71" s="179" t="s">
        <v>101</v>
      </c>
      <c r="Z71" s="180" t="s">
        <v>101</v>
      </c>
    </row>
    <row r="72" ht="18.75" customHeight="1">
      <c r="A72" s="88"/>
      <c r="B72" s="71"/>
      <c r="C72" s="118" t="s">
        <v>58</v>
      </c>
      <c r="D72" s="179" t="s">
        <v>101</v>
      </c>
      <c r="E72" s="179" t="s">
        <v>101</v>
      </c>
      <c r="F72" s="179" t="s">
        <v>101</v>
      </c>
      <c r="G72" s="179" t="s">
        <v>101</v>
      </c>
      <c r="H72" s="179" t="s">
        <v>101</v>
      </c>
      <c r="I72" s="179" t="s">
        <v>101</v>
      </c>
      <c r="J72" s="180" t="s">
        <v>101</v>
      </c>
      <c r="K72" s="179" t="s">
        <v>101</v>
      </c>
      <c r="L72" s="179" t="s">
        <v>101</v>
      </c>
      <c r="M72" s="179" t="s">
        <v>101</v>
      </c>
      <c r="N72" s="179" t="s">
        <v>101</v>
      </c>
      <c r="O72" s="180" t="s">
        <v>101</v>
      </c>
      <c r="P72" s="179" t="s">
        <v>101</v>
      </c>
      <c r="Q72" s="179" t="s">
        <v>101</v>
      </c>
      <c r="R72" s="180" t="s">
        <v>101</v>
      </c>
      <c r="S72" s="180" t="s">
        <v>101</v>
      </c>
      <c r="T72" s="179" t="s">
        <v>101</v>
      </c>
      <c r="U72" s="179" t="s">
        <v>101</v>
      </c>
      <c r="V72" s="179" t="s">
        <v>101</v>
      </c>
      <c r="W72" s="180" t="s">
        <v>101</v>
      </c>
      <c r="X72" s="167" t="s">
        <v>100</v>
      </c>
      <c r="Y72" s="167" t="s">
        <v>100</v>
      </c>
      <c r="Z72" s="168" t="s">
        <v>100</v>
      </c>
    </row>
    <row r="73" ht="18.75" customHeight="1">
      <c r="A73" s="88"/>
      <c r="B73" s="66"/>
      <c r="C73" s="189" t="s">
        <v>105</v>
      </c>
      <c r="D73" s="167" t="s">
        <v>69</v>
      </c>
      <c r="E73" s="167" t="s">
        <v>69</v>
      </c>
      <c r="F73" s="167" t="s">
        <v>69</v>
      </c>
      <c r="G73" s="167" t="s">
        <v>69</v>
      </c>
      <c r="H73" s="167" t="s">
        <v>69</v>
      </c>
      <c r="I73" s="167" t="s">
        <v>69</v>
      </c>
      <c r="J73" s="168" t="s">
        <v>70</v>
      </c>
      <c r="K73" s="167" t="s">
        <v>100</v>
      </c>
      <c r="L73" s="167" t="s">
        <v>100</v>
      </c>
      <c r="M73" s="167" t="s">
        <v>100</v>
      </c>
      <c r="N73" s="167" t="s">
        <v>100</v>
      </c>
      <c r="O73" s="168" t="s">
        <v>100</v>
      </c>
      <c r="P73" s="169" t="s">
        <v>69</v>
      </c>
      <c r="Q73" s="170" t="s">
        <v>69</v>
      </c>
      <c r="R73" s="171" t="s">
        <v>69</v>
      </c>
      <c r="S73" s="186" t="s">
        <v>100</v>
      </c>
      <c r="T73" s="167" t="s">
        <v>100</v>
      </c>
      <c r="U73" s="167" t="s">
        <v>100</v>
      </c>
      <c r="V73" s="167" t="s">
        <v>100</v>
      </c>
      <c r="W73" s="168" t="s">
        <v>100</v>
      </c>
      <c r="X73" s="167" t="s">
        <v>70</v>
      </c>
      <c r="Y73" s="167" t="s">
        <v>70</v>
      </c>
      <c r="Z73" s="168" t="s">
        <v>69</v>
      </c>
    </row>
    <row r="74" ht="18.75" customHeight="1">
      <c r="A74" s="88"/>
      <c r="B74" s="190" t="s">
        <v>63</v>
      </c>
      <c r="C74" s="121" t="s">
        <v>64</v>
      </c>
      <c r="D74" s="167" t="s">
        <v>70</v>
      </c>
      <c r="E74" s="167" t="s">
        <v>99</v>
      </c>
      <c r="F74" s="167" t="s">
        <v>69</v>
      </c>
      <c r="G74" s="167" t="s">
        <v>70</v>
      </c>
      <c r="H74" s="167" t="s">
        <v>69</v>
      </c>
      <c r="I74" s="167" t="s">
        <v>69</v>
      </c>
      <c r="J74" s="168" t="s">
        <v>70</v>
      </c>
      <c r="K74" s="172" t="s">
        <v>69</v>
      </c>
      <c r="L74" s="170" t="s">
        <v>69</v>
      </c>
      <c r="M74" s="170" t="s">
        <v>69</v>
      </c>
      <c r="N74" s="173" t="s">
        <v>69</v>
      </c>
      <c r="O74" s="171" t="s">
        <v>69</v>
      </c>
      <c r="P74" s="167" t="s">
        <v>69</v>
      </c>
      <c r="Q74" s="167" t="s">
        <v>70</v>
      </c>
      <c r="R74" s="168" t="s">
        <v>69</v>
      </c>
      <c r="S74" s="168" t="s">
        <v>69</v>
      </c>
      <c r="T74" s="167" t="s">
        <v>69</v>
      </c>
      <c r="U74" s="167" t="s">
        <v>70</v>
      </c>
      <c r="V74" s="167" t="s">
        <v>69</v>
      </c>
      <c r="W74" s="168" t="s">
        <v>70</v>
      </c>
      <c r="X74" s="167" t="s">
        <v>70</v>
      </c>
      <c r="Y74" s="167" t="s">
        <v>70</v>
      </c>
      <c r="Z74" s="168" t="s">
        <v>69</v>
      </c>
    </row>
    <row r="75" ht="18.75" customHeight="1">
      <c r="A75" s="88"/>
      <c r="B75" s="71"/>
      <c r="C75" s="191" t="s">
        <v>106</v>
      </c>
      <c r="D75" s="167" t="s">
        <v>70</v>
      </c>
      <c r="E75" s="167" t="s">
        <v>69</v>
      </c>
      <c r="F75" s="167" t="s">
        <v>69</v>
      </c>
      <c r="G75" s="167" t="s">
        <v>70</v>
      </c>
      <c r="H75" s="167" t="s">
        <v>69</v>
      </c>
      <c r="I75" s="167" t="s">
        <v>69</v>
      </c>
      <c r="J75" s="168" t="s">
        <v>70</v>
      </c>
      <c r="K75" s="167" t="s">
        <v>69</v>
      </c>
      <c r="L75" s="167" t="s">
        <v>69</v>
      </c>
      <c r="M75" s="167" t="s">
        <v>69</v>
      </c>
      <c r="N75" s="167" t="s">
        <v>70</v>
      </c>
      <c r="O75" s="168" t="s">
        <v>69</v>
      </c>
      <c r="P75" s="167" t="s">
        <v>69</v>
      </c>
      <c r="Q75" s="167" t="s">
        <v>70</v>
      </c>
      <c r="R75" s="168" t="s">
        <v>69</v>
      </c>
      <c r="S75" s="168" t="s">
        <v>69</v>
      </c>
      <c r="T75" s="167" t="s">
        <v>100</v>
      </c>
      <c r="U75" s="167" t="s">
        <v>100</v>
      </c>
      <c r="V75" s="167" t="s">
        <v>100</v>
      </c>
      <c r="W75" s="168" t="s">
        <v>100</v>
      </c>
      <c r="X75" s="179" t="s">
        <v>101</v>
      </c>
      <c r="Y75" s="179" t="s">
        <v>101</v>
      </c>
      <c r="Z75" s="180" t="s">
        <v>101</v>
      </c>
    </row>
    <row r="76" ht="18.75" customHeight="1">
      <c r="A76" s="88"/>
      <c r="B76" s="71"/>
      <c r="C76" s="122" t="s">
        <v>65</v>
      </c>
      <c r="D76" s="179" t="s">
        <v>101</v>
      </c>
      <c r="E76" s="179" t="s">
        <v>101</v>
      </c>
      <c r="F76" s="179" t="s">
        <v>101</v>
      </c>
      <c r="G76" s="179" t="s">
        <v>101</v>
      </c>
      <c r="H76" s="179" t="s">
        <v>101</v>
      </c>
      <c r="I76" s="179" t="s">
        <v>101</v>
      </c>
      <c r="J76" s="180" t="s">
        <v>101</v>
      </c>
      <c r="K76" s="179" t="s">
        <v>101</v>
      </c>
      <c r="L76" s="179" t="s">
        <v>101</v>
      </c>
      <c r="M76" s="179" t="s">
        <v>101</v>
      </c>
      <c r="N76" s="179" t="s">
        <v>101</v>
      </c>
      <c r="O76" s="180" t="s">
        <v>101</v>
      </c>
      <c r="P76" s="179" t="s">
        <v>101</v>
      </c>
      <c r="Q76" s="179" t="s">
        <v>101</v>
      </c>
      <c r="R76" s="180" t="s">
        <v>101</v>
      </c>
      <c r="S76" s="180" t="s">
        <v>101</v>
      </c>
      <c r="T76" s="179" t="s">
        <v>101</v>
      </c>
      <c r="U76" s="179" t="s">
        <v>101</v>
      </c>
      <c r="V76" s="179" t="s">
        <v>101</v>
      </c>
      <c r="W76" s="180" t="s">
        <v>101</v>
      </c>
      <c r="X76" s="167" t="s">
        <v>70</v>
      </c>
      <c r="Y76" s="167" t="s">
        <v>70</v>
      </c>
      <c r="Z76" s="168" t="s">
        <v>69</v>
      </c>
    </row>
    <row r="77" ht="18.75" customHeight="1">
      <c r="A77" s="88"/>
      <c r="B77" s="71"/>
      <c r="C77" s="123" t="s">
        <v>66</v>
      </c>
      <c r="D77" s="167" t="s">
        <v>69</v>
      </c>
      <c r="E77" s="167" t="s">
        <v>69</v>
      </c>
      <c r="F77" s="167" t="s">
        <v>69</v>
      </c>
      <c r="G77" s="167" t="s">
        <v>69</v>
      </c>
      <c r="H77" s="167" t="s">
        <v>69</v>
      </c>
      <c r="I77" s="167" t="s">
        <v>69</v>
      </c>
      <c r="J77" s="168" t="s">
        <v>70</v>
      </c>
      <c r="K77" s="172" t="s">
        <v>69</v>
      </c>
      <c r="L77" s="170" t="s">
        <v>69</v>
      </c>
      <c r="M77" s="170" t="s">
        <v>69</v>
      </c>
      <c r="N77" s="173" t="s">
        <v>69</v>
      </c>
      <c r="O77" s="174" t="s">
        <v>70</v>
      </c>
      <c r="P77" s="167" t="s">
        <v>69</v>
      </c>
      <c r="Q77" s="167" t="s">
        <v>70</v>
      </c>
      <c r="R77" s="168" t="s">
        <v>69</v>
      </c>
      <c r="S77" s="168" t="s">
        <v>69</v>
      </c>
      <c r="T77" s="192" t="s">
        <v>69</v>
      </c>
      <c r="U77" s="193" t="s">
        <v>70</v>
      </c>
      <c r="V77" s="194" t="s">
        <v>70</v>
      </c>
      <c r="W77" s="195" t="s">
        <v>70</v>
      </c>
      <c r="X77" s="167" t="s">
        <v>70</v>
      </c>
      <c r="Y77" s="167" t="s">
        <v>70</v>
      </c>
      <c r="Z77" s="168" t="s">
        <v>69</v>
      </c>
    </row>
    <row r="78" ht="18.75" customHeight="1">
      <c r="A78" s="88"/>
      <c r="B78" s="71"/>
      <c r="C78" s="125" t="s">
        <v>67</v>
      </c>
      <c r="D78" s="179" t="s">
        <v>101</v>
      </c>
      <c r="E78" s="179" t="s">
        <v>101</v>
      </c>
      <c r="F78" s="179" t="s">
        <v>101</v>
      </c>
      <c r="G78" s="179" t="s">
        <v>101</v>
      </c>
      <c r="H78" s="179" t="s">
        <v>101</v>
      </c>
      <c r="I78" s="179" t="s">
        <v>101</v>
      </c>
      <c r="J78" s="180" t="s">
        <v>101</v>
      </c>
      <c r="K78" s="179" t="s">
        <v>101</v>
      </c>
      <c r="L78" s="179" t="s">
        <v>101</v>
      </c>
      <c r="M78" s="179" t="s">
        <v>101</v>
      </c>
      <c r="N78" s="179" t="s">
        <v>101</v>
      </c>
      <c r="O78" s="180" t="s">
        <v>101</v>
      </c>
      <c r="P78" s="167" t="s">
        <v>69</v>
      </c>
      <c r="Q78" s="167" t="s">
        <v>70</v>
      </c>
      <c r="R78" s="168" t="s">
        <v>69</v>
      </c>
      <c r="S78" s="168" t="s">
        <v>100</v>
      </c>
      <c r="T78" s="167" t="s">
        <v>100</v>
      </c>
      <c r="U78" s="167" t="s">
        <v>100</v>
      </c>
      <c r="V78" s="167" t="s">
        <v>100</v>
      </c>
      <c r="W78" s="168" t="s">
        <v>100</v>
      </c>
      <c r="X78" s="167" t="s">
        <v>100</v>
      </c>
      <c r="Y78" s="167" t="s">
        <v>100</v>
      </c>
      <c r="Z78" s="168" t="s">
        <v>100</v>
      </c>
    </row>
    <row r="79" ht="18.75" customHeight="1">
      <c r="A79" s="88"/>
      <c r="B79" s="196" t="s">
        <v>107</v>
      </c>
      <c r="C79" s="197" t="s">
        <v>47</v>
      </c>
      <c r="D79" s="167" t="s">
        <v>69</v>
      </c>
      <c r="E79" s="167" t="s">
        <v>69</v>
      </c>
      <c r="F79" s="167" t="s">
        <v>69</v>
      </c>
      <c r="G79" s="167" t="s">
        <v>69</v>
      </c>
      <c r="H79" s="167" t="s">
        <v>69</v>
      </c>
      <c r="I79" s="167" t="s">
        <v>69</v>
      </c>
      <c r="J79" s="168" t="s">
        <v>69</v>
      </c>
      <c r="K79" s="172" t="s">
        <v>69</v>
      </c>
      <c r="L79" s="170" t="s">
        <v>69</v>
      </c>
      <c r="M79" s="170" t="s">
        <v>69</v>
      </c>
      <c r="N79" s="173" t="s">
        <v>69</v>
      </c>
      <c r="O79" s="174" t="s">
        <v>70</v>
      </c>
      <c r="P79" s="179" t="s">
        <v>101</v>
      </c>
      <c r="Q79" s="179" t="s">
        <v>101</v>
      </c>
      <c r="R79" s="180" t="s">
        <v>101</v>
      </c>
      <c r="S79" s="180" t="s">
        <v>101</v>
      </c>
      <c r="T79" s="179" t="s">
        <v>101</v>
      </c>
      <c r="U79" s="179" t="s">
        <v>101</v>
      </c>
      <c r="V79" s="179" t="s">
        <v>101</v>
      </c>
      <c r="W79" s="180" t="s">
        <v>101</v>
      </c>
      <c r="X79" s="179" t="s">
        <v>101</v>
      </c>
      <c r="Y79" s="179" t="s">
        <v>101</v>
      </c>
      <c r="Z79" s="180" t="s">
        <v>101</v>
      </c>
    </row>
    <row r="80" ht="18.75" customHeight="1">
      <c r="A80" s="106"/>
      <c r="B80" s="198"/>
      <c r="C80" s="199" t="s">
        <v>67</v>
      </c>
      <c r="D80" s="167" t="s">
        <v>69</v>
      </c>
      <c r="E80" s="167" t="s">
        <v>69</v>
      </c>
      <c r="F80" s="167" t="s">
        <v>69</v>
      </c>
      <c r="G80" s="167" t="s">
        <v>69</v>
      </c>
      <c r="H80" s="167" t="s">
        <v>69</v>
      </c>
      <c r="I80" s="167" t="s">
        <v>69</v>
      </c>
      <c r="J80" s="168" t="s">
        <v>70</v>
      </c>
      <c r="K80" s="172" t="s">
        <v>69</v>
      </c>
      <c r="L80" s="170" t="s">
        <v>69</v>
      </c>
      <c r="M80" s="170" t="s">
        <v>69</v>
      </c>
      <c r="N80" s="173" t="s">
        <v>69</v>
      </c>
      <c r="O80" s="174" t="s">
        <v>70</v>
      </c>
      <c r="P80" s="179" t="s">
        <v>101</v>
      </c>
      <c r="Q80" s="179" t="s">
        <v>101</v>
      </c>
      <c r="R80" s="180" t="s">
        <v>101</v>
      </c>
      <c r="S80" s="180" t="s">
        <v>101</v>
      </c>
      <c r="T80" s="179" t="s">
        <v>101</v>
      </c>
      <c r="U80" s="179" t="s">
        <v>101</v>
      </c>
      <c r="V80" s="179" t="s">
        <v>101</v>
      </c>
      <c r="W80" s="180" t="s">
        <v>101</v>
      </c>
      <c r="X80" s="179" t="s">
        <v>101</v>
      </c>
      <c r="Y80" s="200" t="s">
        <v>101</v>
      </c>
      <c r="Z80" s="201" t="s">
        <v>101</v>
      </c>
    </row>
    <row r="81" ht="6.0" customHeight="1">
      <c r="A81" s="126"/>
      <c r="B81" s="82"/>
      <c r="C81" s="127"/>
      <c r="D81" s="126"/>
      <c r="E81" s="128"/>
      <c r="F81" s="128"/>
      <c r="G81" s="128"/>
      <c r="H81" s="128"/>
      <c r="I81" s="128"/>
      <c r="J81" s="128"/>
      <c r="K81" s="128"/>
      <c r="L81" s="128"/>
      <c r="M81" s="128"/>
      <c r="N81" s="128"/>
      <c r="O81" s="128"/>
      <c r="P81" s="128"/>
      <c r="Q81" s="128"/>
      <c r="R81" s="128"/>
      <c r="S81" s="128"/>
      <c r="T81" s="128"/>
      <c r="U81" s="128"/>
      <c r="V81" s="128"/>
      <c r="W81" s="128"/>
      <c r="X81" s="128"/>
      <c r="Y81" s="128"/>
      <c r="Z81" s="128"/>
    </row>
    <row r="82" ht="18.75" customHeight="1">
      <c r="A82" s="202" t="s">
        <v>68</v>
      </c>
      <c r="B82" s="203" t="s">
        <v>69</v>
      </c>
      <c r="C82" s="204"/>
      <c r="D82" s="205">
        <f t="shared" ref="D82:Z82" si="8">COUNTIF(D45:D80,"Voor")</f>
        <v>7</v>
      </c>
      <c r="E82" s="205">
        <f t="shared" si="8"/>
        <v>7</v>
      </c>
      <c r="F82" s="205">
        <f t="shared" si="8"/>
        <v>14</v>
      </c>
      <c r="G82" s="205">
        <f t="shared" si="8"/>
        <v>5</v>
      </c>
      <c r="H82" s="205">
        <f t="shared" si="8"/>
        <v>16</v>
      </c>
      <c r="I82" s="205">
        <f t="shared" si="8"/>
        <v>16</v>
      </c>
      <c r="J82" s="206">
        <f t="shared" si="8"/>
        <v>15</v>
      </c>
      <c r="K82" s="207">
        <f t="shared" si="8"/>
        <v>11</v>
      </c>
      <c r="L82" s="208">
        <f t="shared" si="8"/>
        <v>20</v>
      </c>
      <c r="M82" s="208">
        <f t="shared" si="8"/>
        <v>14</v>
      </c>
      <c r="N82" s="208">
        <f t="shared" si="8"/>
        <v>17</v>
      </c>
      <c r="O82" s="206">
        <f t="shared" si="8"/>
        <v>14</v>
      </c>
      <c r="P82" s="209">
        <f t="shared" si="8"/>
        <v>6</v>
      </c>
      <c r="Q82" s="208">
        <f t="shared" si="8"/>
        <v>15</v>
      </c>
      <c r="R82" s="206">
        <f t="shared" si="8"/>
        <v>23</v>
      </c>
      <c r="S82" s="210">
        <f t="shared" si="8"/>
        <v>17</v>
      </c>
      <c r="T82" s="207">
        <f t="shared" si="8"/>
        <v>11</v>
      </c>
      <c r="U82" s="207">
        <f t="shared" si="8"/>
        <v>7</v>
      </c>
      <c r="V82" s="207">
        <f t="shared" si="8"/>
        <v>12</v>
      </c>
      <c r="W82" s="210">
        <f t="shared" si="8"/>
        <v>6</v>
      </c>
      <c r="X82" s="207">
        <f t="shared" si="8"/>
        <v>6</v>
      </c>
      <c r="Y82" s="210">
        <f t="shared" si="8"/>
        <v>6</v>
      </c>
      <c r="Z82" s="207">
        <f t="shared" si="8"/>
        <v>16</v>
      </c>
    </row>
    <row r="83" ht="18.75" customHeight="1">
      <c r="B83" s="211" t="s">
        <v>70</v>
      </c>
      <c r="D83" s="212">
        <f t="shared" ref="D83:Z83" si="9">COUNTIF(D45:D80,"Tegen")</f>
        <v>16</v>
      </c>
      <c r="E83" s="212">
        <f t="shared" si="9"/>
        <v>15</v>
      </c>
      <c r="F83" s="212">
        <f t="shared" si="9"/>
        <v>9</v>
      </c>
      <c r="G83" s="212">
        <f t="shared" si="9"/>
        <v>18</v>
      </c>
      <c r="H83" s="212">
        <f t="shared" si="9"/>
        <v>6</v>
      </c>
      <c r="I83" s="212">
        <f t="shared" si="9"/>
        <v>7</v>
      </c>
      <c r="J83" s="213">
        <f t="shared" si="9"/>
        <v>8</v>
      </c>
      <c r="K83" s="214">
        <f t="shared" si="9"/>
        <v>9</v>
      </c>
      <c r="L83" s="215">
        <f t="shared" si="9"/>
        <v>0</v>
      </c>
      <c r="M83" s="215">
        <f t="shared" si="9"/>
        <v>6</v>
      </c>
      <c r="N83" s="215">
        <f t="shared" si="9"/>
        <v>3</v>
      </c>
      <c r="O83" s="213">
        <f t="shared" si="9"/>
        <v>5</v>
      </c>
      <c r="P83" s="216">
        <f t="shared" si="9"/>
        <v>18</v>
      </c>
      <c r="Q83" s="215">
        <f t="shared" si="9"/>
        <v>8</v>
      </c>
      <c r="R83" s="213">
        <f t="shared" si="9"/>
        <v>1</v>
      </c>
      <c r="S83" s="217">
        <f t="shared" si="9"/>
        <v>2</v>
      </c>
      <c r="T83" s="214">
        <f t="shared" si="9"/>
        <v>2</v>
      </c>
      <c r="U83" s="214">
        <f t="shared" si="9"/>
        <v>5</v>
      </c>
      <c r="V83" s="214">
        <f t="shared" si="9"/>
        <v>1</v>
      </c>
      <c r="W83" s="217">
        <f t="shared" si="9"/>
        <v>7</v>
      </c>
      <c r="X83" s="214">
        <f t="shared" si="9"/>
        <v>10</v>
      </c>
      <c r="Y83" s="217">
        <f t="shared" si="9"/>
        <v>10</v>
      </c>
      <c r="Z83" s="214">
        <f t="shared" si="9"/>
        <v>0</v>
      </c>
    </row>
    <row r="84" ht="18.75" customHeight="1">
      <c r="B84" s="218" t="s">
        <v>71</v>
      </c>
      <c r="D84" s="219">
        <f t="shared" ref="D84:Z84" si="10">COUNTIF(D45:D80,"SO")</f>
        <v>0</v>
      </c>
      <c r="E84" s="219">
        <f t="shared" si="10"/>
        <v>1</v>
      </c>
      <c r="F84" s="219">
        <f t="shared" si="10"/>
        <v>0</v>
      </c>
      <c r="G84" s="219">
        <f t="shared" si="10"/>
        <v>0</v>
      </c>
      <c r="H84" s="219">
        <f t="shared" si="10"/>
        <v>1</v>
      </c>
      <c r="I84" s="219">
        <f t="shared" si="10"/>
        <v>0</v>
      </c>
      <c r="J84" s="220">
        <f t="shared" si="10"/>
        <v>0</v>
      </c>
      <c r="K84" s="221">
        <f t="shared" si="10"/>
        <v>0</v>
      </c>
      <c r="L84" s="222">
        <f t="shared" si="10"/>
        <v>0</v>
      </c>
      <c r="M84" s="222">
        <f t="shared" si="10"/>
        <v>0</v>
      </c>
      <c r="N84" s="222">
        <f t="shared" si="10"/>
        <v>0</v>
      </c>
      <c r="O84" s="220">
        <f t="shared" si="10"/>
        <v>1</v>
      </c>
      <c r="P84" s="223">
        <f t="shared" si="10"/>
        <v>0</v>
      </c>
      <c r="Q84" s="222">
        <f t="shared" si="10"/>
        <v>1</v>
      </c>
      <c r="R84" s="220">
        <f t="shared" si="10"/>
        <v>0</v>
      </c>
      <c r="S84" s="224">
        <f t="shared" si="10"/>
        <v>0</v>
      </c>
      <c r="T84" s="221">
        <f t="shared" si="10"/>
        <v>0</v>
      </c>
      <c r="U84" s="221">
        <f t="shared" si="10"/>
        <v>1</v>
      </c>
      <c r="V84" s="221">
        <f t="shared" si="10"/>
        <v>0</v>
      </c>
      <c r="W84" s="224">
        <f t="shared" si="10"/>
        <v>0</v>
      </c>
      <c r="X84" s="221">
        <f t="shared" si="10"/>
        <v>0</v>
      </c>
      <c r="Y84" s="224">
        <f t="shared" si="10"/>
        <v>0</v>
      </c>
      <c r="Z84" s="221">
        <f t="shared" si="10"/>
        <v>0</v>
      </c>
    </row>
    <row r="85" ht="18.75" customHeight="1">
      <c r="B85" s="225" t="s">
        <v>72</v>
      </c>
      <c r="D85" s="226">
        <f t="shared" ref="D85:Z85" si="11">COUNTIF(D45:D80,"NG")</f>
        <v>2</v>
      </c>
      <c r="E85" s="226">
        <f t="shared" si="11"/>
        <v>2</v>
      </c>
      <c r="F85" s="226">
        <f t="shared" si="11"/>
        <v>2</v>
      </c>
      <c r="G85" s="226">
        <f t="shared" si="11"/>
        <v>2</v>
      </c>
      <c r="H85" s="226">
        <f t="shared" si="11"/>
        <v>2</v>
      </c>
      <c r="I85" s="226">
        <f t="shared" si="11"/>
        <v>2</v>
      </c>
      <c r="J85" s="227">
        <f t="shared" si="11"/>
        <v>2</v>
      </c>
      <c r="K85" s="228">
        <f t="shared" si="11"/>
        <v>5</v>
      </c>
      <c r="L85" s="229">
        <f t="shared" si="11"/>
        <v>5</v>
      </c>
      <c r="M85" s="229">
        <f t="shared" si="11"/>
        <v>5</v>
      </c>
      <c r="N85" s="229">
        <f t="shared" si="11"/>
        <v>5</v>
      </c>
      <c r="O85" s="227">
        <f t="shared" si="11"/>
        <v>5</v>
      </c>
      <c r="P85" s="230">
        <f t="shared" si="11"/>
        <v>1</v>
      </c>
      <c r="Q85" s="229">
        <f t="shared" si="11"/>
        <v>1</v>
      </c>
      <c r="R85" s="227">
        <f t="shared" si="11"/>
        <v>1</v>
      </c>
      <c r="S85" s="231">
        <f t="shared" si="11"/>
        <v>6</v>
      </c>
      <c r="T85" s="228">
        <f t="shared" si="11"/>
        <v>12</v>
      </c>
      <c r="U85" s="228">
        <f t="shared" si="11"/>
        <v>12</v>
      </c>
      <c r="V85" s="228">
        <f t="shared" si="11"/>
        <v>12</v>
      </c>
      <c r="W85" s="231">
        <f t="shared" si="11"/>
        <v>12</v>
      </c>
      <c r="X85" s="228">
        <f t="shared" si="11"/>
        <v>9</v>
      </c>
      <c r="Y85" s="231">
        <f t="shared" si="11"/>
        <v>9</v>
      </c>
      <c r="Z85" s="228">
        <f t="shared" si="11"/>
        <v>9</v>
      </c>
    </row>
    <row r="86" ht="18.75" customHeight="1">
      <c r="B86" s="232" t="s">
        <v>73</v>
      </c>
      <c r="D86" s="233">
        <f t="shared" ref="D86:Z86" si="12">SUM(D82:D85)</f>
        <v>25</v>
      </c>
      <c r="E86" s="233">
        <f t="shared" si="12"/>
        <v>25</v>
      </c>
      <c r="F86" s="233">
        <f t="shared" si="12"/>
        <v>25</v>
      </c>
      <c r="G86" s="233">
        <f t="shared" si="12"/>
        <v>25</v>
      </c>
      <c r="H86" s="233">
        <f t="shared" si="12"/>
        <v>25</v>
      </c>
      <c r="I86" s="233">
        <f t="shared" si="12"/>
        <v>25</v>
      </c>
      <c r="J86" s="234">
        <f t="shared" si="12"/>
        <v>25</v>
      </c>
      <c r="K86" s="235">
        <f t="shared" si="12"/>
        <v>25</v>
      </c>
      <c r="L86" s="236">
        <f t="shared" si="12"/>
        <v>25</v>
      </c>
      <c r="M86" s="236">
        <f t="shared" si="12"/>
        <v>25</v>
      </c>
      <c r="N86" s="236">
        <f t="shared" si="12"/>
        <v>25</v>
      </c>
      <c r="O86" s="234">
        <f t="shared" si="12"/>
        <v>25</v>
      </c>
      <c r="P86" s="237">
        <f t="shared" si="12"/>
        <v>25</v>
      </c>
      <c r="Q86" s="236">
        <f t="shared" si="12"/>
        <v>25</v>
      </c>
      <c r="R86" s="234">
        <f t="shared" si="12"/>
        <v>25</v>
      </c>
      <c r="S86" s="238">
        <f t="shared" si="12"/>
        <v>25</v>
      </c>
      <c r="T86" s="235">
        <f t="shared" si="12"/>
        <v>25</v>
      </c>
      <c r="U86" s="235">
        <f t="shared" si="12"/>
        <v>25</v>
      </c>
      <c r="V86" s="235">
        <f t="shared" si="12"/>
        <v>25</v>
      </c>
      <c r="W86" s="238">
        <f t="shared" si="12"/>
        <v>25</v>
      </c>
      <c r="X86" s="235">
        <f t="shared" si="12"/>
        <v>25</v>
      </c>
      <c r="Y86" s="238">
        <f t="shared" si="12"/>
        <v>25</v>
      </c>
      <c r="Z86" s="235">
        <f t="shared" si="12"/>
        <v>25</v>
      </c>
    </row>
    <row r="87" ht="18.75" customHeight="1">
      <c r="B87" s="239" t="s">
        <v>74</v>
      </c>
      <c r="D87" s="240">
        <f t="shared" ref="D87:Z87" si="13">D82+D83+D84</f>
        <v>23</v>
      </c>
      <c r="E87" s="240">
        <f t="shared" si="13"/>
        <v>23</v>
      </c>
      <c r="F87" s="240">
        <f t="shared" si="13"/>
        <v>23</v>
      </c>
      <c r="G87" s="240">
        <f t="shared" si="13"/>
        <v>23</v>
      </c>
      <c r="H87" s="240">
        <f t="shared" si="13"/>
        <v>23</v>
      </c>
      <c r="I87" s="240">
        <f t="shared" si="13"/>
        <v>23</v>
      </c>
      <c r="J87" s="241">
        <f t="shared" si="13"/>
        <v>23</v>
      </c>
      <c r="K87" s="242">
        <f t="shared" si="13"/>
        <v>20</v>
      </c>
      <c r="L87" s="243">
        <f t="shared" si="13"/>
        <v>20</v>
      </c>
      <c r="M87" s="243">
        <f t="shared" si="13"/>
        <v>20</v>
      </c>
      <c r="N87" s="243">
        <f t="shared" si="13"/>
        <v>20</v>
      </c>
      <c r="O87" s="241">
        <f t="shared" si="13"/>
        <v>20</v>
      </c>
      <c r="P87" s="244">
        <f t="shared" si="13"/>
        <v>24</v>
      </c>
      <c r="Q87" s="243">
        <f t="shared" si="13"/>
        <v>24</v>
      </c>
      <c r="R87" s="241">
        <f t="shared" si="13"/>
        <v>24</v>
      </c>
      <c r="S87" s="245">
        <f t="shared" si="13"/>
        <v>19</v>
      </c>
      <c r="T87" s="242">
        <f t="shared" si="13"/>
        <v>13</v>
      </c>
      <c r="U87" s="242">
        <f t="shared" si="13"/>
        <v>13</v>
      </c>
      <c r="V87" s="242">
        <f t="shared" si="13"/>
        <v>13</v>
      </c>
      <c r="W87" s="245">
        <f t="shared" si="13"/>
        <v>13</v>
      </c>
      <c r="X87" s="242">
        <f t="shared" si="13"/>
        <v>16</v>
      </c>
      <c r="Y87" s="245">
        <f t="shared" si="13"/>
        <v>16</v>
      </c>
      <c r="Z87" s="242">
        <f t="shared" si="13"/>
        <v>16</v>
      </c>
    </row>
    <row r="88" ht="18.75" customHeight="1">
      <c r="B88" s="246" t="s">
        <v>75</v>
      </c>
      <c r="C88" s="65"/>
      <c r="D88" s="247">
        <f t="shared" ref="D88:Z88" si="14">IFERROR(D87/D86,"")</f>
        <v>0.92</v>
      </c>
      <c r="E88" s="247">
        <f t="shared" si="14"/>
        <v>0.92</v>
      </c>
      <c r="F88" s="247">
        <f t="shared" si="14"/>
        <v>0.92</v>
      </c>
      <c r="G88" s="247">
        <f t="shared" si="14"/>
        <v>0.92</v>
      </c>
      <c r="H88" s="247">
        <f t="shared" si="14"/>
        <v>0.92</v>
      </c>
      <c r="I88" s="247">
        <f t="shared" si="14"/>
        <v>0.92</v>
      </c>
      <c r="J88" s="248">
        <f t="shared" si="14"/>
        <v>0.92</v>
      </c>
      <c r="K88" s="150">
        <f t="shared" si="14"/>
        <v>0.8</v>
      </c>
      <c r="L88" s="249">
        <f t="shared" si="14"/>
        <v>0.8</v>
      </c>
      <c r="M88" s="249">
        <f t="shared" si="14"/>
        <v>0.8</v>
      </c>
      <c r="N88" s="249">
        <f t="shared" si="14"/>
        <v>0.8</v>
      </c>
      <c r="O88" s="248">
        <f t="shared" si="14"/>
        <v>0.8</v>
      </c>
      <c r="P88" s="151">
        <f t="shared" si="14"/>
        <v>0.96</v>
      </c>
      <c r="Q88" s="249">
        <f t="shared" si="14"/>
        <v>0.96</v>
      </c>
      <c r="R88" s="248">
        <f t="shared" si="14"/>
        <v>0.96</v>
      </c>
      <c r="S88" s="250">
        <f t="shared" si="14"/>
        <v>0.76</v>
      </c>
      <c r="T88" s="150">
        <f t="shared" si="14"/>
        <v>0.52</v>
      </c>
      <c r="U88" s="150">
        <f t="shared" si="14"/>
        <v>0.52</v>
      </c>
      <c r="V88" s="150">
        <f t="shared" si="14"/>
        <v>0.52</v>
      </c>
      <c r="W88" s="250">
        <f t="shared" si="14"/>
        <v>0.52</v>
      </c>
      <c r="X88" s="150">
        <f t="shared" si="14"/>
        <v>0.64</v>
      </c>
      <c r="Y88" s="250">
        <f t="shared" si="14"/>
        <v>0.64</v>
      </c>
      <c r="Z88" s="150">
        <f t="shared" si="14"/>
        <v>0.64</v>
      </c>
    </row>
    <row r="89" ht="18.75" customHeight="1">
      <c r="A89" s="60"/>
      <c r="B89" s="60"/>
      <c r="C89" s="60"/>
      <c r="D89" s="60"/>
      <c r="E89" s="60"/>
      <c r="F89" s="60"/>
      <c r="G89" s="60"/>
      <c r="H89" s="60"/>
      <c r="I89" s="60"/>
      <c r="J89" s="60"/>
      <c r="K89" s="7"/>
      <c r="L89" s="60"/>
      <c r="M89" s="60"/>
      <c r="N89" s="60"/>
      <c r="O89" s="60"/>
      <c r="P89" s="60"/>
      <c r="Q89" s="60"/>
      <c r="R89" s="60"/>
      <c r="S89" s="60"/>
      <c r="T89" s="60"/>
      <c r="U89" s="60"/>
      <c r="V89" s="60"/>
      <c r="W89" s="60"/>
      <c r="X89" s="60"/>
      <c r="Y89" s="60"/>
      <c r="Z89" s="7"/>
    </row>
    <row r="90" ht="18.75" customHeight="1">
      <c r="A90" s="152" t="s">
        <v>30</v>
      </c>
      <c r="B90" s="153"/>
      <c r="C90" s="154"/>
      <c r="D90" s="155" t="s">
        <v>31</v>
      </c>
      <c r="E90" s="156"/>
      <c r="F90" s="156"/>
      <c r="G90" s="156"/>
      <c r="H90" s="156"/>
      <c r="I90" s="156"/>
      <c r="J90" s="156"/>
      <c r="K90" s="156"/>
      <c r="L90" s="156"/>
      <c r="M90" s="156"/>
      <c r="N90" s="156"/>
      <c r="O90" s="156"/>
      <c r="P90" s="156"/>
      <c r="Q90" s="156"/>
      <c r="R90" s="156"/>
      <c r="S90" s="156"/>
      <c r="T90" s="156"/>
      <c r="U90" s="156"/>
      <c r="V90" s="156"/>
      <c r="W90" s="156"/>
      <c r="X90" s="156"/>
      <c r="Y90" s="157"/>
    </row>
    <row r="91" ht="18.75" customHeight="1">
      <c r="A91" s="158" t="s">
        <v>108</v>
      </c>
      <c r="C91" s="71"/>
      <c r="D91" s="159"/>
      <c r="Y91" s="68"/>
    </row>
    <row r="92" ht="18.75" customHeight="1">
      <c r="C92" s="71"/>
      <c r="D92" s="160"/>
      <c r="E92" s="72"/>
      <c r="F92" s="72"/>
      <c r="G92" s="72"/>
      <c r="H92" s="72"/>
      <c r="I92" s="72"/>
      <c r="J92" s="72"/>
      <c r="K92" s="72"/>
      <c r="L92" s="72"/>
      <c r="M92" s="72"/>
      <c r="N92" s="72"/>
      <c r="O92" s="72"/>
      <c r="P92" s="72"/>
      <c r="Q92" s="72"/>
      <c r="R92" s="72"/>
      <c r="S92" s="72"/>
      <c r="T92" s="72"/>
      <c r="U92" s="72"/>
      <c r="V92" s="72"/>
      <c r="W92" s="72"/>
      <c r="X92" s="72"/>
      <c r="Y92" s="73"/>
    </row>
    <row r="93" ht="18.75" customHeight="1">
      <c r="A93" s="161" t="s">
        <v>33</v>
      </c>
      <c r="B93" s="162" t="s">
        <v>7</v>
      </c>
      <c r="C93" s="163" t="s">
        <v>34</v>
      </c>
      <c r="D93" s="251" t="s">
        <v>109</v>
      </c>
      <c r="E93" s="251" t="s">
        <v>110</v>
      </c>
      <c r="F93" s="251" t="s">
        <v>111</v>
      </c>
      <c r="G93" s="251" t="s">
        <v>112</v>
      </c>
      <c r="H93" s="251" t="s">
        <v>113</v>
      </c>
      <c r="I93" s="251" t="s">
        <v>114</v>
      </c>
      <c r="J93" s="251" t="s">
        <v>115</v>
      </c>
      <c r="K93" s="251" t="s">
        <v>116</v>
      </c>
      <c r="L93" s="251" t="s">
        <v>117</v>
      </c>
      <c r="M93" s="251" t="s">
        <v>118</v>
      </c>
      <c r="N93" s="251" t="s">
        <v>119</v>
      </c>
      <c r="O93" s="251" t="s">
        <v>120</v>
      </c>
      <c r="P93" s="251" t="s">
        <v>121</v>
      </c>
      <c r="Q93" s="252" t="s">
        <v>122</v>
      </c>
      <c r="R93" s="253" t="s">
        <v>123</v>
      </c>
      <c r="S93" s="252" t="s">
        <v>124</v>
      </c>
      <c r="T93" s="254" t="s">
        <v>125</v>
      </c>
      <c r="U93" s="255" t="s">
        <v>126</v>
      </c>
      <c r="V93" s="256" t="s">
        <v>127</v>
      </c>
      <c r="W93" s="256" t="s">
        <v>128</v>
      </c>
      <c r="X93" s="256" t="s">
        <v>129</v>
      </c>
      <c r="Y93" s="255" t="s">
        <v>130</v>
      </c>
    </row>
    <row r="94" ht="6.0" customHeight="1">
      <c r="A94" s="81"/>
      <c r="B94" s="82"/>
      <c r="C94" s="82"/>
      <c r="D94" s="81"/>
      <c r="E94" s="82"/>
      <c r="F94" s="82"/>
      <c r="G94" s="82"/>
      <c r="H94" s="82"/>
      <c r="I94" s="82"/>
      <c r="J94" s="82"/>
      <c r="K94" s="82"/>
      <c r="L94" s="82"/>
      <c r="M94" s="82"/>
      <c r="N94" s="82"/>
      <c r="O94" s="82"/>
      <c r="P94" s="82"/>
      <c r="Q94" s="82"/>
      <c r="R94" s="82"/>
      <c r="S94" s="82"/>
      <c r="T94" s="82"/>
      <c r="U94" s="82"/>
      <c r="V94" s="82"/>
      <c r="W94" s="82"/>
      <c r="X94" s="82"/>
      <c r="Y94" s="82"/>
    </row>
    <row r="95" ht="18.75" customHeight="1">
      <c r="A95" s="85" t="s">
        <v>35</v>
      </c>
      <c r="B95" s="86" t="s">
        <v>36</v>
      </c>
      <c r="C95" s="87" t="s">
        <v>37</v>
      </c>
      <c r="D95" s="257" t="s">
        <v>70</v>
      </c>
      <c r="E95" s="257" t="s">
        <v>70</v>
      </c>
      <c r="F95" s="257" t="s">
        <v>70</v>
      </c>
      <c r="G95" s="257" t="s">
        <v>70</v>
      </c>
      <c r="H95" s="258" t="s">
        <v>69</v>
      </c>
      <c r="I95" s="257" t="s">
        <v>70</v>
      </c>
      <c r="J95" s="258" t="s">
        <v>69</v>
      </c>
      <c r="K95" s="257" t="s">
        <v>70</v>
      </c>
      <c r="L95" s="258" t="s">
        <v>69</v>
      </c>
      <c r="M95" s="257" t="s">
        <v>70</v>
      </c>
      <c r="N95" s="258" t="s">
        <v>69</v>
      </c>
      <c r="O95" s="257" t="s">
        <v>70</v>
      </c>
      <c r="P95" s="257" t="s">
        <v>70</v>
      </c>
      <c r="Q95" s="257" t="s">
        <v>70</v>
      </c>
      <c r="R95" s="259" t="s">
        <v>69</v>
      </c>
      <c r="S95" s="260" t="s">
        <v>69</v>
      </c>
      <c r="T95" s="261" t="s">
        <v>69</v>
      </c>
      <c r="U95" s="262" t="s">
        <v>69</v>
      </c>
      <c r="V95" s="263" t="s">
        <v>69</v>
      </c>
      <c r="W95" s="263" t="s">
        <v>69</v>
      </c>
      <c r="X95" s="263" t="s">
        <v>70</v>
      </c>
      <c r="Y95" s="264" t="s">
        <v>69</v>
      </c>
    </row>
    <row r="96" ht="18.75" customHeight="1">
      <c r="A96" s="88"/>
      <c r="B96" s="71"/>
      <c r="C96" s="265" t="s">
        <v>38</v>
      </c>
      <c r="D96" s="257" t="s">
        <v>70</v>
      </c>
      <c r="E96" s="257" t="s">
        <v>70</v>
      </c>
      <c r="F96" s="257" t="s">
        <v>70</v>
      </c>
      <c r="G96" s="257" t="s">
        <v>70</v>
      </c>
      <c r="H96" s="258" t="s">
        <v>69</v>
      </c>
      <c r="I96" s="257" t="s">
        <v>70</v>
      </c>
      <c r="J96" s="258" t="s">
        <v>69</v>
      </c>
      <c r="K96" s="257" t="s">
        <v>70</v>
      </c>
      <c r="L96" s="258" t="s">
        <v>69</v>
      </c>
      <c r="M96" s="258" t="s">
        <v>69</v>
      </c>
      <c r="N96" s="258" t="s">
        <v>69</v>
      </c>
      <c r="O96" s="258" t="s">
        <v>69</v>
      </c>
      <c r="P96" s="257" t="s">
        <v>70</v>
      </c>
      <c r="Q96" s="257" t="s">
        <v>70</v>
      </c>
      <c r="R96" s="259" t="s">
        <v>69</v>
      </c>
      <c r="S96" s="260" t="s">
        <v>69</v>
      </c>
      <c r="T96" s="261" t="s">
        <v>69</v>
      </c>
      <c r="U96" s="262" t="s">
        <v>69</v>
      </c>
      <c r="V96" s="260" t="s">
        <v>69</v>
      </c>
      <c r="W96" s="266" t="s">
        <v>99</v>
      </c>
      <c r="X96" s="267" t="s">
        <v>70</v>
      </c>
      <c r="Y96" s="262" t="s">
        <v>69</v>
      </c>
    </row>
    <row r="97" ht="18.75" customHeight="1">
      <c r="A97" s="88"/>
      <c r="B97" s="71"/>
      <c r="C97" s="268" t="s">
        <v>65</v>
      </c>
      <c r="D97" s="257" t="s">
        <v>70</v>
      </c>
      <c r="E97" s="257" t="s">
        <v>70</v>
      </c>
      <c r="F97" s="257" t="s">
        <v>70</v>
      </c>
      <c r="G97" s="257" t="s">
        <v>70</v>
      </c>
      <c r="H97" s="258" t="s">
        <v>69</v>
      </c>
      <c r="I97" s="258" t="s">
        <v>69</v>
      </c>
      <c r="J97" s="258" t="s">
        <v>69</v>
      </c>
      <c r="K97" s="257" t="s">
        <v>70</v>
      </c>
      <c r="L97" s="258" t="s">
        <v>69</v>
      </c>
      <c r="M97" s="258" t="s">
        <v>69</v>
      </c>
      <c r="N97" s="258" t="s">
        <v>69</v>
      </c>
      <c r="O97" s="258" t="s">
        <v>69</v>
      </c>
      <c r="P97" s="257" t="s">
        <v>70</v>
      </c>
      <c r="Q97" s="257" t="s">
        <v>70</v>
      </c>
      <c r="R97" s="259" t="s">
        <v>69</v>
      </c>
      <c r="S97" s="260" t="s">
        <v>69</v>
      </c>
      <c r="T97" s="261" t="s">
        <v>69</v>
      </c>
      <c r="U97" s="262" t="s">
        <v>69</v>
      </c>
      <c r="V97" s="260" t="s">
        <v>69</v>
      </c>
      <c r="W97" s="267" t="s">
        <v>70</v>
      </c>
      <c r="X97" s="267" t="s">
        <v>70</v>
      </c>
      <c r="Y97" s="262" t="s">
        <v>69</v>
      </c>
    </row>
    <row r="98" ht="18.75" customHeight="1">
      <c r="A98" s="88"/>
      <c r="B98" s="71"/>
      <c r="C98" s="268" t="s">
        <v>39</v>
      </c>
      <c r="D98" s="257" t="s">
        <v>70</v>
      </c>
      <c r="E98" s="257" t="s">
        <v>70</v>
      </c>
      <c r="F98" s="257" t="s">
        <v>70</v>
      </c>
      <c r="G98" s="257" t="s">
        <v>70</v>
      </c>
      <c r="H98" s="258" t="s">
        <v>69</v>
      </c>
      <c r="I98" s="257" t="s">
        <v>70</v>
      </c>
      <c r="J98" s="258" t="s">
        <v>69</v>
      </c>
      <c r="K98" s="257" t="s">
        <v>70</v>
      </c>
      <c r="L98" s="258" t="s">
        <v>69</v>
      </c>
      <c r="M98" s="258" t="s">
        <v>69</v>
      </c>
      <c r="N98" s="258" t="s">
        <v>69</v>
      </c>
      <c r="O98" s="258" t="s">
        <v>69</v>
      </c>
      <c r="P98" s="257" t="s">
        <v>70</v>
      </c>
      <c r="Q98" s="257" t="s">
        <v>70</v>
      </c>
      <c r="R98" s="259" t="s">
        <v>69</v>
      </c>
      <c r="S98" s="260" t="s">
        <v>69</v>
      </c>
      <c r="T98" s="261" t="s">
        <v>69</v>
      </c>
      <c r="U98" s="262" t="s">
        <v>69</v>
      </c>
      <c r="V98" s="260" t="s">
        <v>69</v>
      </c>
      <c r="W98" s="267" t="s">
        <v>70</v>
      </c>
      <c r="X98" s="267" t="s">
        <v>70</v>
      </c>
      <c r="Y98" s="262" t="s">
        <v>69</v>
      </c>
    </row>
    <row r="99" ht="18.75" customHeight="1">
      <c r="A99" s="88"/>
      <c r="B99" s="71"/>
      <c r="C99" s="269" t="s">
        <v>40</v>
      </c>
      <c r="D99" s="257" t="s">
        <v>70</v>
      </c>
      <c r="E99" s="257" t="s">
        <v>70</v>
      </c>
      <c r="F99" s="257" t="s">
        <v>70</v>
      </c>
      <c r="G99" s="257" t="s">
        <v>70</v>
      </c>
      <c r="H99" s="258" t="s">
        <v>69</v>
      </c>
      <c r="I99" s="258" t="s">
        <v>69</v>
      </c>
      <c r="J99" s="258" t="s">
        <v>69</v>
      </c>
      <c r="K99" s="257" t="s">
        <v>70</v>
      </c>
      <c r="L99" s="258" t="s">
        <v>69</v>
      </c>
      <c r="M99" s="258" t="s">
        <v>69</v>
      </c>
      <c r="N99" s="270" t="s">
        <v>99</v>
      </c>
      <c r="O99" s="258" t="s">
        <v>69</v>
      </c>
      <c r="P99" s="257" t="s">
        <v>70</v>
      </c>
      <c r="Q99" s="257" t="s">
        <v>70</v>
      </c>
      <c r="R99" s="259" t="s">
        <v>69</v>
      </c>
      <c r="S99" s="263" t="s">
        <v>69</v>
      </c>
      <c r="T99" s="263" t="s">
        <v>69</v>
      </c>
      <c r="U99" s="264" t="s">
        <v>69</v>
      </c>
      <c r="V99" s="260" t="s">
        <v>69</v>
      </c>
      <c r="W99" s="266" t="s">
        <v>99</v>
      </c>
      <c r="X99" s="267" t="s">
        <v>70</v>
      </c>
      <c r="Y99" s="262" t="s">
        <v>69</v>
      </c>
    </row>
    <row r="100" ht="18.75" customHeight="1">
      <c r="A100" s="88"/>
      <c r="B100" s="71"/>
      <c r="C100" s="271" t="s">
        <v>41</v>
      </c>
      <c r="D100" s="257" t="s">
        <v>70</v>
      </c>
      <c r="E100" s="257" t="s">
        <v>70</v>
      </c>
      <c r="F100" s="257" t="s">
        <v>70</v>
      </c>
      <c r="G100" s="257" t="s">
        <v>70</v>
      </c>
      <c r="H100" s="258" t="s">
        <v>69</v>
      </c>
      <c r="I100" s="257" t="s">
        <v>70</v>
      </c>
      <c r="J100" s="258" t="s">
        <v>69</v>
      </c>
      <c r="K100" s="257" t="s">
        <v>70</v>
      </c>
      <c r="L100" s="258" t="s">
        <v>69</v>
      </c>
      <c r="M100" s="257" t="s">
        <v>70</v>
      </c>
      <c r="N100" s="257" t="s">
        <v>70</v>
      </c>
      <c r="O100" s="258" t="s">
        <v>69</v>
      </c>
      <c r="P100" s="257" t="s">
        <v>70</v>
      </c>
      <c r="Q100" s="257" t="s">
        <v>70</v>
      </c>
      <c r="R100" s="259" t="s">
        <v>69</v>
      </c>
      <c r="S100" s="263" t="s">
        <v>69</v>
      </c>
      <c r="T100" s="263" t="s">
        <v>69</v>
      </c>
      <c r="U100" s="264" t="s">
        <v>69</v>
      </c>
      <c r="V100" s="263" t="s">
        <v>69</v>
      </c>
      <c r="W100" s="263" t="s">
        <v>69</v>
      </c>
      <c r="X100" s="263" t="s">
        <v>70</v>
      </c>
      <c r="Y100" s="264" t="s">
        <v>69</v>
      </c>
    </row>
    <row r="101" ht="18.75" customHeight="1">
      <c r="A101" s="88"/>
      <c r="B101" s="94" t="s">
        <v>131</v>
      </c>
      <c r="C101" s="95" t="s">
        <v>44</v>
      </c>
      <c r="D101" s="272" t="s">
        <v>70</v>
      </c>
      <c r="E101" s="272" t="s">
        <v>70</v>
      </c>
      <c r="F101" s="270" t="s">
        <v>69</v>
      </c>
      <c r="G101" s="272" t="s">
        <v>70</v>
      </c>
      <c r="H101" s="258" t="s">
        <v>69</v>
      </c>
      <c r="I101" s="258" t="s">
        <v>69</v>
      </c>
      <c r="J101" s="258" t="s">
        <v>69</v>
      </c>
      <c r="K101" s="272" t="s">
        <v>70</v>
      </c>
      <c r="L101" s="258" t="s">
        <v>69</v>
      </c>
      <c r="M101" s="258" t="s">
        <v>69</v>
      </c>
      <c r="N101" s="258" t="s">
        <v>69</v>
      </c>
      <c r="O101" s="258" t="s">
        <v>69</v>
      </c>
      <c r="P101" s="258" t="s">
        <v>69</v>
      </c>
      <c r="Q101" s="258" t="s">
        <v>69</v>
      </c>
      <c r="R101" s="259" t="s">
        <v>69</v>
      </c>
      <c r="S101" s="263" t="s">
        <v>69</v>
      </c>
      <c r="T101" s="263" t="s">
        <v>70</v>
      </c>
      <c r="U101" s="264" t="s">
        <v>70</v>
      </c>
      <c r="V101" s="263" t="s">
        <v>69</v>
      </c>
      <c r="W101" s="263" t="s">
        <v>69</v>
      </c>
      <c r="X101" s="263" t="s">
        <v>70</v>
      </c>
      <c r="Y101" s="264" t="s">
        <v>69</v>
      </c>
    </row>
    <row r="102" ht="18.75" customHeight="1">
      <c r="A102" s="88"/>
      <c r="B102" s="71"/>
      <c r="C102" s="273" t="s">
        <v>132</v>
      </c>
      <c r="D102" s="272" t="s">
        <v>70</v>
      </c>
      <c r="E102" s="272" t="s">
        <v>70</v>
      </c>
      <c r="F102" s="270" t="s">
        <v>69</v>
      </c>
      <c r="G102" s="272" t="s">
        <v>70</v>
      </c>
      <c r="H102" s="258" t="s">
        <v>69</v>
      </c>
      <c r="I102" s="258" t="s">
        <v>69</v>
      </c>
      <c r="J102" s="258" t="s">
        <v>69</v>
      </c>
      <c r="K102" s="272" t="s">
        <v>70</v>
      </c>
      <c r="L102" s="258" t="s">
        <v>69</v>
      </c>
      <c r="M102" s="258" t="s">
        <v>69</v>
      </c>
      <c r="N102" s="258" t="s">
        <v>69</v>
      </c>
      <c r="O102" s="258" t="s">
        <v>69</v>
      </c>
      <c r="P102" s="258" t="s">
        <v>69</v>
      </c>
      <c r="Q102" s="258" t="s">
        <v>69</v>
      </c>
      <c r="R102" s="259" t="s">
        <v>69</v>
      </c>
      <c r="S102" s="263" t="s">
        <v>69</v>
      </c>
      <c r="T102" s="263" t="s">
        <v>70</v>
      </c>
      <c r="U102" s="264" t="s">
        <v>70</v>
      </c>
      <c r="V102" s="263" t="s">
        <v>69</v>
      </c>
      <c r="W102" s="263" t="s">
        <v>70</v>
      </c>
      <c r="X102" s="263" t="s">
        <v>70</v>
      </c>
      <c r="Y102" s="264" t="s">
        <v>69</v>
      </c>
    </row>
    <row r="103" ht="18.75" customHeight="1">
      <c r="A103" s="88"/>
      <c r="B103" s="66"/>
      <c r="C103" s="96" t="s">
        <v>45</v>
      </c>
      <c r="D103" s="272" t="s">
        <v>70</v>
      </c>
      <c r="E103" s="258" t="s">
        <v>69</v>
      </c>
      <c r="F103" s="258" t="s">
        <v>69</v>
      </c>
      <c r="G103" s="272" t="s">
        <v>70</v>
      </c>
      <c r="H103" s="258" t="s">
        <v>69</v>
      </c>
      <c r="I103" s="258" t="s">
        <v>69</v>
      </c>
      <c r="J103" s="258" t="s">
        <v>69</v>
      </c>
      <c r="K103" s="258" t="s">
        <v>69</v>
      </c>
      <c r="L103" s="258" t="s">
        <v>69</v>
      </c>
      <c r="M103" s="258" t="s">
        <v>69</v>
      </c>
      <c r="N103" s="272" t="s">
        <v>70</v>
      </c>
      <c r="O103" s="258" t="s">
        <v>69</v>
      </c>
      <c r="P103" s="258" t="s">
        <v>69</v>
      </c>
      <c r="Q103" s="258" t="s">
        <v>69</v>
      </c>
      <c r="R103" s="274" t="s">
        <v>100</v>
      </c>
      <c r="S103" s="263" t="s">
        <v>69</v>
      </c>
      <c r="T103" s="263" t="s">
        <v>70</v>
      </c>
      <c r="U103" s="264" t="s">
        <v>70</v>
      </c>
      <c r="V103" s="260" t="s">
        <v>69</v>
      </c>
      <c r="W103" s="267" t="s">
        <v>70</v>
      </c>
      <c r="X103" s="266" t="s">
        <v>69</v>
      </c>
      <c r="Y103" s="275" t="s">
        <v>70</v>
      </c>
    </row>
    <row r="104" ht="18.75" customHeight="1">
      <c r="A104" s="88"/>
      <c r="B104" s="190" t="s">
        <v>133</v>
      </c>
      <c r="C104" s="121" t="s">
        <v>64</v>
      </c>
      <c r="D104" s="272" t="s">
        <v>70</v>
      </c>
      <c r="E104" s="272" t="s">
        <v>70</v>
      </c>
      <c r="F104" s="270" t="s">
        <v>69</v>
      </c>
      <c r="G104" s="272" t="s">
        <v>70</v>
      </c>
      <c r="H104" s="258" t="s">
        <v>69</v>
      </c>
      <c r="I104" s="270" t="s">
        <v>99</v>
      </c>
      <c r="J104" s="258" t="s">
        <v>69</v>
      </c>
      <c r="K104" s="257" t="s">
        <v>70</v>
      </c>
      <c r="L104" s="258" t="s">
        <v>69</v>
      </c>
      <c r="M104" s="258" t="s">
        <v>69</v>
      </c>
      <c r="N104" s="258" t="s">
        <v>69</v>
      </c>
      <c r="O104" s="258" t="s">
        <v>69</v>
      </c>
      <c r="P104" s="257" t="s">
        <v>70</v>
      </c>
      <c r="Q104" s="257" t="s">
        <v>70</v>
      </c>
      <c r="R104" s="259" t="s">
        <v>69</v>
      </c>
      <c r="S104" s="263" t="s">
        <v>69</v>
      </c>
      <c r="T104" s="263" t="s">
        <v>99</v>
      </c>
      <c r="U104" s="264" t="s">
        <v>69</v>
      </c>
      <c r="V104" s="263" t="s">
        <v>69</v>
      </c>
      <c r="W104" s="263" t="s">
        <v>70</v>
      </c>
      <c r="X104" s="263" t="s">
        <v>70</v>
      </c>
      <c r="Y104" s="264" t="s">
        <v>69</v>
      </c>
    </row>
    <row r="105" ht="18.75" customHeight="1">
      <c r="A105" s="88"/>
      <c r="B105" s="71"/>
      <c r="C105" s="276" t="s">
        <v>106</v>
      </c>
      <c r="D105" s="258" t="s">
        <v>69</v>
      </c>
      <c r="E105" s="257" t="s">
        <v>70</v>
      </c>
      <c r="F105" s="277" t="s">
        <v>69</v>
      </c>
      <c r="G105" s="267" t="s">
        <v>70</v>
      </c>
      <c r="H105" s="257" t="s">
        <v>70</v>
      </c>
      <c r="I105" s="258" t="s">
        <v>69</v>
      </c>
      <c r="J105" s="258" t="s">
        <v>69</v>
      </c>
      <c r="K105" s="257" t="s">
        <v>70</v>
      </c>
      <c r="L105" s="258" t="s">
        <v>69</v>
      </c>
      <c r="M105" s="258" t="s">
        <v>69</v>
      </c>
      <c r="N105" s="258" t="s">
        <v>69</v>
      </c>
      <c r="O105" s="258" t="s">
        <v>69</v>
      </c>
      <c r="P105" s="257" t="s">
        <v>70</v>
      </c>
      <c r="Q105" s="257" t="s">
        <v>70</v>
      </c>
      <c r="R105" s="259" t="s">
        <v>69</v>
      </c>
      <c r="S105" s="263" t="s">
        <v>69</v>
      </c>
      <c r="T105" s="263" t="s">
        <v>69</v>
      </c>
      <c r="U105" s="264" t="s">
        <v>69</v>
      </c>
      <c r="V105" s="263" t="s">
        <v>69</v>
      </c>
      <c r="W105" s="263" t="s">
        <v>70</v>
      </c>
      <c r="X105" s="263" t="s">
        <v>70</v>
      </c>
      <c r="Y105" s="264" t="s">
        <v>69</v>
      </c>
    </row>
    <row r="106" ht="18.75" customHeight="1">
      <c r="A106" s="88"/>
      <c r="B106" s="66"/>
      <c r="C106" s="278" t="s">
        <v>66</v>
      </c>
      <c r="D106" s="258" t="s">
        <v>69</v>
      </c>
      <c r="E106" s="257" t="s">
        <v>70</v>
      </c>
      <c r="F106" s="258" t="s">
        <v>69</v>
      </c>
      <c r="G106" s="257" t="s">
        <v>70</v>
      </c>
      <c r="H106" s="258" t="s">
        <v>69</v>
      </c>
      <c r="I106" s="257" t="s">
        <v>70</v>
      </c>
      <c r="J106" s="258" t="s">
        <v>69</v>
      </c>
      <c r="K106" s="257" t="s">
        <v>70</v>
      </c>
      <c r="L106" s="277" t="s">
        <v>69</v>
      </c>
      <c r="M106" s="258" t="s">
        <v>69</v>
      </c>
      <c r="N106" s="258" t="s">
        <v>69</v>
      </c>
      <c r="O106" s="258" t="s">
        <v>69</v>
      </c>
      <c r="P106" s="257" t="s">
        <v>70</v>
      </c>
      <c r="Q106" s="257" t="s">
        <v>70</v>
      </c>
      <c r="R106" s="274" t="s">
        <v>100</v>
      </c>
      <c r="S106" s="263" t="s">
        <v>69</v>
      </c>
      <c r="T106" s="263" t="s">
        <v>69</v>
      </c>
      <c r="U106" s="264" t="s">
        <v>69</v>
      </c>
      <c r="V106" s="263" t="s">
        <v>69</v>
      </c>
      <c r="W106" s="263" t="s">
        <v>70</v>
      </c>
      <c r="X106" s="263" t="s">
        <v>70</v>
      </c>
      <c r="Y106" s="264" t="s">
        <v>69</v>
      </c>
    </row>
    <row r="107" ht="18.75" customHeight="1">
      <c r="A107" s="88"/>
      <c r="B107" s="102" t="s">
        <v>52</v>
      </c>
      <c r="C107" s="103" t="s">
        <v>53</v>
      </c>
      <c r="D107" s="258" t="s">
        <v>69</v>
      </c>
      <c r="E107" s="267" t="s">
        <v>70</v>
      </c>
      <c r="F107" s="267" t="s">
        <v>70</v>
      </c>
      <c r="G107" s="267" t="s">
        <v>70</v>
      </c>
      <c r="H107" s="267" t="s">
        <v>70</v>
      </c>
      <c r="I107" s="258" t="s">
        <v>69</v>
      </c>
      <c r="J107" s="258" t="s">
        <v>69</v>
      </c>
      <c r="K107" s="257" t="s">
        <v>70</v>
      </c>
      <c r="L107" s="258" t="s">
        <v>69</v>
      </c>
      <c r="M107" s="258" t="s">
        <v>69</v>
      </c>
      <c r="N107" s="258" t="s">
        <v>69</v>
      </c>
      <c r="O107" s="258" t="s">
        <v>69</v>
      </c>
      <c r="P107" s="257" t="s">
        <v>70</v>
      </c>
      <c r="Q107" s="257" t="s">
        <v>70</v>
      </c>
      <c r="R107" s="274" t="s">
        <v>100</v>
      </c>
      <c r="S107" s="279" t="s">
        <v>70</v>
      </c>
      <c r="T107" s="261" t="s">
        <v>69</v>
      </c>
      <c r="U107" s="262" t="s">
        <v>69</v>
      </c>
      <c r="V107" s="263" t="s">
        <v>69</v>
      </c>
      <c r="W107" s="263" t="s">
        <v>70</v>
      </c>
      <c r="X107" s="263" t="s">
        <v>70</v>
      </c>
      <c r="Y107" s="264" t="s">
        <v>69</v>
      </c>
    </row>
    <row r="108" ht="18.75" customHeight="1">
      <c r="A108" s="88"/>
      <c r="B108" s="71"/>
      <c r="C108" s="104" t="s">
        <v>54</v>
      </c>
      <c r="D108" s="258" t="s">
        <v>69</v>
      </c>
      <c r="E108" s="257" t="s">
        <v>70</v>
      </c>
      <c r="F108" s="257" t="s">
        <v>70</v>
      </c>
      <c r="G108" s="257" t="s">
        <v>70</v>
      </c>
      <c r="H108" s="257" t="s">
        <v>70</v>
      </c>
      <c r="I108" s="258" t="s">
        <v>69</v>
      </c>
      <c r="J108" s="258" t="s">
        <v>69</v>
      </c>
      <c r="K108" s="257" t="s">
        <v>70</v>
      </c>
      <c r="L108" s="258" t="s">
        <v>69</v>
      </c>
      <c r="M108" s="258" t="s">
        <v>69</v>
      </c>
      <c r="N108" s="258" t="s">
        <v>69</v>
      </c>
      <c r="O108" s="258" t="s">
        <v>69</v>
      </c>
      <c r="P108" s="258" t="s">
        <v>69</v>
      </c>
      <c r="Q108" s="258" t="s">
        <v>69</v>
      </c>
      <c r="R108" s="274" t="s">
        <v>100</v>
      </c>
      <c r="S108" s="279" t="s">
        <v>70</v>
      </c>
      <c r="T108" s="261" t="s">
        <v>69</v>
      </c>
      <c r="U108" s="262" t="s">
        <v>69</v>
      </c>
      <c r="V108" s="263" t="s">
        <v>69</v>
      </c>
      <c r="W108" s="263" t="s">
        <v>70</v>
      </c>
      <c r="X108" s="263" t="s">
        <v>70</v>
      </c>
      <c r="Y108" s="264" t="s">
        <v>69</v>
      </c>
    </row>
    <row r="109" ht="18.75" customHeight="1">
      <c r="A109" s="88"/>
      <c r="B109" s="66"/>
      <c r="C109" s="104" t="s">
        <v>55</v>
      </c>
      <c r="D109" s="280" t="s">
        <v>100</v>
      </c>
      <c r="E109" s="281" t="s">
        <v>100</v>
      </c>
      <c r="F109" s="281" t="s">
        <v>100</v>
      </c>
      <c r="G109" s="281" t="s">
        <v>100</v>
      </c>
      <c r="H109" s="281" t="s">
        <v>100</v>
      </c>
      <c r="I109" s="281" t="s">
        <v>100</v>
      </c>
      <c r="J109" s="281" t="s">
        <v>100</v>
      </c>
      <c r="K109" s="281" t="s">
        <v>100</v>
      </c>
      <c r="L109" s="281" t="s">
        <v>100</v>
      </c>
      <c r="M109" s="281" t="s">
        <v>100</v>
      </c>
      <c r="N109" s="281" t="s">
        <v>100</v>
      </c>
      <c r="O109" s="281" t="s">
        <v>100</v>
      </c>
      <c r="P109" s="281" t="s">
        <v>100</v>
      </c>
      <c r="Q109" s="281" t="s">
        <v>100</v>
      </c>
      <c r="R109" s="282" t="s">
        <v>100</v>
      </c>
      <c r="S109" s="263" t="s">
        <v>100</v>
      </c>
      <c r="T109" s="263" t="s">
        <v>100</v>
      </c>
      <c r="U109" s="264" t="s">
        <v>100</v>
      </c>
      <c r="V109" s="263" t="s">
        <v>69</v>
      </c>
      <c r="W109" s="263" t="s">
        <v>70</v>
      </c>
      <c r="X109" s="263" t="s">
        <v>70</v>
      </c>
      <c r="Y109" s="264" t="s">
        <v>69</v>
      </c>
    </row>
    <row r="110" ht="3.75" customHeight="1">
      <c r="A110" s="107"/>
      <c r="B110" s="108"/>
      <c r="C110" s="109"/>
      <c r="D110" s="283"/>
      <c r="E110" s="283"/>
      <c r="F110" s="283"/>
      <c r="G110" s="283"/>
      <c r="H110" s="283"/>
      <c r="I110" s="283"/>
      <c r="J110" s="283"/>
      <c r="K110" s="283"/>
      <c r="L110" s="283"/>
      <c r="M110" s="283"/>
      <c r="N110" s="283"/>
      <c r="O110" s="283"/>
      <c r="P110" s="283"/>
      <c r="Q110" s="283"/>
      <c r="R110" s="284"/>
      <c r="S110" s="283"/>
      <c r="T110" s="283"/>
      <c r="U110" s="284"/>
      <c r="V110" s="283"/>
      <c r="W110" s="283"/>
      <c r="X110" s="283"/>
      <c r="Y110" s="284"/>
    </row>
    <row r="111" ht="18.75" customHeight="1">
      <c r="A111" s="183" t="s">
        <v>56</v>
      </c>
      <c r="B111" s="184" t="s">
        <v>57</v>
      </c>
      <c r="C111" s="285" t="s">
        <v>60</v>
      </c>
      <c r="D111" s="258" t="s">
        <v>69</v>
      </c>
      <c r="E111" s="257" t="s">
        <v>70</v>
      </c>
      <c r="F111" s="277" t="s">
        <v>69</v>
      </c>
      <c r="G111" s="267" t="s">
        <v>70</v>
      </c>
      <c r="H111" s="258" t="s">
        <v>69</v>
      </c>
      <c r="I111" s="258" t="s">
        <v>69</v>
      </c>
      <c r="J111" s="258" t="s">
        <v>69</v>
      </c>
      <c r="K111" s="257" t="s">
        <v>70</v>
      </c>
      <c r="L111" s="258" t="s">
        <v>69</v>
      </c>
      <c r="M111" s="258" t="s">
        <v>69</v>
      </c>
      <c r="N111" s="258" t="s">
        <v>69</v>
      </c>
      <c r="O111" s="257" t="s">
        <v>70</v>
      </c>
      <c r="P111" s="270" t="s">
        <v>99</v>
      </c>
      <c r="Q111" s="258" t="s">
        <v>69</v>
      </c>
      <c r="R111" s="259" t="s">
        <v>69</v>
      </c>
      <c r="S111" s="260" t="s">
        <v>69</v>
      </c>
      <c r="T111" s="261" t="s">
        <v>69</v>
      </c>
      <c r="U111" s="275" t="s">
        <v>70</v>
      </c>
      <c r="V111" s="263" t="s">
        <v>69</v>
      </c>
      <c r="W111" s="263" t="s">
        <v>69</v>
      </c>
      <c r="X111" s="263" t="s">
        <v>69</v>
      </c>
      <c r="Y111" s="264" t="s">
        <v>99</v>
      </c>
    </row>
    <row r="112" ht="18.75" customHeight="1">
      <c r="A112" s="88"/>
      <c r="B112" s="71"/>
      <c r="C112" s="286" t="s">
        <v>59</v>
      </c>
      <c r="D112" s="272" t="s">
        <v>70</v>
      </c>
      <c r="E112" s="272" t="s">
        <v>70</v>
      </c>
      <c r="F112" s="270" t="s">
        <v>69</v>
      </c>
      <c r="G112" s="272" t="s">
        <v>70</v>
      </c>
      <c r="H112" s="258" t="s">
        <v>69</v>
      </c>
      <c r="I112" s="258" t="s">
        <v>69</v>
      </c>
      <c r="J112" s="258" t="s">
        <v>69</v>
      </c>
      <c r="K112" s="270" t="s">
        <v>70</v>
      </c>
      <c r="L112" s="258" t="s">
        <v>69</v>
      </c>
      <c r="M112" s="258" t="s">
        <v>69</v>
      </c>
      <c r="N112" s="258" t="s">
        <v>69</v>
      </c>
      <c r="O112" s="258" t="s">
        <v>69</v>
      </c>
      <c r="P112" s="270" t="s">
        <v>99</v>
      </c>
      <c r="Q112" s="258" t="s">
        <v>69</v>
      </c>
      <c r="R112" s="259" t="s">
        <v>69</v>
      </c>
      <c r="S112" s="260" t="s">
        <v>69</v>
      </c>
      <c r="T112" s="257" t="s">
        <v>70</v>
      </c>
      <c r="U112" s="262" t="s">
        <v>69</v>
      </c>
      <c r="V112" s="263" t="s">
        <v>69</v>
      </c>
      <c r="W112" s="263" t="s">
        <v>69</v>
      </c>
      <c r="X112" s="263" t="s">
        <v>69</v>
      </c>
      <c r="Y112" s="264" t="s">
        <v>70</v>
      </c>
    </row>
    <row r="113" ht="18.75" customHeight="1">
      <c r="A113" s="88"/>
      <c r="B113" s="71"/>
      <c r="C113" s="286" t="s">
        <v>102</v>
      </c>
      <c r="D113" s="258" t="s">
        <v>69</v>
      </c>
      <c r="E113" s="257" t="s">
        <v>70</v>
      </c>
      <c r="F113" s="277" t="s">
        <v>69</v>
      </c>
      <c r="G113" s="267" t="s">
        <v>70</v>
      </c>
      <c r="H113" s="258" t="s">
        <v>69</v>
      </c>
      <c r="I113" s="258" t="s">
        <v>69</v>
      </c>
      <c r="J113" s="258" t="s">
        <v>69</v>
      </c>
      <c r="K113" s="257" t="s">
        <v>70</v>
      </c>
      <c r="L113" s="258" t="s">
        <v>69</v>
      </c>
      <c r="M113" s="258" t="s">
        <v>69</v>
      </c>
      <c r="N113" s="258" t="s">
        <v>69</v>
      </c>
      <c r="O113" s="257" t="s">
        <v>70</v>
      </c>
      <c r="P113" s="258" t="s">
        <v>69</v>
      </c>
      <c r="Q113" s="258" t="s">
        <v>69</v>
      </c>
      <c r="R113" s="259" t="s">
        <v>69</v>
      </c>
      <c r="S113" s="260" t="s">
        <v>69</v>
      </c>
      <c r="T113" s="261" t="s">
        <v>69</v>
      </c>
      <c r="U113" s="275" t="s">
        <v>70</v>
      </c>
      <c r="V113" s="263" t="s">
        <v>69</v>
      </c>
      <c r="W113" s="263" t="s">
        <v>69</v>
      </c>
      <c r="X113" s="263" t="s">
        <v>69</v>
      </c>
      <c r="Y113" s="264" t="s">
        <v>99</v>
      </c>
    </row>
    <row r="114" ht="18.75" customHeight="1">
      <c r="A114" s="88"/>
      <c r="B114" s="71"/>
      <c r="C114" s="286" t="s">
        <v>103</v>
      </c>
      <c r="D114" s="270" t="s">
        <v>100</v>
      </c>
      <c r="E114" s="270" t="s">
        <v>100</v>
      </c>
      <c r="F114" s="270" t="s">
        <v>100</v>
      </c>
      <c r="G114" s="270" t="s">
        <v>100</v>
      </c>
      <c r="H114" s="270" t="s">
        <v>100</v>
      </c>
      <c r="I114" s="270" t="s">
        <v>100</v>
      </c>
      <c r="J114" s="270" t="s">
        <v>100</v>
      </c>
      <c r="K114" s="270" t="s">
        <v>100</v>
      </c>
      <c r="L114" s="270" t="s">
        <v>100</v>
      </c>
      <c r="M114" s="270" t="s">
        <v>100</v>
      </c>
      <c r="N114" s="270" t="s">
        <v>100</v>
      </c>
      <c r="O114" s="270" t="s">
        <v>100</v>
      </c>
      <c r="P114" s="270" t="s">
        <v>100</v>
      </c>
      <c r="Q114" s="270" t="s">
        <v>100</v>
      </c>
      <c r="R114" s="274" t="s">
        <v>100</v>
      </c>
      <c r="S114" s="263" t="s">
        <v>69</v>
      </c>
      <c r="T114" s="263" t="s">
        <v>69</v>
      </c>
      <c r="U114" s="264" t="s">
        <v>69</v>
      </c>
      <c r="V114" s="260" t="s">
        <v>69</v>
      </c>
      <c r="W114" s="261" t="s">
        <v>69</v>
      </c>
      <c r="X114" s="267" t="s">
        <v>70</v>
      </c>
      <c r="Y114" s="275" t="s">
        <v>70</v>
      </c>
    </row>
    <row r="115" ht="18.75" customHeight="1">
      <c r="A115" s="88"/>
      <c r="B115" s="66"/>
      <c r="C115" s="287" t="s">
        <v>105</v>
      </c>
      <c r="D115" s="270" t="s">
        <v>100</v>
      </c>
      <c r="E115" s="270" t="s">
        <v>100</v>
      </c>
      <c r="F115" s="270" t="s">
        <v>100</v>
      </c>
      <c r="G115" s="270" t="s">
        <v>100</v>
      </c>
      <c r="H115" s="270" t="s">
        <v>100</v>
      </c>
      <c r="I115" s="270" t="s">
        <v>100</v>
      </c>
      <c r="J115" s="270" t="s">
        <v>100</v>
      </c>
      <c r="K115" s="270" t="s">
        <v>100</v>
      </c>
      <c r="L115" s="270" t="s">
        <v>100</v>
      </c>
      <c r="M115" s="270" t="s">
        <v>100</v>
      </c>
      <c r="N115" s="270" t="s">
        <v>100</v>
      </c>
      <c r="O115" s="270" t="s">
        <v>100</v>
      </c>
      <c r="P115" s="270" t="s">
        <v>100</v>
      </c>
      <c r="Q115" s="270" t="s">
        <v>100</v>
      </c>
      <c r="R115" s="274" t="s">
        <v>100</v>
      </c>
      <c r="S115" s="260" t="s">
        <v>69</v>
      </c>
      <c r="T115" s="261" t="s">
        <v>69</v>
      </c>
      <c r="U115" s="275" t="s">
        <v>70</v>
      </c>
      <c r="V115" s="263" t="s">
        <v>69</v>
      </c>
      <c r="W115" s="263" t="s">
        <v>69</v>
      </c>
      <c r="X115" s="263" t="s">
        <v>69</v>
      </c>
      <c r="Y115" s="264" t="s">
        <v>70</v>
      </c>
    </row>
    <row r="116" ht="18.75" customHeight="1">
      <c r="A116" s="88"/>
      <c r="B116" s="98" t="s">
        <v>48</v>
      </c>
      <c r="C116" s="99" t="s">
        <v>49</v>
      </c>
      <c r="D116" s="272" t="s">
        <v>70</v>
      </c>
      <c r="E116" s="270" t="s">
        <v>69</v>
      </c>
      <c r="F116" s="272" t="s">
        <v>70</v>
      </c>
      <c r="G116" s="270" t="s">
        <v>69</v>
      </c>
      <c r="H116" s="272" t="s">
        <v>70</v>
      </c>
      <c r="I116" s="257" t="s">
        <v>70</v>
      </c>
      <c r="J116" s="258" t="s">
        <v>69</v>
      </c>
      <c r="K116" s="257" t="s">
        <v>70</v>
      </c>
      <c r="L116" s="258" t="s">
        <v>69</v>
      </c>
      <c r="M116" s="258" t="s">
        <v>69</v>
      </c>
      <c r="N116" s="258" t="s">
        <v>69</v>
      </c>
      <c r="O116" s="258" t="s">
        <v>69</v>
      </c>
      <c r="P116" s="257" t="s">
        <v>70</v>
      </c>
      <c r="Q116" s="257" t="s">
        <v>70</v>
      </c>
      <c r="R116" s="274" t="s">
        <v>100</v>
      </c>
      <c r="S116" s="263" t="s">
        <v>69</v>
      </c>
      <c r="T116" s="263" t="s">
        <v>69</v>
      </c>
      <c r="U116" s="264" t="s">
        <v>69</v>
      </c>
      <c r="V116" s="263" t="s">
        <v>99</v>
      </c>
      <c r="W116" s="263" t="s">
        <v>69</v>
      </c>
      <c r="X116" s="263" t="s">
        <v>70</v>
      </c>
      <c r="Y116" s="264" t="s">
        <v>69</v>
      </c>
    </row>
    <row r="117" ht="18.75" customHeight="1">
      <c r="A117" s="88"/>
      <c r="B117" s="71"/>
      <c r="C117" s="100" t="s">
        <v>50</v>
      </c>
      <c r="D117" s="272" t="s">
        <v>70</v>
      </c>
      <c r="E117" s="270" t="s">
        <v>69</v>
      </c>
      <c r="F117" s="272" t="s">
        <v>70</v>
      </c>
      <c r="G117" s="270" t="s">
        <v>69</v>
      </c>
      <c r="H117" s="272" t="s">
        <v>70</v>
      </c>
      <c r="I117" s="257" t="s">
        <v>70</v>
      </c>
      <c r="J117" s="258" t="s">
        <v>69</v>
      </c>
      <c r="K117" s="257" t="s">
        <v>70</v>
      </c>
      <c r="L117" s="258" t="s">
        <v>69</v>
      </c>
      <c r="M117" s="258" t="s">
        <v>69</v>
      </c>
      <c r="N117" s="258" t="s">
        <v>69</v>
      </c>
      <c r="O117" s="258" t="s">
        <v>69</v>
      </c>
      <c r="P117" s="257" t="s">
        <v>70</v>
      </c>
      <c r="Q117" s="257" t="s">
        <v>70</v>
      </c>
      <c r="R117" s="274" t="s">
        <v>100</v>
      </c>
      <c r="S117" s="263" t="s">
        <v>69</v>
      </c>
      <c r="T117" s="263" t="s">
        <v>69</v>
      </c>
      <c r="U117" s="264" t="s">
        <v>69</v>
      </c>
      <c r="V117" s="263" t="s">
        <v>100</v>
      </c>
      <c r="W117" s="263" t="s">
        <v>100</v>
      </c>
      <c r="X117" s="263" t="s">
        <v>100</v>
      </c>
      <c r="Y117" s="264" t="s">
        <v>100</v>
      </c>
    </row>
    <row r="118" ht="18.75" customHeight="1">
      <c r="A118" s="88"/>
      <c r="B118" s="66"/>
      <c r="C118" s="101" t="s">
        <v>51</v>
      </c>
      <c r="D118" s="288" t="s">
        <v>70</v>
      </c>
      <c r="E118" s="289" t="s">
        <v>69</v>
      </c>
      <c r="F118" s="290" t="s">
        <v>70</v>
      </c>
      <c r="G118" s="270" t="s">
        <v>69</v>
      </c>
      <c r="H118" s="272" t="s">
        <v>70</v>
      </c>
      <c r="I118" s="257" t="s">
        <v>70</v>
      </c>
      <c r="J118" s="258" t="s">
        <v>69</v>
      </c>
      <c r="K118" s="257" t="s">
        <v>70</v>
      </c>
      <c r="L118" s="258" t="s">
        <v>69</v>
      </c>
      <c r="M118" s="258" t="s">
        <v>69</v>
      </c>
      <c r="N118" s="258" t="s">
        <v>69</v>
      </c>
      <c r="O118" s="258" t="s">
        <v>69</v>
      </c>
      <c r="P118" s="257" t="s">
        <v>70</v>
      </c>
      <c r="Q118" s="257" t="s">
        <v>70</v>
      </c>
      <c r="R118" s="274" t="s">
        <v>100</v>
      </c>
      <c r="S118" s="260" t="s">
        <v>69</v>
      </c>
      <c r="T118" s="261" t="s">
        <v>69</v>
      </c>
      <c r="U118" s="262" t="s">
        <v>69</v>
      </c>
      <c r="V118" s="263" t="s">
        <v>99</v>
      </c>
      <c r="W118" s="263" t="s">
        <v>69</v>
      </c>
      <c r="X118" s="263" t="s">
        <v>70</v>
      </c>
      <c r="Y118" s="264" t="s">
        <v>69</v>
      </c>
    </row>
    <row r="119" ht="18.75" customHeight="1">
      <c r="A119" s="88"/>
      <c r="B119" s="291" t="s">
        <v>134</v>
      </c>
      <c r="C119" s="292" t="s">
        <v>135</v>
      </c>
      <c r="D119" s="293" t="s">
        <v>100</v>
      </c>
      <c r="E119" s="258" t="s">
        <v>69</v>
      </c>
      <c r="F119" s="258" t="s">
        <v>69</v>
      </c>
      <c r="G119" s="257" t="s">
        <v>70</v>
      </c>
      <c r="H119" s="258" t="s">
        <v>69</v>
      </c>
      <c r="I119" s="258" t="s">
        <v>69</v>
      </c>
      <c r="J119" s="258" t="s">
        <v>69</v>
      </c>
      <c r="K119" s="266" t="s">
        <v>99</v>
      </c>
      <c r="L119" s="258" t="s">
        <v>69</v>
      </c>
      <c r="M119" s="258" t="s">
        <v>69</v>
      </c>
      <c r="N119" s="258" t="s">
        <v>69</v>
      </c>
      <c r="O119" s="258" t="s">
        <v>69</v>
      </c>
      <c r="P119" s="258" t="s">
        <v>69</v>
      </c>
      <c r="Q119" s="258" t="s">
        <v>69</v>
      </c>
      <c r="R119" s="259" t="s">
        <v>69</v>
      </c>
      <c r="S119" s="263" t="s">
        <v>69</v>
      </c>
      <c r="T119" s="263" t="s">
        <v>70</v>
      </c>
      <c r="U119" s="264" t="s">
        <v>70</v>
      </c>
      <c r="V119" s="260" t="s">
        <v>69</v>
      </c>
      <c r="W119" s="267" t="s">
        <v>70</v>
      </c>
      <c r="X119" s="266" t="s">
        <v>69</v>
      </c>
      <c r="Y119" s="275" t="s">
        <v>70</v>
      </c>
    </row>
    <row r="120" ht="18.75" customHeight="1">
      <c r="A120" s="106"/>
      <c r="B120" s="66"/>
      <c r="C120" s="294" t="s">
        <v>67</v>
      </c>
      <c r="D120" s="289" t="s">
        <v>69</v>
      </c>
      <c r="E120" s="258" t="s">
        <v>69</v>
      </c>
      <c r="F120" s="258" t="s">
        <v>69</v>
      </c>
      <c r="G120" s="266" t="s">
        <v>99</v>
      </c>
      <c r="H120" s="258" t="s">
        <v>69</v>
      </c>
      <c r="I120" s="258" t="s">
        <v>69</v>
      </c>
      <c r="J120" s="258" t="s">
        <v>69</v>
      </c>
      <c r="K120" s="266" t="s">
        <v>99</v>
      </c>
      <c r="L120" s="258" t="s">
        <v>69</v>
      </c>
      <c r="M120" s="258" t="s">
        <v>69</v>
      </c>
      <c r="N120" s="258" t="s">
        <v>69</v>
      </c>
      <c r="O120" s="258" t="s">
        <v>69</v>
      </c>
      <c r="P120" s="258" t="s">
        <v>69</v>
      </c>
      <c r="Q120" s="258" t="s">
        <v>69</v>
      </c>
      <c r="R120" s="259" t="s">
        <v>69</v>
      </c>
      <c r="S120" s="263" t="s">
        <v>69</v>
      </c>
      <c r="T120" s="263" t="s">
        <v>70</v>
      </c>
      <c r="U120" s="264" t="s">
        <v>70</v>
      </c>
      <c r="V120" s="260" t="s">
        <v>69</v>
      </c>
      <c r="W120" s="267" t="s">
        <v>70</v>
      </c>
      <c r="X120" s="266" t="s">
        <v>69</v>
      </c>
      <c r="Y120" s="275" t="s">
        <v>70</v>
      </c>
    </row>
    <row r="121" ht="6.0" customHeight="1">
      <c r="A121" s="126"/>
      <c r="B121" s="82"/>
      <c r="C121" s="127"/>
      <c r="D121" s="126"/>
      <c r="E121" s="82"/>
      <c r="F121" s="82"/>
      <c r="G121" s="82"/>
      <c r="H121" s="82"/>
      <c r="I121" s="82"/>
      <c r="J121" s="82"/>
      <c r="K121" s="82"/>
      <c r="L121" s="82"/>
      <c r="M121" s="82"/>
      <c r="N121" s="82"/>
      <c r="O121" s="82"/>
      <c r="P121" s="82"/>
      <c r="Q121" s="82"/>
      <c r="R121" s="82"/>
      <c r="S121" s="82"/>
      <c r="T121" s="82"/>
      <c r="U121" s="82"/>
      <c r="V121" s="82"/>
      <c r="W121" s="82"/>
      <c r="X121" s="82"/>
      <c r="Y121" s="127"/>
    </row>
    <row r="122" ht="18.75" customHeight="1">
      <c r="A122" s="202" t="s">
        <v>68</v>
      </c>
      <c r="B122" s="203" t="s">
        <v>69</v>
      </c>
      <c r="C122" s="204"/>
      <c r="D122" s="205">
        <f t="shared" ref="D122:Y122" si="15">COUNTIF(D92:D120,"Voor")</f>
        <v>7</v>
      </c>
      <c r="E122" s="205">
        <f t="shared" si="15"/>
        <v>6</v>
      </c>
      <c r="F122" s="205">
        <f t="shared" si="15"/>
        <v>11</v>
      </c>
      <c r="G122" s="205">
        <f t="shared" si="15"/>
        <v>3</v>
      </c>
      <c r="H122" s="205">
        <f t="shared" si="15"/>
        <v>16</v>
      </c>
      <c r="I122" s="205">
        <f t="shared" si="15"/>
        <v>13</v>
      </c>
      <c r="J122" s="205">
        <f t="shared" si="15"/>
        <v>22</v>
      </c>
      <c r="K122" s="205">
        <f t="shared" si="15"/>
        <v>1</v>
      </c>
      <c r="L122" s="205">
        <f t="shared" si="15"/>
        <v>22</v>
      </c>
      <c r="M122" s="205">
        <f t="shared" si="15"/>
        <v>20</v>
      </c>
      <c r="N122" s="205">
        <f t="shared" si="15"/>
        <v>19</v>
      </c>
      <c r="O122" s="205">
        <f t="shared" si="15"/>
        <v>19</v>
      </c>
      <c r="P122" s="205">
        <f t="shared" si="15"/>
        <v>7</v>
      </c>
      <c r="Q122" s="205">
        <f t="shared" si="15"/>
        <v>9</v>
      </c>
      <c r="R122" s="205">
        <f t="shared" si="15"/>
        <v>15</v>
      </c>
      <c r="S122" s="205">
        <f t="shared" si="15"/>
        <v>22</v>
      </c>
      <c r="T122" s="205">
        <f t="shared" si="15"/>
        <v>17</v>
      </c>
      <c r="U122" s="205">
        <f t="shared" si="15"/>
        <v>16</v>
      </c>
      <c r="V122" s="205">
        <f t="shared" si="15"/>
        <v>22</v>
      </c>
      <c r="W122" s="205">
        <f t="shared" si="15"/>
        <v>10</v>
      </c>
      <c r="X122" s="205">
        <f t="shared" si="15"/>
        <v>7</v>
      </c>
      <c r="Y122" s="205">
        <f t="shared" si="15"/>
        <v>16</v>
      </c>
    </row>
    <row r="123" ht="18.75" customHeight="1">
      <c r="B123" s="211" t="s">
        <v>70</v>
      </c>
      <c r="D123" s="212">
        <f t="shared" ref="D123:Y123" si="16">COUNTIF(D92:D120,"Tegen")</f>
        <v>14</v>
      </c>
      <c r="E123" s="212">
        <f t="shared" si="16"/>
        <v>16</v>
      </c>
      <c r="F123" s="212">
        <f t="shared" si="16"/>
        <v>11</v>
      </c>
      <c r="G123" s="212">
        <f t="shared" si="16"/>
        <v>18</v>
      </c>
      <c r="H123" s="212">
        <f t="shared" si="16"/>
        <v>6</v>
      </c>
      <c r="I123" s="212">
        <f t="shared" si="16"/>
        <v>8</v>
      </c>
      <c r="J123" s="212">
        <f t="shared" si="16"/>
        <v>0</v>
      </c>
      <c r="K123" s="212">
        <f t="shared" si="16"/>
        <v>19</v>
      </c>
      <c r="L123" s="212">
        <f t="shared" si="16"/>
        <v>0</v>
      </c>
      <c r="M123" s="212">
        <f t="shared" si="16"/>
        <v>2</v>
      </c>
      <c r="N123" s="212">
        <f t="shared" si="16"/>
        <v>2</v>
      </c>
      <c r="O123" s="212">
        <f t="shared" si="16"/>
        <v>3</v>
      </c>
      <c r="P123" s="212">
        <f t="shared" si="16"/>
        <v>13</v>
      </c>
      <c r="Q123" s="212">
        <f t="shared" si="16"/>
        <v>13</v>
      </c>
      <c r="R123" s="212">
        <f t="shared" si="16"/>
        <v>0</v>
      </c>
      <c r="S123" s="212">
        <f t="shared" si="16"/>
        <v>2</v>
      </c>
      <c r="T123" s="212">
        <f t="shared" si="16"/>
        <v>6</v>
      </c>
      <c r="U123" s="212">
        <f t="shared" si="16"/>
        <v>8</v>
      </c>
      <c r="V123" s="212">
        <f t="shared" si="16"/>
        <v>0</v>
      </c>
      <c r="W123" s="212">
        <f t="shared" si="16"/>
        <v>12</v>
      </c>
      <c r="X123" s="212">
        <f t="shared" si="16"/>
        <v>17</v>
      </c>
      <c r="Y123" s="212">
        <f t="shared" si="16"/>
        <v>6</v>
      </c>
    </row>
    <row r="124" ht="18.75" customHeight="1">
      <c r="B124" s="218" t="s">
        <v>71</v>
      </c>
      <c r="D124" s="219">
        <f t="shared" ref="D124:Y124" si="17">COUNTIF(D92:D120,"SO")</f>
        <v>0</v>
      </c>
      <c r="E124" s="219">
        <f t="shared" si="17"/>
        <v>0</v>
      </c>
      <c r="F124" s="219">
        <f t="shared" si="17"/>
        <v>0</v>
      </c>
      <c r="G124" s="219">
        <f t="shared" si="17"/>
        <v>1</v>
      </c>
      <c r="H124" s="219">
        <f t="shared" si="17"/>
        <v>0</v>
      </c>
      <c r="I124" s="219">
        <f t="shared" si="17"/>
        <v>1</v>
      </c>
      <c r="J124" s="219">
        <f t="shared" si="17"/>
        <v>0</v>
      </c>
      <c r="K124" s="219">
        <f t="shared" si="17"/>
        <v>2</v>
      </c>
      <c r="L124" s="219">
        <f t="shared" si="17"/>
        <v>0</v>
      </c>
      <c r="M124" s="219">
        <f t="shared" si="17"/>
        <v>0</v>
      </c>
      <c r="N124" s="219">
        <f t="shared" si="17"/>
        <v>1</v>
      </c>
      <c r="O124" s="219">
        <f t="shared" si="17"/>
        <v>0</v>
      </c>
      <c r="P124" s="219">
        <f t="shared" si="17"/>
        <v>2</v>
      </c>
      <c r="Q124" s="219">
        <f t="shared" si="17"/>
        <v>0</v>
      </c>
      <c r="R124" s="219">
        <f t="shared" si="17"/>
        <v>0</v>
      </c>
      <c r="S124" s="219">
        <f t="shared" si="17"/>
        <v>0</v>
      </c>
      <c r="T124" s="219">
        <f t="shared" si="17"/>
        <v>1</v>
      </c>
      <c r="U124" s="219">
        <f t="shared" si="17"/>
        <v>0</v>
      </c>
      <c r="V124" s="219">
        <f t="shared" si="17"/>
        <v>2</v>
      </c>
      <c r="W124" s="219">
        <f t="shared" si="17"/>
        <v>2</v>
      </c>
      <c r="X124" s="219">
        <f t="shared" si="17"/>
        <v>0</v>
      </c>
      <c r="Y124" s="219">
        <f t="shared" si="17"/>
        <v>2</v>
      </c>
    </row>
    <row r="125" ht="18.75" customHeight="1">
      <c r="B125" s="225" t="s">
        <v>72</v>
      </c>
      <c r="D125" s="226">
        <f t="shared" ref="D125:Y125" si="18">COUNTIF(D92:D120,"NG")</f>
        <v>4</v>
      </c>
      <c r="E125" s="226">
        <f t="shared" si="18"/>
        <v>3</v>
      </c>
      <c r="F125" s="226">
        <f t="shared" si="18"/>
        <v>3</v>
      </c>
      <c r="G125" s="226">
        <f t="shared" si="18"/>
        <v>3</v>
      </c>
      <c r="H125" s="226">
        <f t="shared" si="18"/>
        <v>3</v>
      </c>
      <c r="I125" s="226">
        <f t="shared" si="18"/>
        <v>3</v>
      </c>
      <c r="J125" s="226">
        <f t="shared" si="18"/>
        <v>3</v>
      </c>
      <c r="K125" s="226">
        <f t="shared" si="18"/>
        <v>3</v>
      </c>
      <c r="L125" s="226">
        <f t="shared" si="18"/>
        <v>3</v>
      </c>
      <c r="M125" s="226">
        <f t="shared" si="18"/>
        <v>3</v>
      </c>
      <c r="N125" s="226">
        <f t="shared" si="18"/>
        <v>3</v>
      </c>
      <c r="O125" s="226">
        <f t="shared" si="18"/>
        <v>3</v>
      </c>
      <c r="P125" s="226">
        <f t="shared" si="18"/>
        <v>3</v>
      </c>
      <c r="Q125" s="226">
        <f t="shared" si="18"/>
        <v>3</v>
      </c>
      <c r="R125" s="226">
        <f t="shared" si="18"/>
        <v>10</v>
      </c>
      <c r="S125" s="226">
        <f t="shared" si="18"/>
        <v>1</v>
      </c>
      <c r="T125" s="226">
        <f t="shared" si="18"/>
        <v>1</v>
      </c>
      <c r="U125" s="226">
        <f t="shared" si="18"/>
        <v>1</v>
      </c>
      <c r="V125" s="226">
        <f t="shared" si="18"/>
        <v>1</v>
      </c>
      <c r="W125" s="226">
        <f t="shared" si="18"/>
        <v>1</v>
      </c>
      <c r="X125" s="226">
        <f t="shared" si="18"/>
        <v>1</v>
      </c>
      <c r="Y125" s="226">
        <f t="shared" si="18"/>
        <v>1</v>
      </c>
    </row>
    <row r="126" ht="18.75" customHeight="1">
      <c r="B126" s="232" t="s">
        <v>73</v>
      </c>
      <c r="D126" s="233">
        <f t="shared" ref="D126:Y126" si="19">SUM(D122:D125)</f>
        <v>25</v>
      </c>
      <c r="E126" s="233">
        <f t="shared" si="19"/>
        <v>25</v>
      </c>
      <c r="F126" s="233">
        <f t="shared" si="19"/>
        <v>25</v>
      </c>
      <c r="G126" s="233">
        <f t="shared" si="19"/>
        <v>25</v>
      </c>
      <c r="H126" s="233">
        <f t="shared" si="19"/>
        <v>25</v>
      </c>
      <c r="I126" s="233">
        <f t="shared" si="19"/>
        <v>25</v>
      </c>
      <c r="J126" s="233">
        <f t="shared" si="19"/>
        <v>25</v>
      </c>
      <c r="K126" s="233">
        <f t="shared" si="19"/>
        <v>25</v>
      </c>
      <c r="L126" s="233">
        <f t="shared" si="19"/>
        <v>25</v>
      </c>
      <c r="M126" s="233">
        <f t="shared" si="19"/>
        <v>25</v>
      </c>
      <c r="N126" s="233">
        <f t="shared" si="19"/>
        <v>25</v>
      </c>
      <c r="O126" s="233">
        <f t="shared" si="19"/>
        <v>25</v>
      </c>
      <c r="P126" s="233">
        <f t="shared" si="19"/>
        <v>25</v>
      </c>
      <c r="Q126" s="233">
        <f t="shared" si="19"/>
        <v>25</v>
      </c>
      <c r="R126" s="233">
        <f t="shared" si="19"/>
        <v>25</v>
      </c>
      <c r="S126" s="233">
        <f t="shared" si="19"/>
        <v>25</v>
      </c>
      <c r="T126" s="233">
        <f t="shared" si="19"/>
        <v>25</v>
      </c>
      <c r="U126" s="233">
        <f t="shared" si="19"/>
        <v>25</v>
      </c>
      <c r="V126" s="233">
        <f t="shared" si="19"/>
        <v>25</v>
      </c>
      <c r="W126" s="233">
        <f t="shared" si="19"/>
        <v>25</v>
      </c>
      <c r="X126" s="233">
        <f t="shared" si="19"/>
        <v>25</v>
      </c>
      <c r="Y126" s="233">
        <f t="shared" si="19"/>
        <v>25</v>
      </c>
    </row>
    <row r="127" ht="18.75" customHeight="1">
      <c r="B127" s="239" t="s">
        <v>74</v>
      </c>
      <c r="D127" s="240">
        <f t="shared" ref="D127:Y127" si="20">D122+D123+D124</f>
        <v>21</v>
      </c>
      <c r="E127" s="240">
        <f t="shared" si="20"/>
        <v>22</v>
      </c>
      <c r="F127" s="240">
        <f t="shared" si="20"/>
        <v>22</v>
      </c>
      <c r="G127" s="240">
        <f t="shared" si="20"/>
        <v>22</v>
      </c>
      <c r="H127" s="240">
        <f t="shared" si="20"/>
        <v>22</v>
      </c>
      <c r="I127" s="240">
        <f t="shared" si="20"/>
        <v>22</v>
      </c>
      <c r="J127" s="240">
        <f t="shared" si="20"/>
        <v>22</v>
      </c>
      <c r="K127" s="240">
        <f t="shared" si="20"/>
        <v>22</v>
      </c>
      <c r="L127" s="240">
        <f t="shared" si="20"/>
        <v>22</v>
      </c>
      <c r="M127" s="240">
        <f t="shared" si="20"/>
        <v>22</v>
      </c>
      <c r="N127" s="240">
        <f t="shared" si="20"/>
        <v>22</v>
      </c>
      <c r="O127" s="240">
        <f t="shared" si="20"/>
        <v>22</v>
      </c>
      <c r="P127" s="240">
        <f t="shared" si="20"/>
        <v>22</v>
      </c>
      <c r="Q127" s="240">
        <f t="shared" si="20"/>
        <v>22</v>
      </c>
      <c r="R127" s="240">
        <f t="shared" si="20"/>
        <v>15</v>
      </c>
      <c r="S127" s="240">
        <f t="shared" si="20"/>
        <v>24</v>
      </c>
      <c r="T127" s="240">
        <f t="shared" si="20"/>
        <v>24</v>
      </c>
      <c r="U127" s="240">
        <f t="shared" si="20"/>
        <v>24</v>
      </c>
      <c r="V127" s="240">
        <f t="shared" si="20"/>
        <v>24</v>
      </c>
      <c r="W127" s="240">
        <f t="shared" si="20"/>
        <v>24</v>
      </c>
      <c r="X127" s="240">
        <f t="shared" si="20"/>
        <v>24</v>
      </c>
      <c r="Y127" s="240">
        <f t="shared" si="20"/>
        <v>24</v>
      </c>
    </row>
    <row r="128" ht="18.75" customHeight="1">
      <c r="A128" s="65"/>
      <c r="B128" s="246" t="s">
        <v>75</v>
      </c>
      <c r="C128" s="65"/>
      <c r="D128" s="247">
        <f t="shared" ref="D128:Y128" si="21">IFERROR(D127/D126,"")</f>
        <v>0.84</v>
      </c>
      <c r="E128" s="247">
        <f t="shared" si="21"/>
        <v>0.88</v>
      </c>
      <c r="F128" s="247">
        <f t="shared" si="21"/>
        <v>0.88</v>
      </c>
      <c r="G128" s="247">
        <f t="shared" si="21"/>
        <v>0.88</v>
      </c>
      <c r="H128" s="247">
        <f t="shared" si="21"/>
        <v>0.88</v>
      </c>
      <c r="I128" s="247">
        <f t="shared" si="21"/>
        <v>0.88</v>
      </c>
      <c r="J128" s="247">
        <f t="shared" si="21"/>
        <v>0.88</v>
      </c>
      <c r="K128" s="247">
        <f t="shared" si="21"/>
        <v>0.88</v>
      </c>
      <c r="L128" s="247">
        <f t="shared" si="21"/>
        <v>0.88</v>
      </c>
      <c r="M128" s="247">
        <f t="shared" si="21"/>
        <v>0.88</v>
      </c>
      <c r="N128" s="247">
        <f t="shared" si="21"/>
        <v>0.88</v>
      </c>
      <c r="O128" s="247">
        <f t="shared" si="21"/>
        <v>0.88</v>
      </c>
      <c r="P128" s="247">
        <f t="shared" si="21"/>
        <v>0.88</v>
      </c>
      <c r="Q128" s="247">
        <f t="shared" si="21"/>
        <v>0.88</v>
      </c>
      <c r="R128" s="247">
        <f t="shared" si="21"/>
        <v>0.6</v>
      </c>
      <c r="S128" s="247">
        <f t="shared" si="21"/>
        <v>0.96</v>
      </c>
      <c r="T128" s="247">
        <f t="shared" si="21"/>
        <v>0.96</v>
      </c>
      <c r="U128" s="247">
        <f t="shared" si="21"/>
        <v>0.96</v>
      </c>
      <c r="V128" s="247">
        <f t="shared" si="21"/>
        <v>0.96</v>
      </c>
      <c r="W128" s="247">
        <f t="shared" si="21"/>
        <v>0.96</v>
      </c>
      <c r="X128" s="247">
        <f t="shared" si="21"/>
        <v>0.96</v>
      </c>
      <c r="Y128" s="247">
        <f t="shared" si="21"/>
        <v>0.96</v>
      </c>
    </row>
    <row r="129" ht="18.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8.75" customHeight="1">
      <c r="A130" s="7"/>
      <c r="B130" s="7"/>
      <c r="C130" s="7"/>
      <c r="D130" s="7"/>
      <c r="E130" s="60"/>
      <c r="F130" s="60"/>
      <c r="G130" s="60"/>
      <c r="H130" s="60"/>
      <c r="I130" s="7"/>
      <c r="J130" s="7"/>
      <c r="K130" s="7"/>
      <c r="L130" s="7"/>
      <c r="M130" s="7"/>
      <c r="N130" s="7"/>
      <c r="O130" s="7"/>
      <c r="P130" s="7"/>
      <c r="Q130" s="7"/>
      <c r="R130" s="7"/>
      <c r="S130" s="7"/>
      <c r="T130" s="7"/>
      <c r="U130" s="7"/>
      <c r="V130" s="7"/>
      <c r="W130" s="7"/>
      <c r="X130" s="7"/>
      <c r="Y130" s="7"/>
      <c r="Z130" s="7"/>
    </row>
    <row r="131" ht="18.75" customHeight="1">
      <c r="A131" s="7"/>
      <c r="B131" s="7"/>
      <c r="C131" s="7"/>
      <c r="D131" s="295"/>
      <c r="E131" s="296" t="s">
        <v>136</v>
      </c>
      <c r="F131" s="108"/>
      <c r="G131" s="108"/>
      <c r="H131" s="109"/>
      <c r="I131" s="7"/>
      <c r="J131" s="7"/>
      <c r="K131" s="7"/>
      <c r="L131" s="7"/>
      <c r="M131" s="7"/>
      <c r="N131" s="7"/>
      <c r="O131" s="7"/>
      <c r="P131" s="7"/>
      <c r="Q131" s="7"/>
      <c r="R131" s="7"/>
      <c r="S131" s="7"/>
      <c r="T131" s="7"/>
      <c r="U131" s="7"/>
      <c r="V131" s="7"/>
      <c r="W131" s="7"/>
      <c r="X131" s="7"/>
      <c r="Y131" s="7"/>
      <c r="Z131" s="7"/>
    </row>
  </sheetData>
  <mergeCells count="71">
    <mergeCell ref="B88:C88"/>
    <mergeCell ref="A81:C81"/>
    <mergeCell ref="A82:A88"/>
    <mergeCell ref="A90:C90"/>
    <mergeCell ref="A94:C94"/>
    <mergeCell ref="A91:C92"/>
    <mergeCell ref="B119:B120"/>
    <mergeCell ref="B116:B118"/>
    <mergeCell ref="B101:B103"/>
    <mergeCell ref="B95:B100"/>
    <mergeCell ref="B107:B109"/>
    <mergeCell ref="B104:B106"/>
    <mergeCell ref="A95:A109"/>
    <mergeCell ref="A111:A120"/>
    <mergeCell ref="B111:B115"/>
    <mergeCell ref="A110:C110"/>
    <mergeCell ref="B123:C123"/>
    <mergeCell ref="A122:A128"/>
    <mergeCell ref="B128:C128"/>
    <mergeCell ref="B127:C127"/>
    <mergeCell ref="B126:C126"/>
    <mergeCell ref="D121:Y121"/>
    <mergeCell ref="E131:H131"/>
    <mergeCell ref="B122:C122"/>
    <mergeCell ref="A121:C121"/>
    <mergeCell ref="B25:B29"/>
    <mergeCell ref="A25:A33"/>
    <mergeCell ref="A44:C45"/>
    <mergeCell ref="B41:C41"/>
    <mergeCell ref="A43:C43"/>
    <mergeCell ref="B40:C40"/>
    <mergeCell ref="A24:C24"/>
    <mergeCell ref="D43:Z45"/>
    <mergeCell ref="B30:B33"/>
    <mergeCell ref="B36:C36"/>
    <mergeCell ref="A35:A41"/>
    <mergeCell ref="A34:C34"/>
    <mergeCell ref="B38:C38"/>
    <mergeCell ref="B37:C37"/>
    <mergeCell ref="A47:C47"/>
    <mergeCell ref="B62:B64"/>
    <mergeCell ref="B59:B61"/>
    <mergeCell ref="A48:A64"/>
    <mergeCell ref="B54:B58"/>
    <mergeCell ref="A65:C65"/>
    <mergeCell ref="B66:B73"/>
    <mergeCell ref="B74:B78"/>
    <mergeCell ref="D90:Y92"/>
    <mergeCell ref="D94:Y94"/>
    <mergeCell ref="B79:B80"/>
    <mergeCell ref="B82:C82"/>
    <mergeCell ref="B83:C83"/>
    <mergeCell ref="A66:A80"/>
    <mergeCell ref="B39:C39"/>
    <mergeCell ref="B35:C35"/>
    <mergeCell ref="B84:C84"/>
    <mergeCell ref="B87:C87"/>
    <mergeCell ref="B85:C85"/>
    <mergeCell ref="B86:C86"/>
    <mergeCell ref="B48:B53"/>
    <mergeCell ref="B125:C125"/>
    <mergeCell ref="B124:C124"/>
    <mergeCell ref="B8:B13"/>
    <mergeCell ref="A8:A23"/>
    <mergeCell ref="B14:B17"/>
    <mergeCell ref="B21:B23"/>
    <mergeCell ref="B18:B20"/>
    <mergeCell ref="D3:Y5"/>
    <mergeCell ref="A7:C7"/>
    <mergeCell ref="A4:C5"/>
    <mergeCell ref="A3:C3"/>
  </mergeCells>
  <conditionalFormatting sqref="A1:Z1 A42:Z42 A89:J89 L89:Z89 D93:Y93 D95:Y109 D111:Y120">
    <cfRule type="containsText" dxfId="0" priority="1" operator="containsText" text="SO">
      <formula>NOT(ISERROR(SEARCH(("SO"),(A1))))</formula>
    </cfRule>
  </conditionalFormatting>
  <conditionalFormatting sqref="A1:Z1 A42:Z42 A89:J89 L89:Z89 D93:Y93 D95:Y109 D111:Y120">
    <cfRule type="containsText" dxfId="1" priority="2" operator="containsText" text="N.v.t.">
      <formula>NOT(ISERROR(SEARCH(("N.v.t."),(A1))))</formula>
    </cfRule>
  </conditionalFormatting>
  <conditionalFormatting sqref="A1:Z1 A42:Z42 A89:J89 L89:Z89 D93:Y93 D95:Y109 D111:Y120">
    <cfRule type="containsText" dxfId="2" priority="3" operator="containsText" text="Voor">
      <formula>NOT(ISERROR(SEARCH(("Voor"),(A1))))</formula>
    </cfRule>
  </conditionalFormatting>
  <conditionalFormatting sqref="A1:Z1 A42:Z42 A89:J89 L89:Z89 D93:Y93 D95:Y109 D111:Y120">
    <cfRule type="containsText" dxfId="3" priority="4" operator="containsText" text="Tegen">
      <formula>NOT(ISERROR(SEARCH(("Tegen"),(A1))))</formula>
    </cfRule>
  </conditionalFormatting>
  <conditionalFormatting sqref="A1:Z1 A42:Z42 A89:J89 L89:Z89">
    <cfRule type="containsText" dxfId="4" priority="5" operator="containsText" text="N.v.t.">
      <formula>NOT(ISERROR(SEARCH(("N.v.t."),(A1))))</formula>
    </cfRule>
  </conditionalFormatting>
  <conditionalFormatting sqref="A1:Z1 A42:Z42 A89:J89 L89:Z89">
    <cfRule type="cellIs" dxfId="0" priority="6" operator="equal">
      <formula>"SO"</formula>
    </cfRule>
  </conditionalFormatting>
  <conditionalFormatting sqref="A1:Z1 A42:Z42 A89:J89 L89:Z89 D93:Y93 D95:Y109 D111:Y120">
    <cfRule type="cellIs" dxfId="5" priority="7" operator="equal">
      <formula>"NG"</formula>
    </cfRule>
  </conditionalFormatting>
  <conditionalFormatting sqref="A1:C43 D1:J128 K1:K88 L1:Z128 A46:B128 C46:C95 K90:K128 C101 C103:C128">
    <cfRule type="containsText" dxfId="6" priority="8" operator="containsText" text="voor">
      <formula>NOT(ISERROR(SEARCH(("voor"),(A1))))</formula>
    </cfRule>
  </conditionalFormatting>
  <conditionalFormatting sqref="A1:C43 D1:J128 K1:K88 L1:Z128 A46:B128 C46:C95 K90:K128 C101 C103:C128">
    <cfRule type="containsText" dxfId="7" priority="9" operator="containsText" text="tegen">
      <formula>NOT(ISERROR(SEARCH(("tegen"),(A1))))</formula>
    </cfRule>
  </conditionalFormatting>
  <conditionalFormatting sqref="D1:J128 K1:K88 L1:Z128 A42:C42 K90:K128">
    <cfRule type="containsText" dxfId="8" priority="10" operator="containsText" text="SO">
      <formula>NOT(ISERROR(SEARCH(("SO"),(D1))))</formula>
    </cfRule>
  </conditionalFormatting>
  <conditionalFormatting sqref="D1:J128 K1:K88 L1:Z128 A42:C42 K90:K128">
    <cfRule type="containsText" dxfId="9" priority="11" operator="containsText" text="NG">
      <formula>NOT(ISERROR(SEARCH(("NG"),(D1))))</formula>
    </cfRule>
  </conditionalFormatting>
  <hyperlinks>
    <hyperlink display="Klik HIER voor resultaten Tweede Kamer pre-verkiezing VII" location="TK Stemoverzicht (Pre-Verkiezin!A1" ref="E13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7"/>
      <c r="B1" s="7"/>
      <c r="C1" s="7"/>
      <c r="D1" s="7"/>
      <c r="E1" s="7"/>
      <c r="F1" s="7"/>
      <c r="G1" s="7"/>
      <c r="H1" s="7"/>
      <c r="I1" s="7"/>
      <c r="J1" s="7"/>
      <c r="K1" s="7"/>
      <c r="L1" s="7"/>
      <c r="M1" s="7"/>
      <c r="N1" s="7"/>
      <c r="O1" s="7"/>
      <c r="P1" s="7"/>
      <c r="Q1" s="7"/>
      <c r="R1" s="7"/>
      <c r="S1" s="7"/>
      <c r="T1" s="7"/>
      <c r="U1" s="7"/>
      <c r="V1" s="7"/>
      <c r="W1" s="7"/>
      <c r="X1" s="7"/>
      <c r="Y1" s="7"/>
      <c r="Z1" s="7"/>
    </row>
    <row r="2" ht="18.75" customHeight="1">
      <c r="A2" s="152" t="s">
        <v>137</v>
      </c>
      <c r="B2" s="153"/>
      <c r="C2" s="154"/>
      <c r="D2" s="297" t="s">
        <v>138</v>
      </c>
      <c r="E2" s="156"/>
      <c r="F2" s="156"/>
      <c r="G2" s="156"/>
      <c r="H2" s="156"/>
      <c r="I2" s="156"/>
      <c r="J2" s="156"/>
      <c r="K2" s="156"/>
      <c r="L2" s="157"/>
      <c r="M2" s="7"/>
      <c r="N2" s="7"/>
      <c r="O2" s="7"/>
      <c r="P2" s="7"/>
      <c r="Q2" s="7"/>
      <c r="R2" s="7"/>
      <c r="S2" s="7"/>
      <c r="T2" s="7"/>
      <c r="U2" s="7"/>
      <c r="V2" s="7"/>
      <c r="W2" s="7"/>
      <c r="X2" s="7"/>
      <c r="Y2" s="7"/>
      <c r="Z2" s="7"/>
    </row>
    <row r="3" ht="18.75" customHeight="1">
      <c r="A3" s="298" t="s">
        <v>139</v>
      </c>
      <c r="C3" s="71"/>
      <c r="L3" s="68"/>
      <c r="M3" s="7"/>
      <c r="N3" s="7"/>
      <c r="O3" s="7"/>
      <c r="P3" s="7"/>
      <c r="Q3" s="7"/>
      <c r="R3" s="7"/>
      <c r="S3" s="7"/>
      <c r="T3" s="7"/>
      <c r="U3" s="7"/>
      <c r="V3" s="7"/>
      <c r="W3" s="7"/>
      <c r="X3" s="7"/>
      <c r="Y3" s="7"/>
      <c r="Z3" s="7"/>
    </row>
    <row r="4" ht="18.75" customHeight="1">
      <c r="C4" s="71"/>
      <c r="D4" s="72"/>
      <c r="E4" s="72"/>
      <c r="F4" s="72"/>
      <c r="G4" s="72"/>
      <c r="H4" s="72"/>
      <c r="I4" s="72"/>
      <c r="J4" s="72"/>
      <c r="K4" s="72"/>
      <c r="L4" s="73"/>
      <c r="M4" s="7"/>
      <c r="N4" s="7"/>
      <c r="O4" s="7"/>
      <c r="P4" s="7"/>
      <c r="Q4" s="7"/>
      <c r="R4" s="7"/>
      <c r="S4" s="7"/>
      <c r="T4" s="7"/>
      <c r="U4" s="7"/>
      <c r="V4" s="7"/>
      <c r="W4" s="7"/>
      <c r="X4" s="7"/>
      <c r="Y4" s="7"/>
      <c r="Z4" s="7"/>
    </row>
    <row r="5" ht="18.75" customHeight="1">
      <c r="A5" s="74" t="s">
        <v>33</v>
      </c>
      <c r="B5" s="75" t="s">
        <v>7</v>
      </c>
      <c r="C5" s="76" t="s">
        <v>34</v>
      </c>
      <c r="D5" s="78"/>
      <c r="E5" s="78"/>
      <c r="F5" s="78"/>
      <c r="G5" s="78"/>
      <c r="H5" s="78"/>
      <c r="I5" s="299"/>
      <c r="J5" s="299"/>
      <c r="K5" s="299"/>
      <c r="L5" s="300"/>
      <c r="M5" s="7"/>
      <c r="N5" s="7"/>
      <c r="O5" s="7"/>
      <c r="P5" s="7"/>
      <c r="Q5" s="7"/>
      <c r="R5" s="7"/>
      <c r="S5" s="7"/>
      <c r="T5" s="7"/>
      <c r="U5" s="7"/>
      <c r="V5" s="7"/>
      <c r="W5" s="7"/>
      <c r="X5" s="7"/>
      <c r="Y5" s="7"/>
      <c r="Z5" s="7"/>
    </row>
    <row r="6" ht="6.0" customHeight="1">
      <c r="A6" s="81"/>
      <c r="B6" s="82"/>
      <c r="C6" s="82"/>
      <c r="D6" s="81"/>
      <c r="E6" s="82"/>
      <c r="F6" s="82"/>
      <c r="G6" s="82"/>
      <c r="H6" s="82"/>
      <c r="I6" s="82"/>
      <c r="J6" s="82"/>
      <c r="K6" s="82"/>
      <c r="L6" s="301"/>
      <c r="M6" s="7"/>
      <c r="N6" s="7"/>
      <c r="O6" s="7"/>
      <c r="P6" s="7"/>
      <c r="Q6" s="7"/>
      <c r="R6" s="7"/>
      <c r="S6" s="7"/>
      <c r="T6" s="7"/>
      <c r="U6" s="7"/>
      <c r="V6" s="7"/>
      <c r="W6" s="7"/>
      <c r="X6" s="7"/>
      <c r="Y6" s="7"/>
      <c r="Z6" s="7"/>
    </row>
    <row r="7" ht="18.75" customHeight="1">
      <c r="A7" s="302" t="s">
        <v>140</v>
      </c>
      <c r="B7" s="303" t="s">
        <v>12</v>
      </c>
      <c r="C7" s="304" t="s">
        <v>40</v>
      </c>
      <c r="D7" s="305"/>
      <c r="E7" s="7"/>
      <c r="F7" s="7"/>
      <c r="G7" s="7"/>
      <c r="H7" s="7"/>
      <c r="I7" s="7"/>
      <c r="J7" s="7"/>
      <c r="K7" s="7"/>
      <c r="L7" s="7"/>
      <c r="M7" s="7"/>
      <c r="N7" s="7"/>
      <c r="O7" s="7"/>
      <c r="P7" s="7"/>
      <c r="Q7" s="7"/>
      <c r="R7" s="7"/>
      <c r="S7" s="7"/>
      <c r="T7" s="7"/>
      <c r="U7" s="7"/>
      <c r="V7" s="7"/>
      <c r="W7" s="7"/>
      <c r="X7" s="7"/>
      <c r="Y7" s="7"/>
      <c r="Z7" s="7"/>
    </row>
    <row r="8" ht="18.75" customHeight="1">
      <c r="A8" s="88"/>
      <c r="B8" s="306" t="s">
        <v>21</v>
      </c>
      <c r="C8" s="307" t="s">
        <v>141</v>
      </c>
      <c r="D8" s="305"/>
      <c r="E8" s="7"/>
      <c r="F8" s="7"/>
      <c r="G8" s="7"/>
      <c r="H8" s="7"/>
      <c r="I8" s="7"/>
      <c r="J8" s="7"/>
      <c r="K8" s="7"/>
      <c r="L8" s="7"/>
      <c r="M8" s="7"/>
      <c r="N8" s="7"/>
      <c r="O8" s="7"/>
      <c r="P8" s="7"/>
      <c r="Q8" s="7"/>
      <c r="R8" s="7"/>
      <c r="S8" s="7"/>
      <c r="T8" s="7"/>
      <c r="U8" s="7"/>
      <c r="V8" s="7"/>
      <c r="W8" s="7"/>
      <c r="X8" s="7"/>
      <c r="Y8" s="7"/>
      <c r="Z8" s="7"/>
    </row>
    <row r="9" ht="18.75" customHeight="1">
      <c r="A9" s="88"/>
      <c r="B9" s="308" t="s">
        <v>23</v>
      </c>
      <c r="C9" s="309" t="s">
        <v>142</v>
      </c>
      <c r="D9" s="305"/>
      <c r="E9" s="7"/>
      <c r="F9" s="7"/>
      <c r="G9" s="7"/>
      <c r="H9" s="7"/>
      <c r="I9" s="7"/>
      <c r="J9" s="7"/>
      <c r="K9" s="7"/>
      <c r="L9" s="7"/>
      <c r="M9" s="7"/>
      <c r="N9" s="7"/>
      <c r="O9" s="7"/>
      <c r="P9" s="7"/>
      <c r="Q9" s="7"/>
      <c r="R9" s="7"/>
      <c r="S9" s="7"/>
      <c r="T9" s="7"/>
      <c r="U9" s="7"/>
      <c r="V9" s="7"/>
      <c r="W9" s="7"/>
      <c r="X9" s="7"/>
      <c r="Y9" s="7"/>
      <c r="Z9" s="7"/>
    </row>
    <row r="10" ht="18.75" customHeight="1">
      <c r="A10" s="88"/>
      <c r="B10" s="310" t="s">
        <v>25</v>
      </c>
      <c r="C10" s="311" t="s">
        <v>53</v>
      </c>
      <c r="D10" s="305"/>
      <c r="E10" s="7"/>
      <c r="F10" s="7"/>
      <c r="G10" s="7"/>
      <c r="H10" s="7"/>
      <c r="I10" s="7"/>
      <c r="J10" s="7"/>
      <c r="K10" s="7"/>
      <c r="L10" s="7"/>
      <c r="M10" s="7"/>
      <c r="N10" s="7"/>
      <c r="O10" s="7"/>
      <c r="P10" s="7"/>
      <c r="Q10" s="7"/>
      <c r="R10" s="7"/>
      <c r="S10" s="7"/>
      <c r="T10" s="7"/>
      <c r="U10" s="7"/>
      <c r="V10" s="7"/>
      <c r="W10" s="7"/>
      <c r="X10" s="7"/>
      <c r="Y10" s="7"/>
      <c r="Z10" s="7"/>
    </row>
    <row r="11" ht="6.0" customHeight="1">
      <c r="A11" s="126"/>
      <c r="B11" s="82"/>
      <c r="C11" s="127"/>
      <c r="D11" s="312"/>
      <c r="E11" s="7"/>
      <c r="F11" s="7"/>
      <c r="G11" s="7"/>
      <c r="H11" s="7"/>
      <c r="I11" s="7"/>
      <c r="J11" s="7"/>
      <c r="K11" s="7"/>
      <c r="L11" s="7"/>
      <c r="M11" s="7"/>
      <c r="N11" s="7"/>
      <c r="O11" s="7"/>
      <c r="P11" s="7"/>
      <c r="Q11" s="7"/>
      <c r="R11" s="7"/>
      <c r="S11" s="7"/>
      <c r="T11" s="7"/>
      <c r="U11" s="7"/>
      <c r="V11" s="7"/>
      <c r="W11" s="7"/>
      <c r="X11" s="7"/>
      <c r="Y11" s="7"/>
      <c r="Z11" s="7"/>
    </row>
    <row r="12" ht="18.75" customHeight="1">
      <c r="A12" s="302" t="s">
        <v>143</v>
      </c>
      <c r="B12" s="313" t="s">
        <v>15</v>
      </c>
      <c r="C12" s="314" t="s">
        <v>144</v>
      </c>
      <c r="D12" s="305"/>
      <c r="E12" s="7"/>
      <c r="F12" s="7"/>
      <c r="G12" s="7"/>
      <c r="H12" s="7"/>
      <c r="I12" s="7"/>
      <c r="J12" s="7"/>
      <c r="K12" s="7"/>
      <c r="L12" s="7"/>
      <c r="M12" s="7"/>
      <c r="N12" s="7"/>
      <c r="O12" s="7"/>
      <c r="P12" s="7"/>
      <c r="Q12" s="7"/>
      <c r="R12" s="7"/>
      <c r="S12" s="7"/>
      <c r="T12" s="7"/>
      <c r="U12" s="7"/>
      <c r="V12" s="7"/>
      <c r="W12" s="7"/>
      <c r="X12" s="7"/>
      <c r="Y12" s="7"/>
      <c r="Z12" s="7"/>
    </row>
    <row r="13" ht="18.75" customHeight="1">
      <c r="A13" s="88"/>
      <c r="B13" s="66"/>
      <c r="C13" s="314" t="s">
        <v>145</v>
      </c>
      <c r="D13" s="305"/>
      <c r="E13" s="7"/>
      <c r="F13" s="7"/>
      <c r="G13" s="7"/>
      <c r="H13" s="7"/>
      <c r="I13" s="7"/>
      <c r="J13" s="7"/>
      <c r="K13" s="7"/>
      <c r="L13" s="7"/>
      <c r="M13" s="7"/>
      <c r="N13" s="7"/>
      <c r="O13" s="7"/>
      <c r="P13" s="7"/>
      <c r="Q13" s="7"/>
      <c r="R13" s="7"/>
      <c r="S13" s="7"/>
      <c r="T13" s="7"/>
      <c r="U13" s="7"/>
      <c r="V13" s="7"/>
      <c r="W13" s="7"/>
      <c r="X13" s="7"/>
      <c r="Y13" s="7"/>
      <c r="Z13" s="7"/>
    </row>
    <row r="14" ht="18.75" customHeight="1">
      <c r="A14" s="88"/>
      <c r="B14" s="315" t="s">
        <v>18</v>
      </c>
      <c r="C14" s="316" t="s">
        <v>106</v>
      </c>
      <c r="D14" s="305"/>
      <c r="E14" s="7"/>
      <c r="F14" s="7"/>
      <c r="G14" s="7"/>
      <c r="H14" s="7"/>
      <c r="I14" s="7"/>
      <c r="J14" s="7"/>
      <c r="K14" s="7"/>
      <c r="L14" s="7"/>
      <c r="M14" s="7"/>
      <c r="N14" s="7"/>
      <c r="O14" s="7"/>
      <c r="P14" s="7"/>
      <c r="Q14" s="7"/>
      <c r="R14" s="7"/>
      <c r="S14" s="7"/>
      <c r="T14" s="7"/>
      <c r="U14" s="7"/>
      <c r="V14" s="7"/>
      <c r="W14" s="7"/>
      <c r="X14" s="7"/>
      <c r="Y14" s="7"/>
      <c r="Z14" s="7"/>
    </row>
    <row r="15" ht="18.75" customHeight="1">
      <c r="A15" s="88"/>
      <c r="B15" s="66"/>
      <c r="C15" s="317" t="s">
        <v>146</v>
      </c>
      <c r="D15" s="305"/>
      <c r="E15" s="7"/>
      <c r="F15" s="7"/>
      <c r="G15" s="7"/>
      <c r="H15" s="7"/>
      <c r="I15" s="7"/>
      <c r="J15" s="7"/>
      <c r="K15" s="7"/>
      <c r="L15" s="7"/>
      <c r="M15" s="7"/>
      <c r="N15" s="7"/>
      <c r="O15" s="7"/>
      <c r="P15" s="7"/>
      <c r="Q15" s="7"/>
      <c r="R15" s="7"/>
      <c r="S15" s="7"/>
      <c r="T15" s="7"/>
      <c r="U15" s="7"/>
      <c r="V15" s="7"/>
      <c r="W15" s="7"/>
      <c r="X15" s="7"/>
      <c r="Y15" s="7"/>
      <c r="Z15" s="7"/>
    </row>
    <row r="16" ht="6.0" customHeight="1">
      <c r="A16" s="126"/>
      <c r="B16" s="82"/>
      <c r="C16" s="127"/>
      <c r="D16" s="312"/>
      <c r="E16" s="7"/>
      <c r="F16" s="7"/>
      <c r="G16" s="7"/>
      <c r="H16" s="7"/>
      <c r="I16" s="7"/>
      <c r="J16" s="7"/>
      <c r="K16" s="7"/>
      <c r="L16" s="7"/>
      <c r="M16" s="7"/>
      <c r="N16" s="7"/>
      <c r="O16" s="7"/>
      <c r="P16" s="7"/>
      <c r="Q16" s="7"/>
      <c r="R16" s="7"/>
      <c r="S16" s="7"/>
      <c r="T16" s="7"/>
      <c r="U16" s="7"/>
      <c r="V16" s="7"/>
      <c r="W16" s="7"/>
      <c r="X16" s="7"/>
      <c r="Y16" s="7"/>
      <c r="Z16" s="7"/>
    </row>
    <row r="17" ht="18.75" customHeight="1">
      <c r="A17" s="129" t="s">
        <v>68</v>
      </c>
      <c r="B17" s="130" t="s">
        <v>69</v>
      </c>
      <c r="C17" s="68"/>
      <c r="D17" s="318">
        <f>COUNTIF(D4:D15,"Voor")</f>
        <v>0</v>
      </c>
      <c r="E17" s="7"/>
      <c r="F17" s="7"/>
      <c r="G17" s="7"/>
      <c r="H17" s="7"/>
      <c r="I17" s="7"/>
      <c r="J17" s="7"/>
      <c r="K17" s="7"/>
      <c r="L17" s="7"/>
      <c r="M17" s="7"/>
      <c r="N17" s="7"/>
      <c r="O17" s="7"/>
      <c r="P17" s="7"/>
      <c r="Q17" s="7"/>
      <c r="R17" s="7"/>
      <c r="S17" s="7"/>
      <c r="T17" s="7"/>
      <c r="U17" s="7"/>
      <c r="V17" s="7"/>
      <c r="W17" s="7"/>
      <c r="X17" s="7"/>
      <c r="Y17" s="7"/>
      <c r="Z17" s="7"/>
    </row>
    <row r="18" ht="18.75" customHeight="1">
      <c r="A18" s="68"/>
      <c r="B18" s="133" t="s">
        <v>70</v>
      </c>
      <c r="C18" s="68"/>
      <c r="D18" s="319">
        <f>COUNTIF(D4:D15,"Tegen")</f>
        <v>0</v>
      </c>
      <c r="E18" s="7"/>
      <c r="F18" s="7"/>
      <c r="G18" s="7"/>
      <c r="H18" s="7"/>
      <c r="I18" s="7"/>
      <c r="J18" s="7"/>
      <c r="K18" s="7"/>
      <c r="L18" s="7"/>
      <c r="M18" s="7"/>
      <c r="N18" s="7"/>
      <c r="O18" s="7"/>
      <c r="P18" s="7"/>
      <c r="Q18" s="7"/>
      <c r="R18" s="7"/>
      <c r="S18" s="7"/>
      <c r="T18" s="7"/>
      <c r="U18" s="7"/>
      <c r="V18" s="7"/>
      <c r="W18" s="7"/>
      <c r="X18" s="7"/>
      <c r="Y18" s="7"/>
      <c r="Z18" s="7"/>
    </row>
    <row r="19" ht="18.75" customHeight="1">
      <c r="A19" s="68"/>
      <c r="B19" s="320" t="s">
        <v>71</v>
      </c>
      <c r="C19" s="68"/>
      <c r="D19" s="321">
        <f>COUNTIF(D4:D15,"SO")</f>
        <v>0</v>
      </c>
      <c r="E19" s="7"/>
      <c r="F19" s="7"/>
      <c r="G19" s="7"/>
      <c r="H19" s="7"/>
      <c r="I19" s="7"/>
      <c r="J19" s="7"/>
      <c r="K19" s="7"/>
      <c r="L19" s="7"/>
      <c r="M19" s="7"/>
      <c r="N19" s="7"/>
      <c r="O19" s="7"/>
      <c r="P19" s="7"/>
      <c r="Q19" s="7"/>
      <c r="R19" s="7"/>
      <c r="S19" s="7"/>
      <c r="T19" s="7"/>
      <c r="U19" s="7"/>
      <c r="V19" s="7"/>
      <c r="W19" s="7"/>
      <c r="X19" s="7"/>
      <c r="Y19" s="7"/>
      <c r="Z19" s="7"/>
    </row>
    <row r="20" ht="18.75" customHeight="1">
      <c r="A20" s="68"/>
      <c r="B20" s="322" t="s">
        <v>72</v>
      </c>
      <c r="C20" s="68"/>
      <c r="D20" s="323">
        <f>COUNTIF(D4:D15,"NG")</f>
        <v>0</v>
      </c>
      <c r="E20" s="7"/>
      <c r="F20" s="7"/>
      <c r="G20" s="7"/>
      <c r="H20" s="7"/>
      <c r="I20" s="7"/>
      <c r="J20" s="7"/>
      <c r="K20" s="7"/>
      <c r="L20" s="7"/>
      <c r="M20" s="7"/>
      <c r="N20" s="7"/>
      <c r="O20" s="7"/>
      <c r="P20" s="7"/>
      <c r="Q20" s="7"/>
      <c r="R20" s="7"/>
      <c r="S20" s="7"/>
      <c r="T20" s="7"/>
      <c r="U20" s="7"/>
      <c r="V20" s="7"/>
      <c r="W20" s="7"/>
      <c r="X20" s="7"/>
      <c r="Y20" s="7"/>
      <c r="Z20" s="7"/>
    </row>
    <row r="21" ht="18.75" customHeight="1">
      <c r="A21" s="68"/>
      <c r="B21" s="142" t="s">
        <v>73</v>
      </c>
      <c r="C21" s="68"/>
      <c r="D21" s="324">
        <f>SUM(D17:D20)</f>
        <v>0</v>
      </c>
      <c r="E21" s="7"/>
      <c r="F21" s="7"/>
      <c r="G21" s="7"/>
      <c r="H21" s="7"/>
      <c r="I21" s="7"/>
      <c r="J21" s="7"/>
      <c r="K21" s="7"/>
      <c r="L21" s="7"/>
      <c r="M21" s="7"/>
      <c r="N21" s="7"/>
      <c r="O21" s="7"/>
      <c r="P21" s="7"/>
      <c r="Q21" s="7"/>
      <c r="R21" s="7"/>
      <c r="S21" s="7"/>
      <c r="T21" s="7"/>
      <c r="U21" s="7"/>
      <c r="V21" s="7"/>
      <c r="W21" s="7"/>
      <c r="X21" s="7"/>
      <c r="Y21" s="7"/>
      <c r="Z21" s="7"/>
    </row>
    <row r="22" ht="18.75" customHeight="1">
      <c r="A22" s="68"/>
      <c r="B22" s="145" t="s">
        <v>74</v>
      </c>
      <c r="C22" s="68"/>
      <c r="D22" s="325">
        <f>D17+D18+D19</f>
        <v>0</v>
      </c>
      <c r="E22" s="7"/>
      <c r="F22" s="7"/>
      <c r="G22" s="7"/>
      <c r="H22" s="7"/>
      <c r="I22" s="7"/>
      <c r="J22" s="7"/>
      <c r="K22" s="7"/>
      <c r="L22" s="7"/>
      <c r="M22" s="7"/>
      <c r="N22" s="7"/>
      <c r="O22" s="7"/>
      <c r="P22" s="7"/>
      <c r="Q22" s="7"/>
      <c r="R22" s="7"/>
      <c r="S22" s="7"/>
      <c r="T22" s="7"/>
      <c r="U22" s="7"/>
      <c r="V22" s="7"/>
      <c r="W22" s="7"/>
      <c r="X22" s="7"/>
      <c r="Y22" s="7"/>
      <c r="Z22" s="7"/>
    </row>
    <row r="23" ht="18.75" customHeight="1">
      <c r="A23" s="68"/>
      <c r="B23" s="149" t="s">
        <v>75</v>
      </c>
      <c r="C23" s="148"/>
      <c r="D23" s="326" t="str">
        <f>IFERROR(D22/D21,"")</f>
        <v/>
      </c>
      <c r="E23" s="7"/>
      <c r="F23" s="7"/>
      <c r="G23" s="7"/>
      <c r="H23" s="7"/>
      <c r="I23" s="7"/>
      <c r="J23" s="7"/>
      <c r="K23" s="7"/>
      <c r="L23" s="7"/>
      <c r="M23" s="7"/>
      <c r="N23" s="7"/>
      <c r="O23" s="7"/>
      <c r="P23" s="7"/>
      <c r="Q23" s="7"/>
      <c r="R23" s="7"/>
      <c r="S23" s="7"/>
      <c r="T23" s="7"/>
      <c r="U23" s="7"/>
      <c r="V23" s="7"/>
      <c r="W23" s="7"/>
      <c r="X23" s="7"/>
      <c r="Y23" s="7"/>
      <c r="Z23" s="7"/>
    </row>
    <row r="24" ht="18.75" customHeight="1">
      <c r="A24" s="7"/>
      <c r="B24" s="7"/>
      <c r="C24" s="7"/>
      <c r="D24" s="60"/>
      <c r="E24" s="60"/>
      <c r="F24" s="60"/>
      <c r="G24" s="60"/>
      <c r="H24" s="60"/>
      <c r="I24" s="7"/>
      <c r="J24" s="7"/>
      <c r="K24" s="7"/>
      <c r="L24" s="7"/>
      <c r="M24" s="7"/>
      <c r="N24" s="7"/>
      <c r="O24" s="7"/>
      <c r="P24" s="7"/>
      <c r="Q24" s="7"/>
      <c r="R24" s="7"/>
      <c r="S24" s="7"/>
      <c r="T24" s="7"/>
      <c r="U24" s="7"/>
      <c r="V24" s="7"/>
      <c r="W24" s="7"/>
      <c r="X24" s="7"/>
      <c r="Y24" s="7"/>
      <c r="Z24" s="7"/>
    </row>
    <row r="25" ht="18.75" customHeight="1">
      <c r="A25" s="152" t="s">
        <v>30</v>
      </c>
      <c r="B25" s="153"/>
      <c r="C25" s="154"/>
      <c r="D25" s="327" t="s">
        <v>138</v>
      </c>
      <c r="E25" s="156"/>
      <c r="F25" s="156"/>
      <c r="G25" s="156"/>
      <c r="H25" s="157"/>
      <c r="I25" s="7"/>
      <c r="J25" s="7"/>
      <c r="K25" s="7"/>
      <c r="L25" s="7"/>
      <c r="M25" s="7"/>
      <c r="N25" s="7"/>
      <c r="O25" s="7"/>
      <c r="P25" s="7"/>
      <c r="Q25" s="7"/>
      <c r="R25" s="7"/>
      <c r="S25" s="7"/>
      <c r="T25" s="7"/>
      <c r="U25" s="7"/>
      <c r="V25" s="7"/>
      <c r="W25" s="7"/>
      <c r="X25" s="7"/>
      <c r="Y25" s="7"/>
      <c r="Z25" s="7"/>
    </row>
    <row r="26" ht="18.75" customHeight="1">
      <c r="A26" s="158" t="s">
        <v>147</v>
      </c>
      <c r="C26" s="71"/>
      <c r="D26" s="159"/>
      <c r="H26" s="68"/>
      <c r="I26" s="7"/>
      <c r="J26" s="7"/>
      <c r="K26" s="7"/>
      <c r="L26" s="7"/>
      <c r="M26" s="7"/>
      <c r="N26" s="7"/>
      <c r="O26" s="7"/>
      <c r="P26" s="7"/>
      <c r="Q26" s="7"/>
      <c r="R26" s="7"/>
      <c r="S26" s="7"/>
      <c r="T26" s="7"/>
      <c r="U26" s="7"/>
      <c r="V26" s="7"/>
      <c r="W26" s="7"/>
      <c r="X26" s="7"/>
      <c r="Y26" s="7"/>
      <c r="Z26" s="7"/>
    </row>
    <row r="27" ht="18.75" customHeight="1">
      <c r="C27" s="71"/>
      <c r="D27" s="160"/>
      <c r="E27" s="72"/>
      <c r="F27" s="72"/>
      <c r="G27" s="72"/>
      <c r="H27" s="73"/>
      <c r="I27" s="7"/>
      <c r="J27" s="7"/>
      <c r="K27" s="7"/>
      <c r="L27" s="7"/>
      <c r="M27" s="7"/>
      <c r="N27" s="7"/>
      <c r="O27" s="7"/>
      <c r="P27" s="7"/>
      <c r="Q27" s="7"/>
      <c r="R27" s="7"/>
      <c r="S27" s="7"/>
      <c r="T27" s="7"/>
      <c r="U27" s="7"/>
      <c r="V27" s="7"/>
      <c r="W27" s="7"/>
      <c r="X27" s="7"/>
      <c r="Y27" s="7"/>
      <c r="Z27" s="7"/>
    </row>
    <row r="28" ht="18.75" customHeight="1">
      <c r="A28" s="161" t="s">
        <v>33</v>
      </c>
      <c r="B28" s="162" t="s">
        <v>7</v>
      </c>
      <c r="C28" s="163" t="s">
        <v>34</v>
      </c>
      <c r="D28" s="165" t="s">
        <v>130</v>
      </c>
      <c r="E28" s="165" t="s">
        <v>83</v>
      </c>
      <c r="F28" s="165" t="s">
        <v>91</v>
      </c>
      <c r="G28" s="165" t="s">
        <v>92</v>
      </c>
      <c r="H28" s="165" t="s">
        <v>91</v>
      </c>
      <c r="I28" s="7"/>
      <c r="J28" s="7"/>
      <c r="K28" s="7"/>
      <c r="L28" s="7"/>
      <c r="M28" s="7"/>
      <c r="N28" s="7"/>
      <c r="O28" s="7"/>
      <c r="P28" s="7"/>
      <c r="Q28" s="7"/>
      <c r="R28" s="7"/>
      <c r="S28" s="7"/>
      <c r="T28" s="7"/>
      <c r="U28" s="7"/>
      <c r="V28" s="7"/>
      <c r="W28" s="7"/>
      <c r="X28" s="7"/>
      <c r="Y28" s="7"/>
      <c r="Z28" s="7"/>
    </row>
    <row r="29" ht="6.0" customHeight="1">
      <c r="A29" s="81"/>
      <c r="B29" s="82"/>
      <c r="C29" s="82"/>
      <c r="D29" s="81"/>
      <c r="E29" s="328"/>
      <c r="F29" s="328"/>
      <c r="G29" s="328"/>
      <c r="H29" s="329"/>
      <c r="I29" s="7"/>
      <c r="J29" s="7"/>
      <c r="K29" s="7"/>
      <c r="L29" s="7"/>
      <c r="M29" s="7"/>
      <c r="N29" s="7"/>
      <c r="O29" s="7"/>
      <c r="P29" s="7"/>
      <c r="Q29" s="7"/>
      <c r="R29" s="7"/>
      <c r="S29" s="7"/>
      <c r="T29" s="7"/>
      <c r="U29" s="7"/>
      <c r="V29" s="7"/>
      <c r="W29" s="7"/>
      <c r="X29" s="7"/>
      <c r="Y29" s="7"/>
      <c r="Z29" s="7"/>
    </row>
    <row r="30" ht="18.75" customHeight="1">
      <c r="A30" s="85" t="s">
        <v>140</v>
      </c>
      <c r="B30" s="86" t="s">
        <v>12</v>
      </c>
      <c r="C30" s="87" t="s">
        <v>40</v>
      </c>
      <c r="D30" s="168" t="s">
        <v>69</v>
      </c>
      <c r="E30" s="168" t="s">
        <v>69</v>
      </c>
      <c r="F30" s="168" t="s">
        <v>69</v>
      </c>
      <c r="G30" s="168" t="s">
        <v>69</v>
      </c>
      <c r="H30" s="168" t="s">
        <v>69</v>
      </c>
      <c r="I30" s="7"/>
      <c r="J30" s="7"/>
      <c r="K30" s="7"/>
      <c r="L30" s="7"/>
      <c r="M30" s="7"/>
      <c r="N30" s="7"/>
      <c r="O30" s="7"/>
      <c r="P30" s="7"/>
      <c r="Q30" s="7"/>
      <c r="R30" s="7"/>
      <c r="S30" s="7"/>
      <c r="T30" s="7"/>
      <c r="U30" s="7"/>
      <c r="V30" s="7"/>
      <c r="W30" s="7"/>
      <c r="X30" s="7"/>
      <c r="Y30" s="7"/>
      <c r="Z30" s="7"/>
    </row>
    <row r="31" ht="18.75" customHeight="1">
      <c r="A31" s="88"/>
      <c r="B31" s="330" t="s">
        <v>21</v>
      </c>
      <c r="C31" s="331" t="s">
        <v>141</v>
      </c>
      <c r="D31" s="168" t="s">
        <v>69</v>
      </c>
      <c r="E31" s="168" t="s">
        <v>69</v>
      </c>
      <c r="F31" s="168" t="s">
        <v>69</v>
      </c>
      <c r="G31" s="168" t="s">
        <v>69</v>
      </c>
      <c r="H31" s="168" t="s">
        <v>69</v>
      </c>
      <c r="I31" s="7"/>
      <c r="J31" s="7"/>
      <c r="K31" s="7"/>
      <c r="L31" s="7"/>
      <c r="M31" s="7"/>
      <c r="N31" s="7"/>
      <c r="O31" s="7"/>
      <c r="P31" s="7"/>
      <c r="Q31" s="7"/>
      <c r="R31" s="7"/>
      <c r="S31" s="7"/>
      <c r="T31" s="7"/>
      <c r="U31" s="7"/>
      <c r="V31" s="7"/>
      <c r="W31" s="7"/>
      <c r="X31" s="7"/>
      <c r="Y31" s="7"/>
      <c r="Z31" s="7"/>
    </row>
    <row r="32" ht="18.75" customHeight="1">
      <c r="A32" s="88"/>
      <c r="B32" s="332" t="s">
        <v>23</v>
      </c>
      <c r="C32" s="333" t="s">
        <v>142</v>
      </c>
      <c r="D32" s="168" t="s">
        <v>69</v>
      </c>
      <c r="E32" s="168" t="s">
        <v>69</v>
      </c>
      <c r="F32" s="168" t="s">
        <v>69</v>
      </c>
      <c r="G32" s="168" t="s">
        <v>69</v>
      </c>
      <c r="H32" s="168" t="s">
        <v>69</v>
      </c>
      <c r="I32" s="7"/>
      <c r="J32" s="7"/>
      <c r="K32" s="7"/>
      <c r="L32" s="7"/>
      <c r="M32" s="7"/>
      <c r="N32" s="7"/>
      <c r="O32" s="7"/>
      <c r="P32" s="7"/>
      <c r="Q32" s="7"/>
      <c r="R32" s="7"/>
      <c r="S32" s="7"/>
      <c r="T32" s="7"/>
      <c r="U32" s="7"/>
      <c r="V32" s="7"/>
      <c r="W32" s="7"/>
      <c r="X32" s="7"/>
      <c r="Y32" s="7"/>
      <c r="Z32" s="7"/>
    </row>
    <row r="33" ht="18.75" customHeight="1">
      <c r="A33" s="106"/>
      <c r="B33" s="334" t="s">
        <v>25</v>
      </c>
      <c r="C33" s="103" t="s">
        <v>53</v>
      </c>
      <c r="D33" s="168" t="s">
        <v>69</v>
      </c>
      <c r="E33" s="168" t="s">
        <v>69</v>
      </c>
      <c r="F33" s="168" t="s">
        <v>69</v>
      </c>
      <c r="G33" s="168" t="s">
        <v>100</v>
      </c>
      <c r="H33" s="168" t="s">
        <v>69</v>
      </c>
      <c r="I33" s="7"/>
      <c r="J33" s="7"/>
      <c r="K33" s="7"/>
      <c r="L33" s="7"/>
      <c r="M33" s="7"/>
      <c r="N33" s="7"/>
      <c r="O33" s="7"/>
      <c r="P33" s="7"/>
      <c r="Q33" s="7"/>
      <c r="R33" s="7"/>
      <c r="S33" s="7"/>
      <c r="T33" s="7"/>
      <c r="U33" s="7"/>
      <c r="V33" s="7"/>
      <c r="W33" s="7"/>
      <c r="X33" s="7"/>
      <c r="Y33" s="7"/>
      <c r="Z33" s="7"/>
    </row>
    <row r="34" ht="6.0" customHeight="1">
      <c r="A34" s="126"/>
      <c r="B34" s="82"/>
      <c r="C34" s="127"/>
      <c r="D34" s="126"/>
      <c r="E34" s="128"/>
      <c r="F34" s="128"/>
      <c r="G34" s="128"/>
      <c r="H34" s="335"/>
      <c r="I34" s="7"/>
      <c r="J34" s="7"/>
      <c r="K34" s="7"/>
      <c r="L34" s="7"/>
      <c r="M34" s="7"/>
      <c r="N34" s="7"/>
      <c r="O34" s="7"/>
      <c r="P34" s="7"/>
      <c r="Q34" s="7"/>
      <c r="R34" s="7"/>
      <c r="S34" s="7"/>
      <c r="T34" s="7"/>
      <c r="U34" s="7"/>
      <c r="V34" s="7"/>
      <c r="W34" s="7"/>
      <c r="X34" s="7"/>
      <c r="Y34" s="7"/>
      <c r="Z34" s="7"/>
    </row>
    <row r="35" ht="18.75" customHeight="1">
      <c r="A35" s="183" t="s">
        <v>143</v>
      </c>
      <c r="B35" s="184" t="s">
        <v>15</v>
      </c>
      <c r="C35" s="314" t="s">
        <v>144</v>
      </c>
      <c r="D35" s="168" t="s">
        <v>70</v>
      </c>
      <c r="E35" s="180" t="s">
        <v>101</v>
      </c>
      <c r="F35" s="168" t="s">
        <v>69</v>
      </c>
      <c r="G35" s="168" t="s">
        <v>69</v>
      </c>
      <c r="H35" s="168" t="s">
        <v>69</v>
      </c>
      <c r="I35" s="7"/>
      <c r="J35" s="7"/>
      <c r="K35" s="7"/>
      <c r="L35" s="7"/>
      <c r="M35" s="7"/>
      <c r="N35" s="7"/>
      <c r="O35" s="7"/>
      <c r="P35" s="7"/>
      <c r="Q35" s="7"/>
      <c r="R35" s="7"/>
      <c r="S35" s="7"/>
      <c r="T35" s="7"/>
      <c r="U35" s="7"/>
      <c r="V35" s="7"/>
      <c r="W35" s="7"/>
      <c r="X35" s="7"/>
      <c r="Y35" s="7"/>
      <c r="Z35" s="7"/>
    </row>
    <row r="36" ht="18.75" customHeight="1">
      <c r="A36" s="88"/>
      <c r="B36" s="71"/>
      <c r="C36" s="336" t="s">
        <v>145</v>
      </c>
      <c r="D36" s="180" t="s">
        <v>101</v>
      </c>
      <c r="E36" s="180" t="s">
        <v>101</v>
      </c>
      <c r="F36" s="180" t="s">
        <v>101</v>
      </c>
      <c r="G36" s="168" t="s">
        <v>69</v>
      </c>
      <c r="H36" s="168" t="s">
        <v>69</v>
      </c>
      <c r="I36" s="7"/>
      <c r="J36" s="7"/>
      <c r="K36" s="7"/>
      <c r="L36" s="7"/>
      <c r="M36" s="7"/>
      <c r="N36" s="7"/>
      <c r="O36" s="7"/>
      <c r="P36" s="7"/>
      <c r="Q36" s="7"/>
      <c r="R36" s="7"/>
      <c r="S36" s="7"/>
      <c r="T36" s="7"/>
      <c r="U36" s="7"/>
      <c r="V36" s="7"/>
      <c r="W36" s="7"/>
      <c r="X36" s="7"/>
      <c r="Y36" s="7"/>
      <c r="Z36" s="7"/>
    </row>
    <row r="37" ht="18.75" customHeight="1">
      <c r="A37" s="88"/>
      <c r="B37" s="66"/>
      <c r="C37" s="337" t="s">
        <v>148</v>
      </c>
      <c r="D37" s="168" t="s">
        <v>70</v>
      </c>
      <c r="E37" s="168" t="s">
        <v>70</v>
      </c>
      <c r="F37" s="168" t="s">
        <v>69</v>
      </c>
      <c r="G37" s="180" t="s">
        <v>101</v>
      </c>
      <c r="H37" s="180" t="s">
        <v>101</v>
      </c>
      <c r="I37" s="7"/>
      <c r="J37" s="7"/>
      <c r="K37" s="7"/>
      <c r="L37" s="7"/>
      <c r="M37" s="7"/>
      <c r="N37" s="7"/>
      <c r="O37" s="7"/>
      <c r="P37" s="7"/>
      <c r="Q37" s="7"/>
      <c r="R37" s="7"/>
      <c r="S37" s="7"/>
      <c r="T37" s="7"/>
      <c r="U37" s="7"/>
      <c r="V37" s="7"/>
      <c r="W37" s="7"/>
      <c r="X37" s="7"/>
      <c r="Y37" s="7"/>
      <c r="Z37" s="7"/>
    </row>
    <row r="38" ht="18.75" customHeight="1">
      <c r="A38" s="88"/>
      <c r="B38" s="338" t="s">
        <v>18</v>
      </c>
      <c r="C38" s="339" t="s">
        <v>106</v>
      </c>
      <c r="D38" s="168" t="s">
        <v>99</v>
      </c>
      <c r="E38" s="168" t="s">
        <v>70</v>
      </c>
      <c r="F38" s="168" t="s">
        <v>69</v>
      </c>
      <c r="G38" s="168" t="s">
        <v>100</v>
      </c>
      <c r="H38" s="168" t="s">
        <v>69</v>
      </c>
      <c r="I38" s="7"/>
      <c r="J38" s="7"/>
      <c r="K38" s="7"/>
      <c r="L38" s="7"/>
      <c r="M38" s="7"/>
      <c r="N38" s="7"/>
      <c r="O38" s="7"/>
      <c r="P38" s="7"/>
      <c r="Q38" s="7"/>
      <c r="R38" s="7"/>
      <c r="S38" s="7"/>
      <c r="T38" s="7"/>
      <c r="U38" s="7"/>
      <c r="V38" s="7"/>
      <c r="W38" s="7"/>
      <c r="X38" s="7"/>
      <c r="Y38" s="7"/>
      <c r="Z38" s="7"/>
    </row>
    <row r="39" ht="18.75" customHeight="1">
      <c r="A39" s="88"/>
      <c r="B39" s="65"/>
      <c r="C39" s="340" t="s">
        <v>146</v>
      </c>
      <c r="D39" s="180" t="s">
        <v>101</v>
      </c>
      <c r="E39" s="180" t="s">
        <v>101</v>
      </c>
      <c r="F39" s="168" t="s">
        <v>100</v>
      </c>
      <c r="G39" s="168" t="s">
        <v>100</v>
      </c>
      <c r="H39" s="168" t="s">
        <v>100</v>
      </c>
      <c r="I39" s="7"/>
      <c r="J39" s="7"/>
      <c r="K39" s="7"/>
      <c r="L39" s="7"/>
      <c r="M39" s="7"/>
      <c r="N39" s="7"/>
      <c r="O39" s="7"/>
      <c r="P39" s="7"/>
      <c r="Q39" s="7"/>
      <c r="R39" s="7"/>
      <c r="S39" s="7"/>
      <c r="T39" s="7"/>
      <c r="U39" s="7"/>
      <c r="V39" s="7"/>
      <c r="W39" s="7"/>
      <c r="X39" s="7"/>
      <c r="Y39" s="7"/>
      <c r="Z39" s="7"/>
    </row>
    <row r="40" ht="18.75" customHeight="1">
      <c r="A40" s="88"/>
      <c r="B40" s="341" t="s">
        <v>149</v>
      </c>
      <c r="C40" s="342" t="s">
        <v>135</v>
      </c>
      <c r="D40" s="168" t="s">
        <v>70</v>
      </c>
      <c r="E40" s="168" t="s">
        <v>69</v>
      </c>
      <c r="F40" s="180" t="s">
        <v>101</v>
      </c>
      <c r="G40" s="180" t="s">
        <v>101</v>
      </c>
      <c r="H40" s="180" t="s">
        <v>101</v>
      </c>
      <c r="I40" s="7"/>
      <c r="J40" s="7"/>
      <c r="K40" s="7"/>
      <c r="L40" s="7"/>
      <c r="M40" s="7"/>
      <c r="N40" s="7"/>
      <c r="O40" s="7"/>
      <c r="P40" s="7"/>
      <c r="Q40" s="7"/>
      <c r="R40" s="7"/>
      <c r="S40" s="7"/>
      <c r="T40" s="7"/>
      <c r="U40" s="7"/>
      <c r="V40" s="7"/>
      <c r="W40" s="7"/>
      <c r="X40" s="7"/>
      <c r="Y40" s="7"/>
      <c r="Z40" s="7"/>
    </row>
    <row r="41" ht="6.0" customHeight="1">
      <c r="A41" s="126"/>
      <c r="B41" s="82"/>
      <c r="C41" s="127"/>
      <c r="D41" s="126"/>
      <c r="E41" s="128"/>
      <c r="F41" s="128"/>
      <c r="G41" s="128"/>
      <c r="H41" s="335"/>
      <c r="I41" s="7"/>
      <c r="J41" s="7"/>
      <c r="K41" s="7"/>
      <c r="L41" s="7"/>
      <c r="M41" s="7"/>
      <c r="N41" s="7"/>
      <c r="O41" s="7"/>
      <c r="P41" s="7"/>
      <c r="Q41" s="7"/>
      <c r="R41" s="7"/>
      <c r="S41" s="7"/>
      <c r="T41" s="7"/>
      <c r="U41" s="7"/>
      <c r="V41" s="7"/>
      <c r="W41" s="7"/>
      <c r="X41" s="7"/>
      <c r="Y41" s="7"/>
      <c r="Z41" s="7"/>
    </row>
    <row r="42" ht="18.75" customHeight="1">
      <c r="A42" s="202" t="s">
        <v>68</v>
      </c>
      <c r="B42" s="203" t="s">
        <v>69</v>
      </c>
      <c r="C42" s="204"/>
      <c r="D42" s="343">
        <f t="shared" ref="D42:H42" si="1">COUNTIF(D27:D40,"Voor")</f>
        <v>4</v>
      </c>
      <c r="E42" s="344">
        <f t="shared" si="1"/>
        <v>5</v>
      </c>
      <c r="F42" s="344">
        <f t="shared" si="1"/>
        <v>7</v>
      </c>
      <c r="G42" s="344">
        <f t="shared" si="1"/>
        <v>5</v>
      </c>
      <c r="H42" s="344">
        <f t="shared" si="1"/>
        <v>7</v>
      </c>
      <c r="I42" s="7"/>
      <c r="J42" s="7"/>
      <c r="K42" s="7"/>
      <c r="L42" s="7"/>
      <c r="M42" s="7"/>
      <c r="N42" s="7"/>
      <c r="O42" s="7"/>
      <c r="P42" s="7"/>
      <c r="Q42" s="7"/>
      <c r="R42" s="7"/>
      <c r="S42" s="7"/>
      <c r="T42" s="7"/>
      <c r="U42" s="7"/>
      <c r="V42" s="7"/>
      <c r="W42" s="7"/>
      <c r="X42" s="7"/>
      <c r="Y42" s="7"/>
      <c r="Z42" s="7"/>
    </row>
    <row r="43" ht="18.75" customHeight="1">
      <c r="B43" s="211" t="s">
        <v>70</v>
      </c>
      <c r="D43" s="345">
        <f t="shared" ref="D43:H43" si="2">COUNTIF(D27:D40,"Tegen")</f>
        <v>3</v>
      </c>
      <c r="E43" s="346">
        <f t="shared" si="2"/>
        <v>2</v>
      </c>
      <c r="F43" s="346">
        <f t="shared" si="2"/>
        <v>0</v>
      </c>
      <c r="G43" s="346">
        <f t="shared" si="2"/>
        <v>0</v>
      </c>
      <c r="H43" s="346">
        <f t="shared" si="2"/>
        <v>0</v>
      </c>
      <c r="I43" s="7"/>
      <c r="J43" s="7"/>
      <c r="K43" s="7"/>
      <c r="L43" s="7"/>
      <c r="M43" s="7"/>
      <c r="N43" s="7"/>
      <c r="O43" s="7"/>
      <c r="P43" s="7"/>
      <c r="Q43" s="7"/>
      <c r="R43" s="7"/>
      <c r="S43" s="7"/>
      <c r="T43" s="7"/>
      <c r="U43" s="7"/>
      <c r="V43" s="7"/>
      <c r="W43" s="7"/>
      <c r="X43" s="7"/>
      <c r="Y43" s="7"/>
      <c r="Z43" s="7"/>
    </row>
    <row r="44" ht="18.75" customHeight="1">
      <c r="B44" s="347" t="s">
        <v>71</v>
      </c>
      <c r="D44" s="348">
        <f t="shared" ref="D44:H44" si="3">COUNTIF(D27:D40,"SO")</f>
        <v>1</v>
      </c>
      <c r="E44" s="349">
        <f t="shared" si="3"/>
        <v>0</v>
      </c>
      <c r="F44" s="349">
        <f t="shared" si="3"/>
        <v>0</v>
      </c>
      <c r="G44" s="349">
        <f t="shared" si="3"/>
        <v>0</v>
      </c>
      <c r="H44" s="349">
        <f t="shared" si="3"/>
        <v>0</v>
      </c>
      <c r="I44" s="7"/>
      <c r="J44" s="7"/>
      <c r="K44" s="7"/>
      <c r="L44" s="7"/>
      <c r="M44" s="7"/>
      <c r="N44" s="7"/>
      <c r="O44" s="7"/>
      <c r="P44" s="7"/>
      <c r="Q44" s="7"/>
      <c r="R44" s="7"/>
      <c r="S44" s="7"/>
      <c r="T44" s="7"/>
      <c r="U44" s="7"/>
      <c r="V44" s="7"/>
      <c r="W44" s="7"/>
      <c r="X44" s="7"/>
      <c r="Y44" s="7"/>
      <c r="Z44" s="7"/>
    </row>
    <row r="45" ht="18.75" customHeight="1">
      <c r="B45" s="350" t="s">
        <v>72</v>
      </c>
      <c r="D45" s="351">
        <f t="shared" ref="D45:H45" si="4">COUNTIF(D27:D40,"NG")</f>
        <v>0</v>
      </c>
      <c r="E45" s="352">
        <f t="shared" si="4"/>
        <v>0</v>
      </c>
      <c r="F45" s="352">
        <f t="shared" si="4"/>
        <v>1</v>
      </c>
      <c r="G45" s="352">
        <f t="shared" si="4"/>
        <v>3</v>
      </c>
      <c r="H45" s="352">
        <f t="shared" si="4"/>
        <v>1</v>
      </c>
      <c r="I45" s="7"/>
      <c r="J45" s="7"/>
      <c r="K45" s="7"/>
      <c r="L45" s="7"/>
      <c r="M45" s="7"/>
      <c r="N45" s="7"/>
      <c r="O45" s="7"/>
      <c r="P45" s="7"/>
      <c r="Q45" s="7"/>
      <c r="R45" s="7"/>
      <c r="S45" s="7"/>
      <c r="T45" s="7"/>
      <c r="U45" s="7"/>
      <c r="V45" s="7"/>
      <c r="W45" s="7"/>
      <c r="X45" s="7"/>
      <c r="Y45" s="7"/>
      <c r="Z45" s="7"/>
    </row>
    <row r="46" ht="18.75" customHeight="1">
      <c r="B46" s="232" t="s">
        <v>73</v>
      </c>
      <c r="D46" s="353">
        <f t="shared" ref="D46:H46" si="5">SUM(D42:D45)</f>
        <v>8</v>
      </c>
      <c r="E46" s="354">
        <f t="shared" si="5"/>
        <v>7</v>
      </c>
      <c r="F46" s="354">
        <f t="shared" si="5"/>
        <v>8</v>
      </c>
      <c r="G46" s="354">
        <f t="shared" si="5"/>
        <v>8</v>
      </c>
      <c r="H46" s="354">
        <f t="shared" si="5"/>
        <v>8</v>
      </c>
      <c r="I46" s="7"/>
      <c r="J46" s="7"/>
      <c r="K46" s="7"/>
      <c r="L46" s="7"/>
      <c r="M46" s="7"/>
      <c r="N46" s="7"/>
      <c r="O46" s="7"/>
      <c r="P46" s="7"/>
      <c r="Q46" s="7"/>
      <c r="R46" s="7"/>
      <c r="S46" s="7"/>
      <c r="T46" s="7"/>
      <c r="U46" s="7"/>
      <c r="V46" s="7"/>
      <c r="W46" s="7"/>
      <c r="X46" s="7"/>
      <c r="Y46" s="7"/>
      <c r="Z46" s="7"/>
    </row>
    <row r="47" ht="18.75" customHeight="1">
      <c r="B47" s="239" t="s">
        <v>74</v>
      </c>
      <c r="D47" s="355">
        <f t="shared" ref="D47:H47" si="6">D42+D43+D44</f>
        <v>8</v>
      </c>
      <c r="E47" s="356">
        <f t="shared" si="6"/>
        <v>7</v>
      </c>
      <c r="F47" s="356">
        <f t="shared" si="6"/>
        <v>7</v>
      </c>
      <c r="G47" s="356">
        <f t="shared" si="6"/>
        <v>5</v>
      </c>
      <c r="H47" s="356">
        <f t="shared" si="6"/>
        <v>7</v>
      </c>
      <c r="I47" s="7"/>
      <c r="J47" s="7"/>
      <c r="K47" s="7"/>
      <c r="L47" s="7"/>
      <c r="M47" s="7"/>
      <c r="N47" s="7"/>
      <c r="O47" s="7"/>
      <c r="P47" s="7"/>
      <c r="Q47" s="7"/>
      <c r="R47" s="7"/>
      <c r="S47" s="7"/>
      <c r="T47" s="7"/>
      <c r="U47" s="7"/>
      <c r="V47" s="7"/>
      <c r="W47" s="7"/>
      <c r="X47" s="7"/>
      <c r="Y47" s="7"/>
      <c r="Z47" s="7"/>
    </row>
    <row r="48" ht="18.75" customHeight="1">
      <c r="B48" s="246" t="s">
        <v>75</v>
      </c>
      <c r="C48" s="65"/>
      <c r="D48" s="357">
        <f t="shared" ref="D48:H48" si="7">IFERROR(D47/D46,"")</f>
        <v>1</v>
      </c>
      <c r="E48" s="326">
        <f t="shared" si="7"/>
        <v>1</v>
      </c>
      <c r="F48" s="326">
        <f t="shared" si="7"/>
        <v>0.875</v>
      </c>
      <c r="G48" s="326">
        <f t="shared" si="7"/>
        <v>0.625</v>
      </c>
      <c r="H48" s="326">
        <f t="shared" si="7"/>
        <v>0.875</v>
      </c>
      <c r="I48" s="7"/>
      <c r="J48" s="7"/>
      <c r="K48" s="7"/>
      <c r="L48" s="7"/>
      <c r="M48" s="7"/>
      <c r="N48" s="7"/>
      <c r="O48" s="7"/>
      <c r="P48" s="7"/>
      <c r="Q48" s="7"/>
      <c r="R48" s="7"/>
      <c r="S48" s="7"/>
      <c r="T48" s="7"/>
      <c r="U48" s="7"/>
      <c r="V48" s="7"/>
      <c r="W48" s="7"/>
      <c r="X48" s="7"/>
      <c r="Y48" s="7"/>
      <c r="Z48" s="7"/>
    </row>
    <row r="49" ht="18.75" customHeight="1">
      <c r="A49" s="60"/>
      <c r="B49" s="60"/>
      <c r="C49" s="60"/>
      <c r="D49" s="7"/>
      <c r="E49" s="7"/>
      <c r="F49" s="7"/>
      <c r="G49" s="7"/>
      <c r="H49" s="7"/>
      <c r="I49" s="7"/>
      <c r="J49" s="7"/>
      <c r="K49" s="7"/>
      <c r="L49" s="7"/>
      <c r="M49" s="7"/>
      <c r="N49" s="7"/>
      <c r="O49" s="7"/>
      <c r="P49" s="7"/>
      <c r="Q49" s="7"/>
      <c r="R49" s="7"/>
      <c r="S49" s="7"/>
      <c r="T49" s="7"/>
      <c r="U49" s="7"/>
      <c r="V49" s="7"/>
      <c r="W49" s="7"/>
      <c r="X49" s="7"/>
      <c r="Y49" s="7"/>
      <c r="Z49" s="7"/>
    </row>
    <row r="50" ht="18.75" customHeight="1">
      <c r="A50" s="152" t="s">
        <v>30</v>
      </c>
      <c r="B50" s="153"/>
      <c r="C50" s="154"/>
      <c r="D50" s="358" t="s">
        <v>150</v>
      </c>
      <c r="E50" s="359"/>
      <c r="F50" s="359"/>
      <c r="G50" s="359"/>
      <c r="H50" s="359"/>
      <c r="I50" s="7"/>
      <c r="J50" s="7"/>
      <c r="K50" s="7"/>
      <c r="L50" s="7"/>
      <c r="M50" s="7"/>
      <c r="N50" s="7"/>
      <c r="O50" s="7"/>
      <c r="P50" s="7"/>
      <c r="Q50" s="7"/>
      <c r="R50" s="7"/>
      <c r="S50" s="7"/>
      <c r="T50" s="7"/>
      <c r="U50" s="7"/>
      <c r="V50" s="7"/>
      <c r="W50" s="7"/>
      <c r="X50" s="7"/>
      <c r="Y50" s="7"/>
      <c r="Z50" s="7"/>
    </row>
    <row r="51" ht="18.75" customHeight="1">
      <c r="A51" s="158" t="s">
        <v>108</v>
      </c>
      <c r="C51" s="71"/>
      <c r="D51" s="360"/>
      <c r="E51" s="359"/>
      <c r="F51" s="359"/>
      <c r="G51" s="359"/>
      <c r="H51" s="359"/>
      <c r="I51" s="7"/>
      <c r="J51" s="7"/>
      <c r="K51" s="7"/>
      <c r="L51" s="7"/>
      <c r="M51" s="7"/>
      <c r="N51" s="7"/>
      <c r="O51" s="7"/>
      <c r="P51" s="7"/>
      <c r="Q51" s="7"/>
      <c r="R51" s="7"/>
      <c r="S51" s="7"/>
      <c r="T51" s="7"/>
      <c r="U51" s="7"/>
      <c r="V51" s="7"/>
      <c r="W51" s="7"/>
      <c r="X51" s="7"/>
      <c r="Y51" s="7"/>
      <c r="Z51" s="7"/>
    </row>
    <row r="52" ht="18.75" customHeight="1">
      <c r="C52" s="71"/>
      <c r="D52" s="361"/>
      <c r="E52" s="359"/>
      <c r="F52" s="359"/>
      <c r="G52" s="359"/>
      <c r="H52" s="359"/>
      <c r="I52" s="7"/>
      <c r="J52" s="7"/>
      <c r="K52" s="7"/>
      <c r="L52" s="7"/>
      <c r="M52" s="7"/>
      <c r="N52" s="7"/>
      <c r="O52" s="7"/>
      <c r="P52" s="7"/>
      <c r="Q52" s="7"/>
      <c r="R52" s="7"/>
      <c r="S52" s="7"/>
      <c r="T52" s="7"/>
      <c r="U52" s="7"/>
      <c r="V52" s="7"/>
      <c r="W52" s="7"/>
      <c r="X52" s="7"/>
      <c r="Y52" s="7"/>
      <c r="Z52" s="7"/>
    </row>
    <row r="53" ht="18.75" customHeight="1">
      <c r="A53" s="161" t="s">
        <v>33</v>
      </c>
      <c r="B53" s="162" t="s">
        <v>7</v>
      </c>
      <c r="C53" s="362" t="s">
        <v>34</v>
      </c>
      <c r="D53" s="363" t="s">
        <v>130</v>
      </c>
      <c r="E53" s="359"/>
      <c r="F53" s="359"/>
      <c r="G53" s="359"/>
      <c r="H53" s="359"/>
      <c r="I53" s="7"/>
      <c r="J53" s="7"/>
      <c r="K53" s="7"/>
      <c r="L53" s="7"/>
      <c r="M53" s="7"/>
      <c r="N53" s="7"/>
      <c r="O53" s="7"/>
      <c r="P53" s="7"/>
      <c r="Q53" s="7"/>
      <c r="R53" s="7"/>
      <c r="S53" s="7"/>
      <c r="T53" s="7"/>
      <c r="U53" s="7"/>
      <c r="V53" s="7"/>
      <c r="W53" s="7"/>
      <c r="X53" s="7"/>
      <c r="Y53" s="7"/>
      <c r="Z53" s="7"/>
    </row>
    <row r="54" ht="6.0" customHeight="1">
      <c r="A54" s="81"/>
      <c r="B54" s="82"/>
      <c r="C54" s="82"/>
      <c r="D54" s="312"/>
      <c r="E54" s="359"/>
      <c r="F54" s="359"/>
      <c r="G54" s="359"/>
      <c r="H54" s="359"/>
      <c r="I54" s="7"/>
      <c r="J54" s="7"/>
      <c r="K54" s="7"/>
      <c r="L54" s="7"/>
      <c r="M54" s="7"/>
      <c r="N54" s="7"/>
      <c r="O54" s="7"/>
      <c r="P54" s="7"/>
      <c r="Q54" s="7"/>
      <c r="R54" s="7"/>
      <c r="S54" s="7"/>
      <c r="T54" s="7"/>
      <c r="U54" s="7"/>
      <c r="V54" s="7"/>
      <c r="W54" s="7"/>
      <c r="X54" s="7"/>
      <c r="Y54" s="7"/>
      <c r="Z54" s="7"/>
    </row>
    <row r="55" ht="18.75" customHeight="1">
      <c r="A55" s="85" t="s">
        <v>140</v>
      </c>
      <c r="B55" s="86" t="s">
        <v>12</v>
      </c>
      <c r="C55" s="87" t="s">
        <v>40</v>
      </c>
      <c r="D55" s="168" t="s">
        <v>69</v>
      </c>
      <c r="E55" s="359"/>
      <c r="F55" s="359"/>
      <c r="G55" s="359"/>
      <c r="H55" s="359"/>
      <c r="I55" s="7"/>
      <c r="J55" s="7"/>
      <c r="K55" s="7"/>
      <c r="L55" s="7"/>
      <c r="M55" s="7"/>
      <c r="N55" s="7"/>
      <c r="O55" s="7"/>
      <c r="P55" s="7"/>
      <c r="Q55" s="7"/>
      <c r="R55" s="7"/>
      <c r="S55" s="7"/>
      <c r="T55" s="7"/>
      <c r="U55" s="7"/>
      <c r="V55" s="7"/>
      <c r="W55" s="7"/>
      <c r="X55" s="7"/>
      <c r="Y55" s="7"/>
      <c r="Z55" s="7"/>
    </row>
    <row r="56" ht="18.75" customHeight="1">
      <c r="A56" s="88"/>
      <c r="B56" s="330" t="s">
        <v>21</v>
      </c>
      <c r="C56" s="331" t="s">
        <v>141</v>
      </c>
      <c r="D56" s="168" t="s">
        <v>69</v>
      </c>
      <c r="E56" s="359"/>
      <c r="F56" s="359"/>
      <c r="G56" s="359"/>
      <c r="H56" s="359"/>
      <c r="I56" s="7"/>
      <c r="J56" s="7"/>
      <c r="K56" s="7"/>
      <c r="L56" s="7"/>
      <c r="M56" s="7"/>
      <c r="N56" s="7"/>
      <c r="O56" s="7"/>
      <c r="P56" s="7"/>
      <c r="Q56" s="7"/>
      <c r="R56" s="7"/>
      <c r="S56" s="7"/>
      <c r="T56" s="7"/>
      <c r="U56" s="7"/>
      <c r="V56" s="7"/>
      <c r="W56" s="7"/>
      <c r="X56" s="7"/>
      <c r="Y56" s="7"/>
      <c r="Z56" s="7"/>
    </row>
    <row r="57" ht="18.75" customHeight="1">
      <c r="A57" s="88"/>
      <c r="B57" s="364" t="s">
        <v>18</v>
      </c>
      <c r="C57" s="339" t="s">
        <v>106</v>
      </c>
      <c r="D57" s="168" t="s">
        <v>69</v>
      </c>
      <c r="E57" s="359"/>
      <c r="F57" s="359"/>
      <c r="G57" s="359"/>
      <c r="H57" s="359"/>
      <c r="I57" s="7"/>
      <c r="J57" s="7"/>
      <c r="K57" s="7"/>
      <c r="L57" s="7"/>
      <c r="M57" s="7"/>
      <c r="N57" s="7"/>
      <c r="O57" s="7"/>
      <c r="P57" s="7"/>
      <c r="Q57" s="7"/>
      <c r="R57" s="7"/>
      <c r="S57" s="7"/>
      <c r="T57" s="7"/>
      <c r="U57" s="7"/>
      <c r="V57" s="7"/>
      <c r="W57" s="7"/>
      <c r="X57" s="7"/>
      <c r="Y57" s="7"/>
      <c r="Z57" s="7"/>
    </row>
    <row r="58" ht="18.75" customHeight="1">
      <c r="A58" s="106"/>
      <c r="B58" s="334" t="s">
        <v>25</v>
      </c>
      <c r="C58" s="103" t="s">
        <v>53</v>
      </c>
      <c r="D58" s="168" t="s">
        <v>69</v>
      </c>
      <c r="E58" s="359"/>
      <c r="F58" s="359"/>
      <c r="G58" s="359"/>
      <c r="H58" s="359"/>
      <c r="I58" s="7"/>
      <c r="J58" s="7"/>
      <c r="K58" s="7"/>
      <c r="L58" s="7"/>
      <c r="M58" s="7"/>
      <c r="N58" s="7"/>
      <c r="O58" s="7"/>
      <c r="P58" s="7"/>
      <c r="Q58" s="7"/>
      <c r="R58" s="7"/>
      <c r="S58" s="7"/>
      <c r="T58" s="7"/>
      <c r="U58" s="7"/>
      <c r="V58" s="7"/>
      <c r="W58" s="7"/>
      <c r="X58" s="7"/>
      <c r="Y58" s="7"/>
      <c r="Z58" s="7"/>
    </row>
    <row r="59" ht="3.75" customHeight="1">
      <c r="A59" s="107"/>
      <c r="B59" s="108"/>
      <c r="C59" s="109"/>
      <c r="D59" s="182"/>
      <c r="E59" s="359"/>
      <c r="F59" s="359"/>
      <c r="G59" s="359"/>
      <c r="H59" s="359"/>
      <c r="I59" s="7"/>
      <c r="J59" s="7"/>
      <c r="K59" s="7"/>
      <c r="L59" s="7"/>
      <c r="M59" s="7"/>
      <c r="N59" s="7"/>
      <c r="O59" s="7"/>
      <c r="P59" s="7"/>
      <c r="Q59" s="7"/>
      <c r="R59" s="7"/>
      <c r="S59" s="7"/>
      <c r="T59" s="7"/>
      <c r="U59" s="7"/>
      <c r="V59" s="7"/>
      <c r="W59" s="7"/>
      <c r="X59" s="7"/>
      <c r="Y59" s="7"/>
      <c r="Z59" s="7"/>
    </row>
    <row r="60" ht="18.75" customHeight="1">
      <c r="A60" s="183" t="s">
        <v>143</v>
      </c>
      <c r="B60" s="184" t="s">
        <v>15</v>
      </c>
      <c r="C60" s="314" t="s">
        <v>144</v>
      </c>
      <c r="D60" s="168" t="s">
        <v>69</v>
      </c>
      <c r="E60" s="359"/>
      <c r="F60" s="359"/>
      <c r="G60" s="359"/>
      <c r="H60" s="359"/>
      <c r="I60" s="7"/>
      <c r="J60" s="7"/>
      <c r="K60" s="7"/>
      <c r="L60" s="7"/>
      <c r="M60" s="7"/>
      <c r="N60" s="7"/>
      <c r="O60" s="7"/>
      <c r="P60" s="7"/>
      <c r="Q60" s="7"/>
      <c r="R60" s="7"/>
      <c r="S60" s="7"/>
      <c r="T60" s="7"/>
      <c r="U60" s="7"/>
      <c r="V60" s="7"/>
      <c r="W60" s="7"/>
      <c r="X60" s="7"/>
      <c r="Y60" s="7"/>
      <c r="Z60" s="7"/>
    </row>
    <row r="61" ht="18.75" customHeight="1">
      <c r="A61" s="88"/>
      <c r="B61" s="66"/>
      <c r="C61" s="365" t="s">
        <v>148</v>
      </c>
      <c r="D61" s="168" t="s">
        <v>69</v>
      </c>
      <c r="E61" s="359"/>
      <c r="F61" s="359"/>
      <c r="G61" s="359"/>
      <c r="H61" s="359"/>
      <c r="I61" s="7"/>
      <c r="J61" s="7"/>
      <c r="K61" s="7"/>
      <c r="L61" s="7"/>
      <c r="M61" s="7"/>
      <c r="N61" s="7"/>
      <c r="O61" s="7"/>
      <c r="P61" s="7"/>
      <c r="Q61" s="7"/>
      <c r="R61" s="7"/>
      <c r="S61" s="7"/>
      <c r="T61" s="7"/>
      <c r="U61" s="7"/>
      <c r="V61" s="7"/>
      <c r="W61" s="7"/>
      <c r="X61" s="7"/>
      <c r="Y61" s="7"/>
      <c r="Z61" s="7"/>
    </row>
    <row r="62" ht="18.75" customHeight="1">
      <c r="A62" s="88"/>
      <c r="B62" s="332" t="s">
        <v>23</v>
      </c>
      <c r="C62" s="333" t="s">
        <v>142</v>
      </c>
      <c r="D62" s="168" t="s">
        <v>100</v>
      </c>
      <c r="E62" s="359"/>
      <c r="F62" s="359"/>
      <c r="G62" s="359"/>
      <c r="H62" s="359"/>
      <c r="I62" s="7"/>
      <c r="J62" s="7"/>
      <c r="K62" s="7"/>
      <c r="L62" s="7"/>
      <c r="M62" s="7"/>
      <c r="N62" s="7"/>
      <c r="O62" s="7"/>
      <c r="P62" s="7"/>
      <c r="Q62" s="7"/>
      <c r="R62" s="7"/>
      <c r="S62" s="7"/>
      <c r="T62" s="7"/>
      <c r="U62" s="7"/>
      <c r="V62" s="7"/>
      <c r="W62" s="7"/>
      <c r="X62" s="7"/>
      <c r="Y62" s="7"/>
      <c r="Z62" s="7"/>
    </row>
    <row r="63" ht="18.75" customHeight="1">
      <c r="A63" s="88"/>
      <c r="B63" s="291" t="s">
        <v>149</v>
      </c>
      <c r="C63" s="292" t="s">
        <v>135</v>
      </c>
      <c r="D63" s="168" t="s">
        <v>69</v>
      </c>
      <c r="E63" s="359"/>
      <c r="F63" s="359"/>
      <c r="G63" s="359"/>
      <c r="H63" s="359"/>
      <c r="I63" s="7"/>
      <c r="J63" s="7"/>
      <c r="K63" s="7"/>
      <c r="L63" s="7"/>
      <c r="M63" s="7"/>
      <c r="N63" s="7"/>
      <c r="O63" s="7"/>
      <c r="P63" s="7"/>
      <c r="Q63" s="7"/>
      <c r="R63" s="7"/>
      <c r="S63" s="7"/>
      <c r="T63" s="7"/>
      <c r="U63" s="7"/>
      <c r="V63" s="7"/>
      <c r="W63" s="7"/>
      <c r="X63" s="7"/>
      <c r="Y63" s="7"/>
      <c r="Z63" s="7"/>
    </row>
    <row r="64" ht="6.0" customHeight="1">
      <c r="A64" s="126"/>
      <c r="B64" s="82"/>
      <c r="C64" s="127"/>
      <c r="D64" s="312"/>
      <c r="E64" s="359"/>
      <c r="F64" s="359"/>
      <c r="G64" s="359"/>
      <c r="H64" s="359"/>
      <c r="I64" s="7"/>
      <c r="J64" s="7"/>
      <c r="K64" s="7"/>
      <c r="L64" s="7"/>
      <c r="M64" s="7"/>
      <c r="N64" s="7"/>
      <c r="O64" s="7"/>
      <c r="P64" s="7"/>
      <c r="Q64" s="7"/>
      <c r="R64" s="7"/>
      <c r="S64" s="7"/>
      <c r="T64" s="7"/>
      <c r="U64" s="7"/>
      <c r="V64" s="7"/>
      <c r="W64" s="7"/>
      <c r="X64" s="7"/>
      <c r="Y64" s="7"/>
      <c r="Z64" s="7"/>
    </row>
    <row r="65" ht="18.75" customHeight="1">
      <c r="A65" s="202" t="s">
        <v>68</v>
      </c>
      <c r="B65" s="203" t="s">
        <v>69</v>
      </c>
      <c r="C65" s="204"/>
      <c r="D65" s="343">
        <f>COUNTIF(D52:D63,"Voor")</f>
        <v>7</v>
      </c>
      <c r="E65" s="359"/>
      <c r="F65" s="359"/>
      <c r="G65" s="359"/>
      <c r="H65" s="359"/>
      <c r="I65" s="7"/>
      <c r="J65" s="7"/>
      <c r="K65" s="7"/>
      <c r="L65" s="7"/>
      <c r="M65" s="7"/>
      <c r="N65" s="7"/>
      <c r="O65" s="7"/>
      <c r="P65" s="7"/>
      <c r="Q65" s="7"/>
      <c r="R65" s="7"/>
      <c r="S65" s="7"/>
      <c r="T65" s="7"/>
      <c r="U65" s="7"/>
      <c r="V65" s="7"/>
      <c r="W65" s="7"/>
      <c r="X65" s="7"/>
      <c r="Y65" s="7"/>
      <c r="Z65" s="7"/>
    </row>
    <row r="66" ht="18.75" customHeight="1">
      <c r="B66" s="211" t="s">
        <v>70</v>
      </c>
      <c r="D66" s="345">
        <f>COUNTIF(D52:D63,"Tegen")</f>
        <v>0</v>
      </c>
      <c r="E66" s="359"/>
      <c r="F66" s="359"/>
      <c r="G66" s="359"/>
      <c r="H66" s="359"/>
      <c r="I66" s="7"/>
      <c r="J66" s="7"/>
      <c r="K66" s="7"/>
      <c r="L66" s="7"/>
      <c r="M66" s="7"/>
      <c r="N66" s="7"/>
      <c r="O66" s="7"/>
      <c r="P66" s="7"/>
      <c r="Q66" s="7"/>
      <c r="R66" s="7"/>
      <c r="S66" s="7"/>
      <c r="T66" s="7"/>
      <c r="U66" s="7"/>
      <c r="V66" s="7"/>
      <c r="W66" s="7"/>
      <c r="X66" s="7"/>
      <c r="Y66" s="7"/>
      <c r="Z66" s="7"/>
    </row>
    <row r="67" ht="18.75" customHeight="1">
      <c r="B67" s="347" t="s">
        <v>71</v>
      </c>
      <c r="D67" s="348">
        <f>COUNTIF(D52:D63,"SO")</f>
        <v>0</v>
      </c>
      <c r="E67" s="359"/>
      <c r="F67" s="359"/>
      <c r="G67" s="359"/>
      <c r="H67" s="359"/>
      <c r="I67" s="7"/>
      <c r="J67" s="7"/>
      <c r="K67" s="7"/>
      <c r="L67" s="7"/>
      <c r="M67" s="7"/>
      <c r="N67" s="7"/>
      <c r="O67" s="7"/>
      <c r="P67" s="7"/>
      <c r="Q67" s="7"/>
      <c r="R67" s="7"/>
      <c r="S67" s="7"/>
      <c r="T67" s="7"/>
      <c r="U67" s="7"/>
      <c r="V67" s="7"/>
      <c r="W67" s="7"/>
      <c r="X67" s="7"/>
      <c r="Y67" s="7"/>
      <c r="Z67" s="7"/>
    </row>
    <row r="68" ht="18.75" customHeight="1">
      <c r="B68" s="350" t="s">
        <v>72</v>
      </c>
      <c r="D68" s="351">
        <f>COUNTIF(D52:D63,"NG")</f>
        <v>1</v>
      </c>
      <c r="E68" s="359"/>
      <c r="F68" s="359"/>
      <c r="G68" s="359"/>
      <c r="H68" s="359"/>
      <c r="I68" s="7"/>
      <c r="J68" s="7"/>
      <c r="K68" s="7"/>
      <c r="L68" s="7"/>
      <c r="M68" s="7"/>
      <c r="N68" s="7"/>
      <c r="O68" s="7"/>
      <c r="P68" s="7"/>
      <c r="Q68" s="7"/>
      <c r="R68" s="7"/>
      <c r="S68" s="7"/>
      <c r="T68" s="7"/>
      <c r="U68" s="7"/>
      <c r="V68" s="7"/>
      <c r="W68" s="7"/>
      <c r="X68" s="7"/>
      <c r="Y68" s="7"/>
      <c r="Z68" s="7"/>
    </row>
    <row r="69" ht="18.75" customHeight="1">
      <c r="B69" s="232" t="s">
        <v>73</v>
      </c>
      <c r="D69" s="353">
        <f>SUM(D65:D68)</f>
        <v>8</v>
      </c>
      <c r="E69" s="359"/>
      <c r="F69" s="359"/>
      <c r="G69" s="359"/>
      <c r="H69" s="359"/>
      <c r="I69" s="7"/>
      <c r="J69" s="7"/>
      <c r="K69" s="7"/>
      <c r="L69" s="7"/>
      <c r="M69" s="7"/>
      <c r="N69" s="7"/>
      <c r="O69" s="7"/>
      <c r="P69" s="7"/>
      <c r="Q69" s="7"/>
      <c r="R69" s="7"/>
      <c r="S69" s="7"/>
      <c r="T69" s="7"/>
      <c r="U69" s="7"/>
      <c r="V69" s="7"/>
      <c r="W69" s="7"/>
      <c r="X69" s="7"/>
      <c r="Y69" s="7"/>
      <c r="Z69" s="7"/>
    </row>
    <row r="70" ht="18.75" customHeight="1">
      <c r="B70" s="239" t="s">
        <v>74</v>
      </c>
      <c r="D70" s="355">
        <f>D65+D66+D67</f>
        <v>7</v>
      </c>
      <c r="E70" s="359"/>
      <c r="F70" s="359"/>
      <c r="G70" s="359"/>
      <c r="H70" s="359"/>
      <c r="I70" s="7"/>
      <c r="J70" s="7"/>
      <c r="K70" s="7"/>
      <c r="L70" s="7"/>
      <c r="M70" s="7"/>
      <c r="N70" s="7"/>
      <c r="O70" s="7"/>
      <c r="P70" s="7"/>
      <c r="Q70" s="7"/>
      <c r="R70" s="7"/>
      <c r="S70" s="7"/>
      <c r="T70" s="7"/>
      <c r="U70" s="7"/>
      <c r="V70" s="7"/>
      <c r="W70" s="7"/>
      <c r="X70" s="7"/>
      <c r="Y70" s="7"/>
      <c r="Z70" s="7"/>
    </row>
    <row r="71" ht="18.75" customHeight="1">
      <c r="B71" s="246" t="s">
        <v>75</v>
      </c>
      <c r="C71" s="65"/>
      <c r="D71" s="357">
        <f>IFERROR(D70/D69,"")</f>
        <v>0.875</v>
      </c>
      <c r="E71" s="359"/>
      <c r="F71" s="359"/>
      <c r="G71" s="359"/>
      <c r="H71" s="359"/>
      <c r="I71" s="7"/>
      <c r="J71" s="7"/>
      <c r="K71" s="7"/>
      <c r="L71" s="7"/>
      <c r="M71" s="7"/>
      <c r="N71" s="7"/>
      <c r="O71" s="7"/>
      <c r="P71" s="7"/>
      <c r="Q71" s="7"/>
      <c r="R71" s="7"/>
      <c r="S71" s="7"/>
      <c r="T71" s="7"/>
      <c r="U71" s="7"/>
      <c r="V71" s="7"/>
      <c r="W71" s="7"/>
      <c r="X71" s="7"/>
      <c r="Y71" s="7"/>
      <c r="Z71" s="7"/>
    </row>
    <row r="72" ht="18.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8.75" customHeight="1">
      <c r="A73" s="7"/>
      <c r="B73" s="7"/>
      <c r="C73" s="7"/>
      <c r="D73" s="7"/>
      <c r="E73" s="60"/>
      <c r="F73" s="60"/>
      <c r="G73" s="60"/>
      <c r="H73" s="60"/>
      <c r="I73" s="7"/>
      <c r="J73" s="7"/>
      <c r="K73" s="7"/>
      <c r="L73" s="7"/>
      <c r="M73" s="7"/>
      <c r="N73" s="7"/>
      <c r="O73" s="7"/>
      <c r="P73" s="7"/>
      <c r="Q73" s="7"/>
      <c r="R73" s="7"/>
      <c r="S73" s="7"/>
      <c r="T73" s="7"/>
      <c r="U73" s="7"/>
      <c r="V73" s="7"/>
      <c r="W73" s="7"/>
      <c r="X73" s="7"/>
      <c r="Y73" s="7"/>
      <c r="Z73" s="7"/>
    </row>
    <row r="74" ht="18.75" customHeight="1">
      <c r="A74" s="7"/>
      <c r="B74" s="7"/>
      <c r="C74" s="7"/>
      <c r="D74" s="295"/>
      <c r="E74" s="296" t="s">
        <v>151</v>
      </c>
      <c r="F74" s="108"/>
      <c r="G74" s="108"/>
      <c r="H74" s="109"/>
      <c r="I74" s="7"/>
      <c r="J74" s="7"/>
      <c r="K74" s="7"/>
      <c r="L74" s="7"/>
      <c r="M74" s="7"/>
      <c r="N74" s="7"/>
      <c r="O74" s="7"/>
      <c r="P74" s="7"/>
      <c r="Q74" s="7"/>
      <c r="R74" s="7"/>
      <c r="S74" s="7"/>
      <c r="T74" s="7"/>
      <c r="U74" s="7"/>
      <c r="V74" s="7"/>
      <c r="W74" s="7"/>
      <c r="X74" s="7"/>
      <c r="Y74" s="7"/>
      <c r="Z74" s="7"/>
    </row>
  </sheetData>
  <mergeCells count="55">
    <mergeCell ref="B44:C44"/>
    <mergeCell ref="A41:C41"/>
    <mergeCell ref="B43:C43"/>
    <mergeCell ref="B42:C42"/>
    <mergeCell ref="B46:C46"/>
    <mergeCell ref="B47:C47"/>
    <mergeCell ref="B48:C48"/>
    <mergeCell ref="A50:C50"/>
    <mergeCell ref="A54:C54"/>
    <mergeCell ref="A51:C52"/>
    <mergeCell ref="D50:D52"/>
    <mergeCell ref="B69:C69"/>
    <mergeCell ref="B70:C70"/>
    <mergeCell ref="B67:C67"/>
    <mergeCell ref="B68:C68"/>
    <mergeCell ref="B60:B61"/>
    <mergeCell ref="A59:C59"/>
    <mergeCell ref="A65:A71"/>
    <mergeCell ref="A60:A63"/>
    <mergeCell ref="A55:A58"/>
    <mergeCell ref="B65:C65"/>
    <mergeCell ref="B66:C66"/>
    <mergeCell ref="E74:H74"/>
    <mergeCell ref="B71:C71"/>
    <mergeCell ref="A64:C64"/>
    <mergeCell ref="A12:A15"/>
    <mergeCell ref="A16:C16"/>
    <mergeCell ref="A7:A10"/>
    <mergeCell ref="A30:A33"/>
    <mergeCell ref="A34:C34"/>
    <mergeCell ref="B22:C22"/>
    <mergeCell ref="A29:C29"/>
    <mergeCell ref="B45:C45"/>
    <mergeCell ref="B21:C21"/>
    <mergeCell ref="B23:C23"/>
    <mergeCell ref="D2:L4"/>
    <mergeCell ref="A3:C4"/>
    <mergeCell ref="A2:C2"/>
    <mergeCell ref="B17:C17"/>
    <mergeCell ref="B18:C18"/>
    <mergeCell ref="A35:A40"/>
    <mergeCell ref="A42:A48"/>
    <mergeCell ref="B14:B15"/>
    <mergeCell ref="B12:B13"/>
    <mergeCell ref="D25:H27"/>
    <mergeCell ref="A25:C25"/>
    <mergeCell ref="A26:C27"/>
    <mergeCell ref="A11:C11"/>
    <mergeCell ref="D6:L6"/>
    <mergeCell ref="A6:C6"/>
    <mergeCell ref="A17:A23"/>
    <mergeCell ref="B19:C19"/>
    <mergeCell ref="B20:C20"/>
    <mergeCell ref="B35:B37"/>
    <mergeCell ref="B38:B39"/>
  </mergeCells>
  <conditionalFormatting sqref="A1:L2 M1:Z71 E7:H24 I7:L71 A24:D24 A49:H49">
    <cfRule type="containsText" dxfId="0" priority="1" operator="containsText" text="SO">
      <formula>NOT(ISERROR(SEARCH(("SO"),(A1))))</formula>
    </cfRule>
  </conditionalFormatting>
  <conditionalFormatting sqref="A1:L2 M1:Z71 E7:H24 I7:L71 A24:D24 A49:H49">
    <cfRule type="containsText" dxfId="1" priority="2" operator="containsText" text="N.v.t.">
      <formula>NOT(ISERROR(SEARCH(("N.v.t."),(A1))))</formula>
    </cfRule>
  </conditionalFormatting>
  <conditionalFormatting sqref="A1:L2 M1:Z71 E7:H24 I7:L71 A24:D24 A49:H49">
    <cfRule type="containsText" dxfId="2" priority="3" operator="containsText" text="Voor">
      <formula>NOT(ISERROR(SEARCH(("Voor"),(A1))))</formula>
    </cfRule>
  </conditionalFormatting>
  <conditionalFormatting sqref="A1:L2 M1:Z71 E7:H24 I7:L71 A24:D24 A49:H49">
    <cfRule type="containsText" dxfId="3" priority="4" operator="containsText" text="Tegen">
      <formula>NOT(ISERROR(SEARCH(("Tegen"),(A1))))</formula>
    </cfRule>
  </conditionalFormatting>
  <conditionalFormatting sqref="A1:L2 M1:Z71 E7:H24 I7:L71 A24:D24 A49:H49">
    <cfRule type="containsText" dxfId="4" priority="5" operator="containsText" text="N.v.t.">
      <formula>NOT(ISERROR(SEARCH(("N.v.t."),(A1))))</formula>
    </cfRule>
  </conditionalFormatting>
  <conditionalFormatting sqref="A1:L2 M1:Z71 E7:H24 I7:L71 A24:D24 A49:H49">
    <cfRule type="cellIs" dxfId="0" priority="6" operator="equal">
      <formula>"SO"</formula>
    </cfRule>
  </conditionalFormatting>
  <conditionalFormatting sqref="A1:L2 M1:Z71 E7:H24 I7:L71 A24:D24 A49:H49">
    <cfRule type="cellIs" dxfId="5" priority="7" operator="equal">
      <formula>"NG"</formula>
    </cfRule>
  </conditionalFormatting>
  <conditionalFormatting sqref="A1:C25 D1:Z71 A28:B71 C28:C34 C38:C71">
    <cfRule type="containsText" dxfId="6" priority="8" operator="containsText" text="voor">
      <formula>NOT(ISERROR(SEARCH(("voor"),(A1))))</formula>
    </cfRule>
  </conditionalFormatting>
  <conditionalFormatting sqref="A1:C25 D1:Z71 A28:B71 C28:C34 C38:C71">
    <cfRule type="containsText" dxfId="7" priority="9" operator="containsText" text="tegen">
      <formula>NOT(ISERROR(SEARCH(("tegen"),(A1))))</formula>
    </cfRule>
  </conditionalFormatting>
  <conditionalFormatting sqref="A1:C2 D1:Z71 A24:C24 A49:C49">
    <cfRule type="containsText" dxfId="8" priority="10" operator="containsText" text="SO">
      <formula>NOT(ISERROR(SEARCH(("SO"),(A1))))</formula>
    </cfRule>
  </conditionalFormatting>
  <conditionalFormatting sqref="A1:C2 D1:Z71 A24:C24 A49:C49">
    <cfRule type="containsText" dxfId="9" priority="11" operator="containsText" text="NG">
      <formula>NOT(ISERROR(SEARCH(("NG"),(A1))))</formula>
    </cfRule>
  </conditionalFormatting>
  <hyperlinks>
    <hyperlink display="Klik HIER voor resultaten Eerste Kamer Pre-verkiezing VII" location="EK Stemoverzicht (Pre-Verkiezin!A1" ref="E74"/>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2.14"/>
    <col customWidth="1" min="2" max="2" width="9.14"/>
    <col customWidth="1" min="3" max="3" width="6.86"/>
    <col customWidth="1" min="4" max="4" width="98.29"/>
    <col customWidth="1" min="5" max="5" width="12.14"/>
    <col customWidth="1" min="6" max="6" width="15.14"/>
    <col customWidth="1" min="7" max="7" width="132.86"/>
  </cols>
  <sheetData>
    <row r="1" ht="24.75" customHeight="1">
      <c r="A1" s="366" t="s">
        <v>152</v>
      </c>
      <c r="B1" s="367" t="s">
        <v>153</v>
      </c>
      <c r="C1" s="368" t="s">
        <v>154</v>
      </c>
      <c r="D1" s="369" t="s">
        <v>155</v>
      </c>
      <c r="E1" s="370" t="s">
        <v>156</v>
      </c>
      <c r="F1" s="370" t="s">
        <v>157</v>
      </c>
      <c r="G1" s="371" t="s">
        <v>158</v>
      </c>
    </row>
    <row r="2">
      <c r="C2" s="114"/>
      <c r="D2" s="372"/>
      <c r="G2" s="372"/>
    </row>
    <row r="3">
      <c r="A3" s="373" t="s">
        <v>159</v>
      </c>
      <c r="B3" s="374" t="s">
        <v>160</v>
      </c>
      <c r="C3" s="375" t="s">
        <v>161</v>
      </c>
      <c r="D3" s="376" t="str">
        <f>HYPERLINK("https://www.reddit.com/r/RMTK/comments/3bjrhd/m0001_motie_voor_steun_aan_griekenland/","Motie voor steun aan Griekenland")</f>
        <v>Motie voor steun aan Griekenland</v>
      </c>
      <c r="E3" s="377" t="s">
        <v>162</v>
      </c>
      <c r="F3" s="377" t="s">
        <v>163</v>
      </c>
      <c r="G3" s="378"/>
    </row>
    <row r="4">
      <c r="B4" s="374" t="s">
        <v>164</v>
      </c>
      <c r="C4" s="379" t="s">
        <v>165</v>
      </c>
      <c r="D4" s="376" t="str">
        <f>HYPERLINK("https://www.reddit.com/r/RMTK/comments/3bqskd/m0002_motie_over_rijbewijs_als_reisdocument/","Motie voor rijbewijs als reisdocument")</f>
        <v>Motie voor rijbewijs als reisdocument</v>
      </c>
      <c r="E4" s="377" t="s">
        <v>166</v>
      </c>
      <c r="F4" s="377" t="s">
        <v>163</v>
      </c>
      <c r="G4" s="378"/>
    </row>
    <row r="5">
      <c r="B5" s="374" t="s">
        <v>167</v>
      </c>
      <c r="C5" s="380" t="s">
        <v>168</v>
      </c>
      <c r="D5" s="376" t="str">
        <f>HYPERLINK("https://www.reddit.com/r/RMTK/comments/3buoyf/m0003_motie_tot_behoud_van_het_luchtalarm/","Motie tot Behoud van het luchtalarm")</f>
        <v>Motie tot Behoud van het luchtalarm</v>
      </c>
      <c r="E5" s="377" t="s">
        <v>166</v>
      </c>
      <c r="F5" s="377" t="s">
        <v>163</v>
      </c>
      <c r="G5" s="378"/>
    </row>
    <row r="6">
      <c r="B6" s="374" t="s">
        <v>169</v>
      </c>
      <c r="C6" s="381" t="s">
        <v>12</v>
      </c>
      <c r="D6" s="376" t="str">
        <f>HYPERLINK("https://www.reddit.com/r/RMTK/comments/3dfb15/m0004_dreiging_vanuit_venezuela/","Motie voor dreiging uit Venezuela")</f>
        <v>Motie voor dreiging uit Venezuela</v>
      </c>
      <c r="E6" s="377" t="s">
        <v>170</v>
      </c>
      <c r="F6" s="382"/>
      <c r="G6" s="378"/>
    </row>
    <row r="7">
      <c r="B7" s="374" t="s">
        <v>171</v>
      </c>
      <c r="C7" s="380" t="s">
        <v>168</v>
      </c>
      <c r="D7" s="376" t="str">
        <f>HYPERLINK("https://www.reddit.com/r/RMTK/comments/3dzn6q/m0005_vnmissie_bijdrageverhoging/","Motie voor VN-missiebijdrage verhoging")</f>
        <v>Motie voor VN-missiebijdrage verhoging</v>
      </c>
      <c r="E7" s="377" t="s">
        <v>166</v>
      </c>
      <c r="F7" s="377" t="s">
        <v>163</v>
      </c>
      <c r="G7" s="378"/>
    </row>
    <row r="8">
      <c r="B8" s="374" t="s">
        <v>172</v>
      </c>
      <c r="C8" s="380" t="s">
        <v>21</v>
      </c>
      <c r="D8" s="376" t="str">
        <f>HYPERLINK("https://www.reddit.com/r/RMTK/comments/3efwlh/m0006_verhoging_shagaccijns/","Motie voor verhoging shag accijns")</f>
        <v>Motie voor verhoging shag accijns</v>
      </c>
      <c r="E8" s="377" t="s">
        <v>166</v>
      </c>
      <c r="F8" s="377" t="s">
        <v>163</v>
      </c>
      <c r="G8" s="378"/>
    </row>
    <row r="9">
      <c r="B9" s="374" t="s">
        <v>173</v>
      </c>
      <c r="C9" s="383" t="s">
        <v>174</v>
      </c>
      <c r="D9" s="376" t="str">
        <f>HYPERLINK("https://www.reddit.com/r/RMTK/comments/3f0xzn/m0007_bescherming_van_nederlandse_transport/","Motie voor bescherming van Nederlandse transport ondernemers in Frankrijk")</f>
        <v>Motie voor bescherming van Nederlandse transport ondernemers in Frankrijk</v>
      </c>
      <c r="E9" s="377" t="s">
        <v>162</v>
      </c>
      <c r="F9" s="377" t="s">
        <v>163</v>
      </c>
      <c r="G9" s="378"/>
    </row>
    <row r="10">
      <c r="B10" s="374" t="s">
        <v>175</v>
      </c>
      <c r="C10" s="380" t="s">
        <v>21</v>
      </c>
      <c r="D10" s="376" t="str">
        <f>HYPERLINK("https://www.reddit.com/r/RMTK/comments/3fahb2/m0008_motie_tot_bouw_kerncentrale_borsele_ii/","Motie tot bouw kerncentrale Borssele II")</f>
        <v>Motie tot bouw kerncentrale Borssele II</v>
      </c>
      <c r="E10" s="377" t="s">
        <v>166</v>
      </c>
      <c r="F10" s="377" t="s">
        <v>163</v>
      </c>
      <c r="G10" s="384"/>
    </row>
    <row r="11">
      <c r="B11" s="374" t="s">
        <v>176</v>
      </c>
      <c r="C11" s="385" t="s">
        <v>177</v>
      </c>
      <c r="D11" s="376" t="str">
        <f>HYPERLINK("https://www.reddit.com/r/RMTK/comments/3g528t/m0009_motie_tot_hervorming_van/","Motie tot hervorming van vermogensrendementheffing")</f>
        <v>Motie tot hervorming van vermogensrendementheffing</v>
      </c>
      <c r="E11" s="377" t="s">
        <v>166</v>
      </c>
      <c r="F11" s="377" t="s">
        <v>163</v>
      </c>
      <c r="G11" s="378"/>
    </row>
    <row r="12">
      <c r="B12" s="374" t="s">
        <v>178</v>
      </c>
      <c r="C12" s="385" t="s">
        <v>177</v>
      </c>
      <c r="D12" s="376" t="str">
        <f>HYPERLINK("https://www.reddit.com/r/RMTK/comments/3ic6p9/m0010_motie_betreffende_onderzoek_naar_een/","Motie betreffende onderzoek naar een onafhankelijk Nederlands lanceervoertuig")</f>
        <v>Motie betreffende onderzoek naar een onafhankelijk Nederlands lanceervoertuig</v>
      </c>
      <c r="E12" s="377" t="s">
        <v>162</v>
      </c>
      <c r="F12" s="377" t="s">
        <v>163</v>
      </c>
      <c r="G12" s="378"/>
    </row>
    <row r="13">
      <c r="B13" s="386" t="s">
        <v>179</v>
      </c>
      <c r="C13" s="385" t="s">
        <v>177</v>
      </c>
      <c r="D13" s="384" t="s">
        <v>180</v>
      </c>
      <c r="E13" s="382" t="s">
        <v>170</v>
      </c>
      <c r="F13" s="382"/>
      <c r="G13" s="384" t="s">
        <v>181</v>
      </c>
    </row>
    <row r="14">
      <c r="B14" s="386" t="s">
        <v>182</v>
      </c>
      <c r="C14" s="383" t="s">
        <v>174</v>
      </c>
      <c r="D14" s="387" t="s">
        <v>183</v>
      </c>
      <c r="E14" s="382" t="s">
        <v>170</v>
      </c>
      <c r="F14" s="382"/>
      <c r="G14" s="384" t="s">
        <v>184</v>
      </c>
    </row>
    <row r="15">
      <c r="B15" s="374" t="s">
        <v>185</v>
      </c>
      <c r="C15" s="380" t="s">
        <v>21</v>
      </c>
      <c r="D15" s="376" t="str">
        <f>HYPERLINK("https://www.reddit.com/r/RMTK/comments/3jdwj4/m0012_erkenning_holodomor_en_armeense_genocide/","Motie tot erkenning Holodomor en Armeense genocide")</f>
        <v>Motie tot erkenning Holodomor en Armeense genocide</v>
      </c>
      <c r="E15" s="377" t="s">
        <v>166</v>
      </c>
      <c r="F15" s="377" t="s">
        <v>163</v>
      </c>
      <c r="G15" s="384"/>
    </row>
    <row r="16">
      <c r="B16" s="374" t="s">
        <v>186</v>
      </c>
      <c r="C16" s="380" t="s">
        <v>187</v>
      </c>
      <c r="D16" s="376" t="str">
        <f>HYPERLINK("https://www.reddit.com/r/RMTK/comments/3jo2xz/m0013_gratis_ov_voor_open_dagen_en/","Motie tot gratis OV voor open dagen en matchingacitiviteiten.")</f>
        <v>Motie tot gratis OV voor open dagen en matchingacitiviteiten.</v>
      </c>
      <c r="E16" s="377" t="s">
        <v>170</v>
      </c>
      <c r="F16" s="382"/>
      <c r="G16" s="384" t="s">
        <v>188</v>
      </c>
    </row>
    <row r="17">
      <c r="B17" s="374" t="s">
        <v>189</v>
      </c>
      <c r="C17" s="380" t="s">
        <v>168</v>
      </c>
      <c r="D17" s="376" t="str">
        <f>HYPERLINK("https://www.reddit.com/r/RMTK/comments/3k7gpf/m0014_motie_tot_afschaffing_van_de_verplichte/","Motie tot afschaffing van de verplichte rekentoets voor middelbare scholieren")</f>
        <v>Motie tot afschaffing van de verplichte rekentoets voor middelbare scholieren</v>
      </c>
      <c r="E17" s="377" t="s">
        <v>170</v>
      </c>
      <c r="F17" s="382"/>
      <c r="G17" s="388" t="s">
        <v>188</v>
      </c>
    </row>
    <row r="18">
      <c r="B18" s="374" t="s">
        <v>190</v>
      </c>
      <c r="C18" s="381" t="s">
        <v>12</v>
      </c>
      <c r="D18" s="376" t="str">
        <f>HYPERLINK("https://www.reddit.com/r/RMTK/comments/3kj6x3/m0015_motie_betreffende_salarisverhoging_politie/","Motie betreffende salarisverhoging politie")</f>
        <v>Motie betreffende salarisverhoging politie</v>
      </c>
      <c r="E18" s="377" t="s">
        <v>166</v>
      </c>
      <c r="F18" s="377" t="s">
        <v>163</v>
      </c>
      <c r="G18" s="378"/>
    </row>
    <row r="19">
      <c r="B19" s="374" t="s">
        <v>191</v>
      </c>
      <c r="C19" s="385" t="s">
        <v>177</v>
      </c>
      <c r="D19" s="376" t="str">
        <f>HYPERLINK("https://www.reddit.com/r/RMTK/comments/3l5uso/m0016_motie_tot_het_invoeren_van_een_belasting_op/","Motie tot het invoeren van een belasting op uitstoot van broeikasgassen")</f>
        <v>Motie tot het invoeren van een belasting op uitstoot van broeikasgassen</v>
      </c>
      <c r="E19" s="382" t="s">
        <v>170</v>
      </c>
      <c r="F19" s="382"/>
      <c r="G19" s="378"/>
    </row>
    <row r="20">
      <c r="B20" s="374" t="s">
        <v>192</v>
      </c>
      <c r="C20" s="383" t="s">
        <v>174</v>
      </c>
      <c r="D20" s="376" t="str">
        <f>HYPERLINK("https://www.reddit.com/r/RMTK/comments/3lfesb/m0017_motie_voor_een_grotere_inzet_van_nederland/","Motie voor een grotere inzet van Nederland in de strijd tegen ISIS")</f>
        <v>Motie voor een grotere inzet van Nederland in de strijd tegen ISIS</v>
      </c>
      <c r="E20" s="377" t="s">
        <v>162</v>
      </c>
      <c r="F20" s="377" t="s">
        <v>163</v>
      </c>
      <c r="G20" s="378"/>
    </row>
    <row r="21">
      <c r="B21" s="374" t="s">
        <v>193</v>
      </c>
      <c r="C21" s="385" t="s">
        <v>177</v>
      </c>
      <c r="D21" s="376" t="str">
        <f>HYPERLINK("https://www.reddit.com/r/RMTK/comments/3lzou5/m0018_motie_tot_vergroenen_van_het/","Motie tot vergroening belastingstelsel")</f>
        <v>Motie tot vergroening belastingstelsel</v>
      </c>
      <c r="E21" s="377" t="s">
        <v>166</v>
      </c>
      <c r="F21" s="377" t="s">
        <v>163</v>
      </c>
      <c r="G21" s="378"/>
    </row>
    <row r="22">
      <c r="B22" s="374" t="s">
        <v>194</v>
      </c>
      <c r="C22" s="381" t="s">
        <v>12</v>
      </c>
      <c r="D22" s="389" t="str">
        <f>HYPERLINK("https://www.reddit.com/r/RMTK/comments/3me3rw/m0019_motie_tot_versoepeling_regels_omtrent/","Motie tot versoepeling regels omtrent vliegbewegingen")</f>
        <v>Motie tot versoepeling regels omtrent vliegbewegingen</v>
      </c>
      <c r="E22" s="377" t="s">
        <v>166</v>
      </c>
      <c r="F22" s="377" t="s">
        <v>163</v>
      </c>
      <c r="G22" s="378"/>
    </row>
    <row r="23">
      <c r="A23" s="390"/>
      <c r="B23" s="391" t="s">
        <v>195</v>
      </c>
      <c r="C23" s="392" t="s">
        <v>12</v>
      </c>
      <c r="D23" s="393" t="str">
        <f>HYPERLINK("https://www.reddit.com/r/RMTK/comments/3n8msf/m0020_motie_van_wantrouwen_jegens_de_regering/","Motie van Wantrouwen jegens de regering")</f>
        <v>Motie van Wantrouwen jegens de regering</v>
      </c>
      <c r="E23" s="394" t="s">
        <v>170</v>
      </c>
      <c r="F23" s="382"/>
      <c r="G23" s="395" t="s">
        <v>196</v>
      </c>
    </row>
    <row r="24">
      <c r="A24" s="373" t="s">
        <v>197</v>
      </c>
      <c r="B24" s="374" t="s">
        <v>198</v>
      </c>
      <c r="C24" s="396" t="s">
        <v>174</v>
      </c>
      <c r="D24" s="397" t="str">
        <f>hyperlink("https://www.reddit.com/r/RMTK/comments/3poyn0/m0021_motie_tot_vlaggenetiquette/","Motie tot vlaggenetiquette")</f>
        <v>Motie tot vlaggenetiquette</v>
      </c>
      <c r="E24" s="377" t="s">
        <v>170</v>
      </c>
      <c r="F24" s="398"/>
      <c r="G24" s="388" t="s">
        <v>188</v>
      </c>
    </row>
    <row r="25">
      <c r="B25" s="374" t="s">
        <v>199</v>
      </c>
      <c r="C25" s="396" t="s">
        <v>200</v>
      </c>
      <c r="D25" s="399" t="str">
        <f>hyperlink("https://www.reddit.com/r/RMTK/comments/3qbfne/m0022_motie_voor_beter_internet_door_middel_van/","Motie tot beter internet door middel van subsidiëring")</f>
        <v>Motie tot beter internet door middel van subsidiëring</v>
      </c>
      <c r="E25" s="377" t="s">
        <v>170</v>
      </c>
      <c r="F25" s="382"/>
      <c r="G25" s="388" t="s">
        <v>188</v>
      </c>
    </row>
    <row r="26">
      <c r="A26" s="390"/>
      <c r="B26" s="374" t="s">
        <v>201</v>
      </c>
      <c r="C26" s="400" t="s">
        <v>200</v>
      </c>
      <c r="D26" s="399" t="str">
        <f>hyperlink("https://www.reddit.com/r/RMTK/comments/3qvdec/m0023_motie_tot_invoeren_plastic_tassen_accijns/","Motie tot invoeren plastic tassen accijns")</f>
        <v>Motie tot invoeren plastic tassen accijns</v>
      </c>
      <c r="E26" s="377" t="s">
        <v>162</v>
      </c>
      <c r="F26" s="377" t="s">
        <v>163</v>
      </c>
      <c r="G26" s="378"/>
    </row>
    <row r="27">
      <c r="A27" s="366" t="s">
        <v>202</v>
      </c>
      <c r="B27" s="401" t="s">
        <v>203</v>
      </c>
      <c r="C27" s="396" t="s">
        <v>174</v>
      </c>
      <c r="D27" s="402" t="str">
        <f>hyperlink("https://www.reddit.com/r/RMTK/comments/3wnpeu/m0024_motie_tot_versoepeling_regels_omtrent/","Motie tot versoepeling regels omtrent bemesting")</f>
        <v>Motie tot versoepeling regels omtrent bemesting</v>
      </c>
      <c r="E27" s="403" t="s">
        <v>162</v>
      </c>
      <c r="F27" s="403" t="s">
        <v>163</v>
      </c>
      <c r="G27" s="404"/>
    </row>
    <row r="28">
      <c r="B28" s="374" t="s">
        <v>204</v>
      </c>
      <c r="C28" s="396" t="s">
        <v>174</v>
      </c>
      <c r="D28" s="399" t="str">
        <f>hyperlink("https://www.reddit.com/r/RMTK/comments/3wsnhj/m0025_motie_voor_het_oprichten_van_een_nationale/","Motie voor het oprichten van een Nationale Gezondheidsdienst")</f>
        <v>Motie voor het oprichten van een Nationale Gezondheidsdienst</v>
      </c>
      <c r="E28" s="377" t="s">
        <v>170</v>
      </c>
      <c r="F28" s="382"/>
      <c r="G28" s="378"/>
    </row>
    <row r="29">
      <c r="B29" s="374" t="s">
        <v>205</v>
      </c>
      <c r="C29" s="396" t="s">
        <v>165</v>
      </c>
      <c r="D29" s="399" t="str">
        <f>hyperlink("https://www.reddit.com/r/RMTK/comments/3x3uqr/m0026_steun_voor_de_gewijzigde_rrmun_resolutie_3/","Motie voor steun voor de gewijzigde /r/RMUN resolutie 3")</f>
        <v>Motie voor steun voor de gewijzigde /r/RMUN resolutie 3</v>
      </c>
      <c r="E29" s="377" t="s">
        <v>166</v>
      </c>
      <c r="F29" s="377" t="s">
        <v>163</v>
      </c>
      <c r="G29" s="384"/>
    </row>
    <row r="30">
      <c r="B30" s="374" t="s">
        <v>206</v>
      </c>
      <c r="C30" s="396" t="s">
        <v>12</v>
      </c>
      <c r="D30" s="399" t="str">
        <f>hyperlink("https://www.reddit.com/r/RMTK/comments/3x51n9/m0027_motie_tot_hervorming_van_het_nederlandse/","Motie tot hervorming van het Nederlandse gasmodel")</f>
        <v>Motie tot hervorming van het Nederlandse gasmodel</v>
      </c>
      <c r="E30" s="377" t="s">
        <v>166</v>
      </c>
      <c r="F30" s="377" t="s">
        <v>163</v>
      </c>
      <c r="G30" s="378"/>
    </row>
    <row r="31">
      <c r="B31" s="374" t="s">
        <v>207</v>
      </c>
      <c r="C31" s="405" t="s">
        <v>12</v>
      </c>
      <c r="D31" s="397" t="str">
        <f>hyperlink("https://www.reddit.com/r/RMTK/comments/3xdw1d/m0028_motie_tot_de_aanbouw_van_een_proefreactor/","Motie tot de aanbouw van een proefreactor op basis van thorium")</f>
        <v>Motie tot de aanbouw van een proefreactor op basis van thorium</v>
      </c>
      <c r="E31" s="377" t="s">
        <v>162</v>
      </c>
      <c r="F31" s="377" t="s">
        <v>163</v>
      </c>
      <c r="G31" s="384"/>
    </row>
    <row r="32">
      <c r="B32" s="374" t="s">
        <v>208</v>
      </c>
      <c r="C32" s="396" t="s">
        <v>200</v>
      </c>
      <c r="D32" s="399" t="str">
        <f>hyperlink("https://www.reddit.com/r/RMTK/comments/3xz1kf/m0029_motie_tot_het_verplichten_van/","Motie tot het verplichten van matching-evenement en studiekeuzegesprek")</f>
        <v>Motie tot het verplichten van matching-evenement en studiekeuzegesprek</v>
      </c>
      <c r="E32" s="377" t="s">
        <v>170</v>
      </c>
      <c r="F32" s="382"/>
      <c r="G32" s="378"/>
    </row>
    <row r="33">
      <c r="B33" s="374" t="s">
        <v>209</v>
      </c>
      <c r="C33" s="396" t="s">
        <v>174</v>
      </c>
      <c r="D33" s="399" t="str">
        <f>hyperlink("https://www.reddit.com/r/RMTK/comments/3xz1oa/m0030_motie_tot_het_beter_bewapenen_van_binnenhof/","Motie tot het beter bewapenen van Binnenhof marechaussees")</f>
        <v>Motie tot het beter bewapenen van Binnenhof marechaussees</v>
      </c>
      <c r="E33" s="377" t="s">
        <v>166</v>
      </c>
      <c r="F33" s="377" t="s">
        <v>163</v>
      </c>
      <c r="G33" s="378"/>
    </row>
    <row r="34">
      <c r="B34" s="374" t="s">
        <v>210</v>
      </c>
      <c r="C34" s="396" t="s">
        <v>200</v>
      </c>
      <c r="D34" s="399" t="str">
        <f>hyperlink("https://www.reddit.com/r/RMTK/comments/3zcuww/m0031_motie_tot_verbetering_glasvezelnetwerk/","Motie tot verbetering glasvezelnetwerk")</f>
        <v>Motie tot verbetering glasvezelnetwerk</v>
      </c>
      <c r="E34" s="377" t="s">
        <v>162</v>
      </c>
      <c r="F34" s="377" t="s">
        <v>163</v>
      </c>
      <c r="G34" s="384" t="s">
        <v>211</v>
      </c>
    </row>
    <row r="35">
      <c r="B35" s="374" t="s">
        <v>212</v>
      </c>
      <c r="C35" s="396" t="s">
        <v>174</v>
      </c>
      <c r="D35" s="399" t="str">
        <f>hyperlink("https://www.reddit.com/r/RMTK/comments/4036yb/m0032_motie_tot_immigratiehervorming/","Motie tot immigratiehervorming")</f>
        <v>Motie tot immigratiehervorming</v>
      </c>
      <c r="E35" s="377" t="s">
        <v>162</v>
      </c>
      <c r="F35" s="377" t="s">
        <v>163</v>
      </c>
      <c r="G35" s="378"/>
    </row>
    <row r="36">
      <c r="B36" s="374" t="s">
        <v>213</v>
      </c>
      <c r="C36" s="396" t="s">
        <v>21</v>
      </c>
      <c r="D36" s="399" t="str">
        <f>hyperlink("https://www.reddit.com/r/RMTK/comments/40irs9/m0033_motie_tot_unaniem_gebruik_van_de_naam_daesh/","Motie tot unaniem gebruik van de naam 'Daesh'")</f>
        <v>Motie tot unaniem gebruik van de naam 'Daesh'</v>
      </c>
      <c r="E36" s="377" t="s">
        <v>170</v>
      </c>
      <c r="F36" s="382"/>
      <c r="G36" s="378"/>
    </row>
    <row r="37">
      <c r="B37" s="374" t="s">
        <v>214</v>
      </c>
      <c r="C37" s="396" t="s">
        <v>215</v>
      </c>
      <c r="D37" s="399" t="str">
        <f>hyperlink("https://www.reddit.com/r/RMTK/comments/413faj/m0034_motie_tot_het_afschaffen_van_de_verplichte/","Motie tot het afschaffen van de verplichte rekentoets")</f>
        <v>Motie tot het afschaffen van de verplichte rekentoets</v>
      </c>
      <c r="E37" s="377" t="s">
        <v>162</v>
      </c>
      <c r="F37" s="377" t="s">
        <v>163</v>
      </c>
      <c r="G37" s="378"/>
    </row>
    <row r="38">
      <c r="B38" s="374" t="s">
        <v>216</v>
      </c>
      <c r="C38" s="396" t="s">
        <v>21</v>
      </c>
      <c r="D38" s="399" t="str">
        <f>hyperlink("https://www.reddit.com/r/RMTK/comments/41j6h5/m0035_motie_tot_verbetering_van_het_digitaal/","Motie tot verbetering digitaal onderwijs")</f>
        <v>Motie tot verbetering digitaal onderwijs</v>
      </c>
      <c r="E38" s="377" t="s">
        <v>170</v>
      </c>
      <c r="F38" s="382"/>
      <c r="G38" s="406" t="s">
        <v>217</v>
      </c>
    </row>
    <row r="39">
      <c r="B39" s="374" t="s">
        <v>218</v>
      </c>
      <c r="C39" s="396" t="s">
        <v>215</v>
      </c>
      <c r="D39" s="399" t="str">
        <f>hyperlink("https://www.reddit.com/r/RMTK/comments/41rup5/m0036_motie_tot_het_beperken_van_de_invloed_van/","Motie tot het beperken van de invloed van geld in onze democratie")</f>
        <v>Motie tot het beperken van de invloed van geld in onze democratie</v>
      </c>
      <c r="E39" s="377" t="s">
        <v>162</v>
      </c>
      <c r="F39" s="377" t="s">
        <v>163</v>
      </c>
      <c r="G39" s="378"/>
    </row>
    <row r="40">
      <c r="B40" s="374" t="s">
        <v>219</v>
      </c>
      <c r="C40" s="396" t="s">
        <v>215</v>
      </c>
      <c r="D40" s="399" t="str">
        <f>hyperlink("https://www.reddit.com/r/RMTK/comments/426q5k/m0037_motie_tot_afschaffing_van_de/","Motie tot afschaffing van de landbouwvrijstelling")</f>
        <v>Motie tot afschaffing van de landbouwvrijstelling</v>
      </c>
      <c r="E40" s="377" t="s">
        <v>162</v>
      </c>
      <c r="F40" s="377" t="s">
        <v>163</v>
      </c>
      <c r="G40" s="406" t="s">
        <v>220</v>
      </c>
    </row>
    <row r="41">
      <c r="B41" s="374" t="s">
        <v>221</v>
      </c>
      <c r="C41" s="396" t="s">
        <v>174</v>
      </c>
      <c r="D41" s="399" t="str">
        <f>hyperlink("https://www.reddit.com/r/RMTK/comments/42zwpv/m0038_motie_betreffende_het_knooppunt_hooipolder/","Motie betreffende het knooppunt Hooipolder")</f>
        <v>Motie betreffende het knooppunt Hooipolder</v>
      </c>
      <c r="E41" s="377" t="s">
        <v>166</v>
      </c>
      <c r="F41" s="377" t="s">
        <v>163</v>
      </c>
      <c r="G41" s="378"/>
    </row>
    <row r="42">
      <c r="B42" s="374" t="s">
        <v>222</v>
      </c>
      <c r="C42" s="396" t="s">
        <v>174</v>
      </c>
      <c r="D42" s="399" t="str">
        <f>hyperlink("https://www.reddit.com/r/RMTK/comments/43a792/m0039_motie_betreffende_positie_verkeerslichten/","Motie betreffende positie verkeerslichten")</f>
        <v>Motie betreffende positie verkeerslichten</v>
      </c>
      <c r="E42" s="377" t="s">
        <v>162</v>
      </c>
      <c r="F42" s="377" t="s">
        <v>163</v>
      </c>
      <c r="G42" s="378"/>
    </row>
    <row r="43">
      <c r="B43" s="374" t="s">
        <v>223</v>
      </c>
      <c r="C43" s="396" t="s">
        <v>174</v>
      </c>
      <c r="D43" s="399" t="str">
        <f>HYPERLINK("https://www.reddit.com/r/RMTK/comments/43ppav/m0040_motie_tot_optout_of_het_gebied_van/","Motie tot opt-out op het gebied van immigratie en asiel")</f>
        <v>Motie tot opt-out op het gebied van immigratie en asiel</v>
      </c>
      <c r="E43" s="377" t="s">
        <v>162</v>
      </c>
      <c r="F43" s="377" t="s">
        <v>163</v>
      </c>
      <c r="G43" s="378"/>
    </row>
    <row r="44">
      <c r="B44" s="374" t="s">
        <v>224</v>
      </c>
      <c r="C44" s="396" t="s">
        <v>21</v>
      </c>
      <c r="D44" s="407" t="str">
        <f>hyperlink("https://www.reddit.com/r/RMTK/comments/43r5vh/m0040_motie_van_afkeuring_jegens_de_minister_van/","Motie van Afkeur jegens de Minister van Defensie en Justitie ")</f>
        <v>Motie van Afkeur jegens de Minister van Defensie en Justitie </v>
      </c>
      <c r="E44" s="377" t="s">
        <v>170</v>
      </c>
      <c r="F44" s="382"/>
      <c r="G44" s="384" t="s">
        <v>225</v>
      </c>
    </row>
    <row r="45">
      <c r="B45" s="374" t="s">
        <v>226</v>
      </c>
      <c r="C45" s="396" t="s">
        <v>227</v>
      </c>
      <c r="D45" s="397" t="str">
        <f>hyperlink("https://www.reddit.com/r/RMTK/comments/473k5k/m0042_motie_leegstand_vdpanden/","Motie betreffende leegstand V&amp;D-panden")</f>
        <v>Motie betreffende leegstand V&amp;D-panden</v>
      </c>
      <c r="E45" s="377" t="s">
        <v>162</v>
      </c>
      <c r="F45" s="377" t="s">
        <v>163</v>
      </c>
      <c r="G45" s="378"/>
    </row>
    <row r="46">
      <c r="B46" s="374" t="s">
        <v>228</v>
      </c>
      <c r="C46" s="396" t="s">
        <v>227</v>
      </c>
      <c r="D46" s="397" t="str">
        <f>hyperlink("https://www.reddit.com/r/RMTK/comments/47fqtf/m0043_motie_tot_verbetering_bereikbaarheid_binnen/","Motie tot verbetering bereikbaarheid binnen Overijssel")</f>
        <v>Motie tot verbetering bereikbaarheid binnen Overijssel</v>
      </c>
      <c r="E46" s="377" t="s">
        <v>162</v>
      </c>
      <c r="F46" s="377" t="s">
        <v>163</v>
      </c>
      <c r="G46" s="378"/>
    </row>
    <row r="47">
      <c r="B47" s="374" t="s">
        <v>229</v>
      </c>
      <c r="C47" s="396" t="s">
        <v>21</v>
      </c>
      <c r="D47" s="408" t="str">
        <f>hyperlink("https://www.reddit.com/r/RMTK/comments/47xk2w/m0044_motie_van_wantrouwen_jegens_de_minister_van/","Motie van Wantrouwen jegens de Minister van Defensie en Justitie")</f>
        <v>Motie van Wantrouwen jegens de Minister van Defensie en Justitie</v>
      </c>
      <c r="E47" s="377" t="s">
        <v>170</v>
      </c>
      <c r="F47" s="382"/>
      <c r="G47" s="384" t="s">
        <v>230</v>
      </c>
    </row>
    <row r="48">
      <c r="B48" s="374" t="s">
        <v>231</v>
      </c>
      <c r="C48" s="396" t="s">
        <v>12</v>
      </c>
      <c r="D48" s="407" t="str">
        <f>hyperlink("https://www.reddit.com/r/RMTK/comments/484nh8/m0045_motie_van_wantrouwen_jegens_het_kabinet/","Motie van Wantrouwen jegens de regering")</f>
        <v>Motie van Wantrouwen jegens de regering</v>
      </c>
      <c r="E48" s="377" t="s">
        <v>166</v>
      </c>
      <c r="F48" s="377" t="s">
        <v>163</v>
      </c>
      <c r="G48" s="378"/>
    </row>
    <row r="49">
      <c r="B49" s="374" t="s">
        <v>232</v>
      </c>
      <c r="C49" s="396" t="s">
        <v>233</v>
      </c>
      <c r="D49" s="407" t="str">
        <f>hyperlink("https://www.reddit.com/r/RMTK/comments/4855hu/m0046_motie_van_wantrouwen_jegens_het_presidium/","Motie van Wantrouwen jegens het presidium")</f>
        <v>Motie van Wantrouwen jegens het presidium</v>
      </c>
      <c r="E49" s="377" t="s">
        <v>166</v>
      </c>
      <c r="F49" s="377" t="s">
        <v>163</v>
      </c>
      <c r="G49" s="378"/>
    </row>
    <row r="50">
      <c r="B50" s="374" t="s">
        <v>234</v>
      </c>
      <c r="C50" s="396" t="s">
        <v>174</v>
      </c>
      <c r="D50" s="399" t="str">
        <f>hyperlink("https://www.reddit.com/r/RMTK/comments/4av2dl/m0047_nederlandse_vlaggen_bij_overheidsgebouwen/","Motie voor Nederlandse vlaggen bij overheidsgebouwen")</f>
        <v>Motie voor Nederlandse vlaggen bij overheidsgebouwen</v>
      </c>
      <c r="E50" s="377" t="s">
        <v>162</v>
      </c>
      <c r="F50" s="377" t="s">
        <v>163</v>
      </c>
      <c r="G50" s="378"/>
    </row>
    <row r="51">
      <c r="B51" s="374" t="s">
        <v>235</v>
      </c>
      <c r="C51" s="396" t="s">
        <v>200</v>
      </c>
      <c r="D51" s="399" t="str">
        <f>HYPERLINK("https://www.reddit.com/r/RMTK/comments/4av2g2/m0048_motie_voor_uitbreiding_spoor_edithbrug/","Motie voor uitbreiding spoor Edithbrug")</f>
        <v>Motie voor uitbreiding spoor Edithbrug</v>
      </c>
      <c r="E51" s="377" t="s">
        <v>166</v>
      </c>
      <c r="F51" s="377" t="s">
        <v>163</v>
      </c>
      <c r="G51" s="378"/>
    </row>
    <row r="52">
      <c r="B52" s="374" t="s">
        <v>236</v>
      </c>
      <c r="C52" s="396" t="s">
        <v>200</v>
      </c>
      <c r="D52" s="399" t="str">
        <f>hyperlink("https://www.reddit.com/r/RMTK/comments/4azn1q/m0049_motie_tot_invoering_suikertaks_op/","Motie tot invoering suikertaks op frisdranken")</f>
        <v>Motie tot invoering suikertaks op frisdranken</v>
      </c>
      <c r="E52" s="377" t="s">
        <v>166</v>
      </c>
      <c r="F52" s="377" t="s">
        <v>163</v>
      </c>
      <c r="G52" s="378"/>
    </row>
    <row r="53">
      <c r="B53" s="374" t="s">
        <v>237</v>
      </c>
      <c r="C53" s="396" t="s">
        <v>177</v>
      </c>
      <c r="D53" s="399" t="str">
        <f>hyperlink("https://www.reddit.com/r/RMTK/comments/4azorb/m0050_motie_tot_bescherming_nederlandse_cultuur/","Motie tot bescherming Nederlandse cultuur en handelsgeest in het volkslied")</f>
        <v>Motie tot bescherming Nederlandse cultuur en handelsgeest in het volkslied</v>
      </c>
      <c r="E53" s="377" t="s">
        <v>170</v>
      </c>
      <c r="F53" s="382"/>
      <c r="G53" s="378"/>
    </row>
    <row r="54">
      <c r="B54" s="374" t="s">
        <v>238</v>
      </c>
      <c r="C54" s="396" t="s">
        <v>227</v>
      </c>
      <c r="D54" s="399" t="str">
        <f>hyperlink("https://www.reddit.com/r/RMTK/comments/4bp1ug/m0051_motie_tot_verplichting_vaccins/","Motie tot verplichting vaccins")</f>
        <v>Motie tot verplichting vaccins</v>
      </c>
      <c r="E54" s="377" t="s">
        <v>166</v>
      </c>
      <c r="F54" s="377" t="s">
        <v>163</v>
      </c>
      <c r="G54" s="378"/>
    </row>
    <row r="55">
      <c r="A55" s="390"/>
      <c r="B55" s="391" t="s">
        <v>239</v>
      </c>
      <c r="C55" s="400" t="s">
        <v>21</v>
      </c>
      <c r="D55" s="399" t="str">
        <f>hyperlink("https://www.reddit.com/r/RMTK/comments/4bpa9m/m0052_motie_tot_versnelde_integratie_van_de/","Motie tot versnelde integratie van de krijgsmachten van de BeNeLux")</f>
        <v>Motie tot versnelde integratie van de krijgsmachten van de BeNeLux</v>
      </c>
      <c r="E55" s="377" t="s">
        <v>162</v>
      </c>
      <c r="F55" s="377" t="s">
        <v>163</v>
      </c>
      <c r="G55" s="378"/>
    </row>
    <row r="56">
      <c r="A56" s="367" t="s">
        <v>240</v>
      </c>
      <c r="B56" s="374" t="s">
        <v>241</v>
      </c>
      <c r="C56" s="396" t="s">
        <v>227</v>
      </c>
      <c r="D56" s="402" t="str">
        <f>hyperlink("https://www.reddit.com/r/RMTK/comments/4e2zha/m0053_motie_betreffende_minderjarig_drinken/","Motie betreffende minderjarig drinken")</f>
        <v>Motie betreffende minderjarig drinken</v>
      </c>
      <c r="E56" s="403" t="s">
        <v>162</v>
      </c>
      <c r="F56" s="403" t="s">
        <v>163</v>
      </c>
      <c r="G56" s="404"/>
    </row>
    <row r="57">
      <c r="A57" s="390"/>
      <c r="B57" s="391" t="s">
        <v>242</v>
      </c>
      <c r="C57" s="400" t="s">
        <v>21</v>
      </c>
      <c r="D57" s="399" t="str">
        <f>hyperlink("https://www.reddit.com/r/RMTK/comments/4e2zr0/m0054_motie_tot_in_detentie_nemen_van/","Motie tot in detentie nemen van teruggekeerde jihadstrijders")</f>
        <v>Motie tot in detentie nemen van teruggekeerde jihadstrijders</v>
      </c>
      <c r="E57" s="377" t="s">
        <v>170</v>
      </c>
      <c r="F57" s="382"/>
      <c r="G57" s="378"/>
    </row>
    <row r="58">
      <c r="A58" s="409" t="s">
        <v>243</v>
      </c>
      <c r="B58" s="374" t="s">
        <v>244</v>
      </c>
      <c r="C58" s="396" t="s">
        <v>174</v>
      </c>
      <c r="D58" s="402" t="str">
        <f>hyperlink("https://www.reddit.com/r/RMTK/comments/4g5gut/m0055_motie_tot_het_versneld_privatiseren_van_abn/","Motie tot het versneld privatiseren van ABN Amro en SNS Bank")</f>
        <v>Motie tot het versneld privatiseren van ABN Amro en SNS Bank</v>
      </c>
      <c r="E58" s="403" t="s">
        <v>162</v>
      </c>
      <c r="F58" s="403" t="s">
        <v>163</v>
      </c>
      <c r="G58" s="404"/>
    </row>
    <row r="59">
      <c r="B59" s="374" t="s">
        <v>245</v>
      </c>
      <c r="C59" s="396" t="s">
        <v>177</v>
      </c>
      <c r="D59" s="407" t="str">
        <f>hyperlink("https://www.reddit.com/r/RMTK/comments/4g5mt3/m0056_motie_van_wantrouwen_jegens_de_minister_van/","Motie van Wantrouwen jegens de Minister van Sociale Zaken, Onderwijs en Werkgelegenheid")</f>
        <v>Motie van Wantrouwen jegens de Minister van Sociale Zaken, Onderwijs en Werkgelegenheid</v>
      </c>
      <c r="E59" s="377" t="s">
        <v>170</v>
      </c>
      <c r="F59" s="382"/>
      <c r="G59" s="378"/>
    </row>
    <row r="60">
      <c r="B60" s="374" t="s">
        <v>246</v>
      </c>
      <c r="C60" s="396" t="s">
        <v>174</v>
      </c>
      <c r="D60" s="410" t="str">
        <f>HYPERLINK("https://www.reddit.com/r/RMTK/comments/4gffbg/m0057_motie_van_treurnis_jegens_de_minister_van/","Motie van Treurnis jegens de Minister van SZOW")</f>
        <v>Motie van Treurnis jegens de Minister van SZOW</v>
      </c>
      <c r="E60" s="377" t="s">
        <v>162</v>
      </c>
      <c r="F60" s="377" t="s">
        <v>163</v>
      </c>
      <c r="G60" s="378"/>
    </row>
    <row r="61">
      <c r="B61" s="374" t="s">
        <v>247</v>
      </c>
      <c r="C61" s="396" t="s">
        <v>187</v>
      </c>
      <c r="D61" s="411" t="str">
        <f>HYPERLINK("https://www.reddit.com/r/RMTK/comments/4gmjgb/m0058_motie_tot_sociale_verzekeringen_voor_zzpers/","Motie tot sociale verzekeringen voor ZZP'ers")</f>
        <v>Motie tot sociale verzekeringen voor ZZP'ers</v>
      </c>
      <c r="E61" s="377" t="s">
        <v>166</v>
      </c>
      <c r="F61" s="377" t="s">
        <v>163</v>
      </c>
      <c r="G61" s="378"/>
    </row>
    <row r="62">
      <c r="B62" s="374" t="s">
        <v>248</v>
      </c>
      <c r="C62" s="396" t="s">
        <v>200</v>
      </c>
      <c r="D62" s="389" t="str">
        <f>HYPERLINK("https://www.reddit.com/r/RMTK/comments/4gwj0q/m0059_motie_tot_het_verbieden_van/","Motie tot het verbieden van wegwerpbatterijen")</f>
        <v>Motie tot het verbieden van wegwerpbatterijen</v>
      </c>
      <c r="E62" s="377" t="s">
        <v>166</v>
      </c>
      <c r="F62" s="377" t="s">
        <v>163</v>
      </c>
      <c r="G62" s="378"/>
    </row>
    <row r="63">
      <c r="B63" s="374" t="s">
        <v>249</v>
      </c>
      <c r="C63" s="396" t="s">
        <v>200</v>
      </c>
      <c r="D63" s="411" t="str">
        <f>HYPERLINK("https://www.reddit.com/r/RMTK/comments/4gwj3m/m0060_motie_tot_algeheel_verbod_kernwapens_in/","Motie tot algeheel verbod kernwapens in Nederland")</f>
        <v>Motie tot algeheel verbod kernwapens in Nederland</v>
      </c>
      <c r="E63" s="377" t="s">
        <v>162</v>
      </c>
      <c r="F63" s="377" t="s">
        <v>163</v>
      </c>
      <c r="G63" s="378"/>
    </row>
    <row r="64">
      <c r="B64" s="374" t="s">
        <v>250</v>
      </c>
      <c r="C64" s="396" t="s">
        <v>174</v>
      </c>
      <c r="D64" s="397" t="s">
        <v>251</v>
      </c>
      <c r="E64" s="377" t="s">
        <v>162</v>
      </c>
      <c r="F64" s="377" t="s">
        <v>163</v>
      </c>
      <c r="G64" s="378"/>
    </row>
    <row r="65">
      <c r="B65" s="374" t="s">
        <v>252</v>
      </c>
      <c r="C65" s="396" t="s">
        <v>187</v>
      </c>
      <c r="D65" s="397" t="s">
        <v>253</v>
      </c>
      <c r="E65" s="377" t="s">
        <v>166</v>
      </c>
      <c r="F65" s="377" t="s">
        <v>163</v>
      </c>
      <c r="G65" s="378"/>
    </row>
    <row r="66">
      <c r="B66" s="374" t="s">
        <v>254</v>
      </c>
      <c r="C66" s="396" t="s">
        <v>187</v>
      </c>
      <c r="D66" s="411" t="str">
        <f>HYPERLINK("https://www.reddit.com/r/RMTK/comments/4irpd7/m0063_motie_tot_terugtrekken_van_de/","Motie tot terugtrekking van de kabinetsplannen betreffende klaverbladen")</f>
        <v>Motie tot terugtrekking van de kabinetsplannen betreffende klaverbladen</v>
      </c>
      <c r="E66" s="377" t="s">
        <v>166</v>
      </c>
      <c r="F66" s="377" t="s">
        <v>163</v>
      </c>
      <c r="G66" s="378"/>
    </row>
    <row r="67">
      <c r="B67" s="374" t="s">
        <v>255</v>
      </c>
      <c r="C67" s="396" t="s">
        <v>227</v>
      </c>
      <c r="D67" s="411" t="str">
        <f>HYPERLINK("https://www.reddit.com/r/RMTK/comments/4irpfb/m0064_motie_tot_emissieloos_transport/","Motie tot emissieloos transport")</f>
        <v>Motie tot emissieloos transport</v>
      </c>
      <c r="E67" s="377" t="s">
        <v>166</v>
      </c>
      <c r="F67" s="377" t="s">
        <v>163</v>
      </c>
      <c r="G67" s="378"/>
    </row>
    <row r="68">
      <c r="B68" s="374" t="s">
        <v>256</v>
      </c>
      <c r="C68" s="396" t="s">
        <v>174</v>
      </c>
      <c r="D68" s="397" t="s">
        <v>257</v>
      </c>
      <c r="E68" s="377" t="s">
        <v>166</v>
      </c>
      <c r="F68" s="377" t="s">
        <v>163</v>
      </c>
      <c r="G68" s="378"/>
    </row>
    <row r="69">
      <c r="B69" s="374" t="s">
        <v>258</v>
      </c>
      <c r="C69" s="396" t="s">
        <v>187</v>
      </c>
      <c r="D69" s="397" t="s">
        <v>259</v>
      </c>
      <c r="E69" s="377" t="s">
        <v>166</v>
      </c>
      <c r="F69" s="377" t="s">
        <v>163</v>
      </c>
      <c r="G69" s="378"/>
    </row>
    <row r="70">
      <c r="B70" s="374" t="s">
        <v>260</v>
      </c>
      <c r="C70" s="396" t="s">
        <v>165</v>
      </c>
      <c r="D70" s="397" t="s">
        <v>261</v>
      </c>
      <c r="E70" s="377" t="s">
        <v>162</v>
      </c>
      <c r="F70" s="377" t="s">
        <v>163</v>
      </c>
      <c r="G70" s="378"/>
    </row>
    <row r="71">
      <c r="B71" s="374" t="s">
        <v>262</v>
      </c>
      <c r="C71" s="396" t="s">
        <v>263</v>
      </c>
      <c r="D71" s="397" t="s">
        <v>264</v>
      </c>
      <c r="E71" s="377" t="s">
        <v>166</v>
      </c>
      <c r="F71" s="377" t="s">
        <v>163</v>
      </c>
      <c r="G71" s="378"/>
    </row>
    <row r="72">
      <c r="B72" s="374" t="s">
        <v>265</v>
      </c>
      <c r="C72" s="396" t="s">
        <v>174</v>
      </c>
      <c r="D72" s="397" t="s">
        <v>266</v>
      </c>
      <c r="E72" s="377" t="s">
        <v>166</v>
      </c>
      <c r="F72" s="377" t="s">
        <v>163</v>
      </c>
      <c r="G72" s="378"/>
    </row>
    <row r="73">
      <c r="B73" s="374" t="s">
        <v>267</v>
      </c>
      <c r="C73" s="396" t="s">
        <v>200</v>
      </c>
      <c r="D73" s="397" t="s">
        <v>268</v>
      </c>
      <c r="E73" s="377" t="s">
        <v>170</v>
      </c>
      <c r="F73" s="377" t="s">
        <v>163</v>
      </c>
      <c r="G73" s="378"/>
    </row>
    <row r="74">
      <c r="B74" s="374" t="s">
        <v>269</v>
      </c>
      <c r="C74" s="396" t="s">
        <v>12</v>
      </c>
      <c r="D74" s="397" t="s">
        <v>270</v>
      </c>
      <c r="E74" s="377" t="s">
        <v>162</v>
      </c>
      <c r="F74" s="377" t="s">
        <v>163</v>
      </c>
      <c r="G74" s="378"/>
    </row>
    <row r="75">
      <c r="B75" s="374" t="s">
        <v>271</v>
      </c>
      <c r="C75" s="396" t="s">
        <v>12</v>
      </c>
      <c r="D75" s="397" t="s">
        <v>272</v>
      </c>
      <c r="E75" s="377" t="s">
        <v>170</v>
      </c>
      <c r="F75" s="377" t="s">
        <v>163</v>
      </c>
      <c r="G75" s="378"/>
    </row>
    <row r="76">
      <c r="B76" s="374" t="s">
        <v>273</v>
      </c>
      <c r="C76" s="396" t="s">
        <v>174</v>
      </c>
      <c r="D76" s="411" t="str">
        <f>HYPERLINK("https://www.reddit.com/r/RMTK/comments/4l5rei/m0073_motie_over_opheffing_van_de_grondslag_voor/","Motie over opheffing van de grondslag voor gemeentelijke milieuzones")</f>
        <v>Motie over opheffing van de grondslag voor gemeentelijke milieuzones</v>
      </c>
      <c r="E76" s="377" t="s">
        <v>162</v>
      </c>
      <c r="F76" s="377" t="s">
        <v>163</v>
      </c>
      <c r="G76" s="378"/>
    </row>
    <row r="77">
      <c r="B77" s="374" t="s">
        <v>274</v>
      </c>
      <c r="C77" s="396" t="s">
        <v>187</v>
      </c>
      <c r="D77" s="411" t="str">
        <f>HYPERLINK("https://www.reddit.com/r/RMTK/comments/4l5rk4/m0074_motie_tot_verlagen_van_de/","Motie tot het verlagen van de vennootschapsbelasting")</f>
        <v>Motie tot het verlagen van de vennootschapsbelasting</v>
      </c>
      <c r="E77" s="377" t="s">
        <v>162</v>
      </c>
      <c r="F77" s="377" t="s">
        <v>163</v>
      </c>
      <c r="G77" s="378"/>
    </row>
    <row r="78">
      <c r="B78" s="374" t="s">
        <v>275</v>
      </c>
      <c r="C78" s="396" t="s">
        <v>174</v>
      </c>
      <c r="D78" s="411" t="str">
        <f>HYPERLINK("https://www.reddit.com/r/RMTK/comments/4ld1lz/m0075_motie_tot_het_stemmen_per_post/","Motie tot het stemmen per post")</f>
        <v>Motie tot het stemmen per post</v>
      </c>
      <c r="E78" s="377" t="s">
        <v>166</v>
      </c>
      <c r="F78" s="377" t="s">
        <v>163</v>
      </c>
      <c r="G78" s="378"/>
    </row>
    <row r="79">
      <c r="B79" s="374" t="s">
        <v>276</v>
      </c>
      <c r="C79" s="396" t="s">
        <v>165</v>
      </c>
      <c r="D79" s="411" t="str">
        <f>HYPERLINK("https://www.reddit.com/r/RMTK/comments/4ld1s1/m0076_motie_tot_het_mogelijk_maken_van_het/","Motie tot het mogelijk maken van het omzetten van de OV-studentenkaart in een financiele vergoeding")</f>
        <v>Motie tot het mogelijk maken van het omzetten van de OV-studentenkaart in een financiele vergoeding</v>
      </c>
      <c r="E79" s="377" t="s">
        <v>162</v>
      </c>
      <c r="F79" s="377" t="s">
        <v>163</v>
      </c>
      <c r="G79" s="378"/>
    </row>
    <row r="80">
      <c r="B80" s="374" t="s">
        <v>277</v>
      </c>
      <c r="C80" s="396" t="s">
        <v>165</v>
      </c>
      <c r="D80" s="410" t="str">
        <f>HYPERLINK("https://www.reddit.com/r/RMTK/comments/4ljtg7/m0080_motie_van_wantrouwen_jegens_de_ministers/","Motie van Wantrouwen jegens de ministers van EZF en SZOW")</f>
        <v>Motie van Wantrouwen jegens de ministers van EZF en SZOW</v>
      </c>
      <c r="E80" s="377" t="s">
        <v>170</v>
      </c>
      <c r="F80" s="382"/>
      <c r="G80" s="384" t="s">
        <v>278</v>
      </c>
    </row>
    <row r="81">
      <c r="B81" s="374" t="s">
        <v>279</v>
      </c>
      <c r="C81" s="396" t="s">
        <v>174</v>
      </c>
      <c r="D81" s="411" t="str">
        <f>HYPERLINK("https://www.reddit.com/r/RMTK/comments/4lqssr/m0077_motie_betreffende_verbetering_thuiszorg/","Motie betreffende verbetering thuiszorg")</f>
        <v>Motie betreffende verbetering thuiszorg</v>
      </c>
      <c r="E81" s="377" t="s">
        <v>166</v>
      </c>
      <c r="F81" s="377" t="s">
        <v>163</v>
      </c>
      <c r="G81" s="378"/>
    </row>
    <row r="82">
      <c r="B82" s="374" t="s">
        <v>280</v>
      </c>
      <c r="C82" s="396" t="s">
        <v>174</v>
      </c>
      <c r="D82" s="410" t="str">
        <f>HYPERLINK("https://www.reddit.com/r/RMTK/comments/4lrcax/m0078_motie_van_wantrouwen_jegens_de_minister_van/","Motie van Wantrouwen jegens de minister van EZF")</f>
        <v>Motie van Wantrouwen jegens de minister van EZF</v>
      </c>
      <c r="E82" s="377" t="s">
        <v>170</v>
      </c>
      <c r="F82" s="382"/>
      <c r="G82" s="384" t="s">
        <v>281</v>
      </c>
    </row>
    <row r="83">
      <c r="B83" s="374" t="s">
        <v>282</v>
      </c>
      <c r="C83" s="396" t="s">
        <v>174</v>
      </c>
      <c r="D83" s="410" t="str">
        <f>HYPERLINK("https://www.reddit.com/r/RMTK/comments/4lrcxl/m0079_motie_van_treurnis_jegens_het_kabinet/","Motie van Treurnis jegens het Kabinet")</f>
        <v>Motie van Treurnis jegens het Kabinet</v>
      </c>
      <c r="E83" s="377" t="s">
        <v>170</v>
      </c>
      <c r="F83" s="382"/>
      <c r="G83" s="384" t="s">
        <v>283</v>
      </c>
    </row>
    <row r="84">
      <c r="B84" s="374" t="s">
        <v>284</v>
      </c>
      <c r="C84" s="396" t="s">
        <v>174</v>
      </c>
      <c r="D84" s="411" t="str">
        <f>HYPERLINK("https://www.reddit.com/r/RMTK/comments/4m7rtq/m0079_motie_voor_een_haalbaarheidsonderzoek/","Motie voor een haalbaarheidsonderzoek betreffende de aanleg van een FIA License Grade 1 circuit in Flevoland")</f>
        <v>Motie voor een haalbaarheidsonderzoek betreffende de aanleg van een FIA License Grade 1 circuit in Flevoland</v>
      </c>
      <c r="E84" s="377" t="s">
        <v>166</v>
      </c>
      <c r="F84" s="377" t="s">
        <v>163</v>
      </c>
      <c r="G84" s="384" t="s">
        <v>285</v>
      </c>
    </row>
    <row r="85">
      <c r="B85" s="374" t="s">
        <v>286</v>
      </c>
      <c r="C85" s="400" t="s">
        <v>177</v>
      </c>
      <c r="D85" s="411" t="str">
        <f>HYPERLINK("https://www.reddit.com/r/RMTK/comments/4mt4r4/m0080_motie_tot_het_strenger_controleren_van_de/","Motie tot het strenger controleren van de Wet op de ondernemingsraden")</f>
        <v>Motie tot het strenger controleren van de Wet op de ondernemingsraden</v>
      </c>
      <c r="E85" s="377" t="s">
        <v>166</v>
      </c>
      <c r="F85" s="377" t="s">
        <v>163</v>
      </c>
      <c r="G85" s="384" t="s">
        <v>287</v>
      </c>
    </row>
    <row r="86">
      <c r="A86" s="412" t="s">
        <v>288</v>
      </c>
      <c r="B86" s="401" t="s">
        <v>289</v>
      </c>
      <c r="C86" s="413" t="s">
        <v>290</v>
      </c>
      <c r="D86" s="414" t="str">
        <f>HYPERLINK("https://www.reddit.com/r/RMTK/comments/4n65hf/m0083_motie_tot_meer_aandacht_voor_electrische_en/","Motie tot meer aandacht voor electrische en zelfrijdende auto's in topsectorenbeleid")</f>
        <v>Motie tot meer aandacht voor electrische en zelfrijdende auto's in topsectorenbeleid</v>
      </c>
      <c r="E86" s="403" t="s">
        <v>166</v>
      </c>
      <c r="F86" s="403" t="s">
        <v>163</v>
      </c>
      <c r="G86" s="415"/>
    </row>
    <row r="87">
      <c r="B87" s="374" t="s">
        <v>291</v>
      </c>
      <c r="C87" s="416" t="s">
        <v>290</v>
      </c>
      <c r="D87" s="417" t="str">
        <f>HYPERLINK("https://www.reddit.com/r/RMTK/comments/4n65n4/m0084_motie_tot_adequaat_onderwijs_aan/","Motie tot adequaat onderwijs aan vluchtelingenkinderen")</f>
        <v>Motie tot adequaat onderwijs aan vluchtelingenkinderen</v>
      </c>
      <c r="E87" s="377" t="s">
        <v>166</v>
      </c>
      <c r="F87" s="377" t="s">
        <v>163</v>
      </c>
      <c r="G87" s="384"/>
    </row>
    <row r="88">
      <c r="B88" s="374" t="s">
        <v>292</v>
      </c>
      <c r="C88" s="396" t="s">
        <v>290</v>
      </c>
      <c r="D88" s="417" t="str">
        <f>HYPERLINK("https://www.reddit.com/r/RMTK/comments/4npo6a/m0085_motie_tot_geen_nieuwe_boringen_naar_olie_en/","Motie tot geen nieuwe boringen naar olie in gas in de Waddenzee")</f>
        <v>Motie tot geen nieuwe boringen naar olie in gas in de Waddenzee</v>
      </c>
      <c r="E88" s="377" t="s">
        <v>166</v>
      </c>
      <c r="F88" s="377" t="s">
        <v>163</v>
      </c>
      <c r="G88" s="384"/>
    </row>
    <row r="89">
      <c r="B89" s="374" t="s">
        <v>293</v>
      </c>
      <c r="C89" s="396" t="s">
        <v>290</v>
      </c>
      <c r="D89" s="417" t="str">
        <f>HYPERLINK("https://www.reddit.com/r/RMTK/comments/4qgv16/m0086_motie_tot_meer_laadpalen_voor_elektrische/","Motie tot meer laadpalen voor electrische auto's")</f>
        <v>Motie tot meer laadpalen voor electrische auto's</v>
      </c>
      <c r="E89" s="377" t="s">
        <v>166</v>
      </c>
      <c r="F89" s="377" t="s">
        <v>163</v>
      </c>
      <c r="G89" s="384"/>
    </row>
    <row r="90">
      <c r="B90" s="374" t="s">
        <v>294</v>
      </c>
      <c r="C90" s="396" t="s">
        <v>263</v>
      </c>
      <c r="D90" s="417" t="str">
        <f>HYPERLINK("https://www.reddit.com/r/RMTK/comments/4oj4mt/m0087_motie_tot_aankoop_van_air_franceklmaandelen/","Motie tot aankoop Air France-KLM-aandelen")</f>
        <v>Motie tot aankoop Air France-KLM-aandelen</v>
      </c>
      <c r="E90" s="377" t="s">
        <v>166</v>
      </c>
      <c r="F90" s="377" t="s">
        <v>163</v>
      </c>
      <c r="G90" s="384"/>
    </row>
    <row r="91">
      <c r="B91" s="374" t="s">
        <v>295</v>
      </c>
      <c r="C91" s="396" t="s">
        <v>290</v>
      </c>
      <c r="D91" s="417" t="str">
        <f>HYPERLINK("https://www.reddit.com/r/RMTK/comments/4oj535/m0088_motie_tot_intensivering_van_het_beleid/","Motie tot intensivering op van het beleid gericht op biodiversiteit")</f>
        <v>Motie tot intensivering op van het beleid gericht op biodiversiteit</v>
      </c>
      <c r="E91" s="377" t="s">
        <v>166</v>
      </c>
      <c r="F91" s="377" t="s">
        <v>163</v>
      </c>
      <c r="G91" s="384"/>
    </row>
    <row r="92">
      <c r="B92" s="374" t="s">
        <v>296</v>
      </c>
      <c r="C92" s="396" t="s">
        <v>263</v>
      </c>
      <c r="D92" s="417" t="str">
        <f>HYPERLINK("https://www.reddit.com/r/RMTK/comments/4p04aj/m0089_motie_tot_het_opstellen_van_een_regenplan/","Motie tot het opstellen van een 'Regenplan'")</f>
        <v>Motie tot het opstellen van een 'Regenplan'</v>
      </c>
      <c r="E92" s="377" t="s">
        <v>166</v>
      </c>
      <c r="F92" s="377" t="s">
        <v>163</v>
      </c>
      <c r="G92" s="384"/>
    </row>
    <row r="93">
      <c r="B93" s="374" t="s">
        <v>297</v>
      </c>
      <c r="C93" s="396" t="s">
        <v>290</v>
      </c>
      <c r="D93" s="417" t="str">
        <f>HYPERLINK("https://www.reddit.com/r/RMTK/comments/4p0554/m0090_motie_tot_een_moratorium_voor_de/","Motie tot een moratorium voor de ontwikkeling van volledig autonome robotwapens")</f>
        <v>Motie tot een moratorium voor de ontwikkeling van volledig autonome robotwapens</v>
      </c>
      <c r="E93" s="377" t="s">
        <v>166</v>
      </c>
      <c r="F93" s="377" t="s">
        <v>163</v>
      </c>
      <c r="G93" s="384"/>
    </row>
    <row r="94">
      <c r="B94" s="374" t="s">
        <v>298</v>
      </c>
      <c r="C94" s="396" t="s">
        <v>290</v>
      </c>
      <c r="D94" s="417" t="str">
        <f>HYPERLINK("https://www.reddit.com/r/RMTK/comments/4pd4x5/m0091_motie_tot_de_ophoging_van_het_cultuurbudget/","Motie tot de ophoging van het cultuurbudget conform het advies van de Raad voor Cultuur")</f>
        <v>Motie tot de ophoging van het cultuurbudget conform het advies van de Raad voor Cultuur</v>
      </c>
      <c r="E94" s="377" t="s">
        <v>166</v>
      </c>
      <c r="F94" s="377" t="s">
        <v>163</v>
      </c>
      <c r="G94" s="384"/>
    </row>
    <row r="95">
      <c r="B95" s="374" t="s">
        <v>299</v>
      </c>
      <c r="C95" s="396" t="s">
        <v>290</v>
      </c>
      <c r="D95" s="417" t="str">
        <f>HYPERLINK("https://www.reddit.com/r/RMTK/comments/4pd56m/m0092_motie_tot_het_beschikbaar_stellen_van_prep/","Motie tot het beschikbaar stellen van PrEP")</f>
        <v>Motie tot het beschikbaar stellen van PrEP</v>
      </c>
      <c r="E95" s="377" t="s">
        <v>166</v>
      </c>
      <c r="F95" s="377" t="s">
        <v>163</v>
      </c>
      <c r="G95" s="384"/>
    </row>
    <row r="96">
      <c r="B96" s="374" t="s">
        <v>300</v>
      </c>
      <c r="C96" s="396" t="s">
        <v>177</v>
      </c>
      <c r="D96" s="418" t="str">
        <f>HYPERLINK("https://www.reddit.com/r/RMTK/comments/4puaa0/m0093_motie_van_wantrouwen_jegens_de_minister_van/","Motie van Wantrouwen jegens de Minister van EZF")</f>
        <v>Motie van Wantrouwen jegens de Minister van EZF</v>
      </c>
      <c r="E96" s="377" t="s">
        <v>166</v>
      </c>
      <c r="F96" s="377" t="s">
        <v>163</v>
      </c>
      <c r="G96" s="384"/>
    </row>
    <row r="97">
      <c r="B97" s="374" t="s">
        <v>301</v>
      </c>
      <c r="C97" s="396" t="s">
        <v>263</v>
      </c>
      <c r="D97" s="417" t="str">
        <f>HYPERLINK("https://www.reddit.com/r/RMTK/comments/4rc2v4/m0094_motie_tot_het_niet_sturen_van_een_delegatie/","Motie tot het niet sturen van een delegatie naar de Olympische Spelen")</f>
        <v>Motie tot het niet sturen van een delegatie naar de Olympische Spelen</v>
      </c>
      <c r="E97" s="377" t="s">
        <v>162</v>
      </c>
      <c r="F97" s="377" t="s">
        <v>163</v>
      </c>
      <c r="G97" s="384"/>
    </row>
    <row r="98">
      <c r="B98" s="374" t="s">
        <v>302</v>
      </c>
      <c r="C98" s="396" t="s">
        <v>263</v>
      </c>
      <c r="D98" s="417" t="str">
        <f>HYPERLINK("https://www.reddit.com/r/RMTK/comments/4rc2yh/m0095_motie_om_het_gewicht_van_het_vak/","Motie om het gewicht van het vak maatschappijleer bij het examen te versterken")</f>
        <v>Motie om het gewicht van het vak maatschappijleer bij het examen te versterken</v>
      </c>
      <c r="E98" s="377" t="s">
        <v>162</v>
      </c>
      <c r="F98" s="377" t="s">
        <v>163</v>
      </c>
      <c r="G98" s="384"/>
    </row>
    <row r="99">
      <c r="B99" s="374" t="s">
        <v>303</v>
      </c>
      <c r="C99" s="396" t="s">
        <v>263</v>
      </c>
      <c r="D99" s="417" t="str">
        <f>HYPERLINK("https://www.reddit.com/r/RMTK/comments/4rjqo4/m0096_motie_tot_begeleiding_bij_uitzetting/","Motie tot begeleiding bij uitzetting uitgeprocedeerde gezinnen")</f>
        <v>Motie tot begeleiding bij uitzetting uitgeprocedeerde gezinnen</v>
      </c>
      <c r="E99" s="377" t="s">
        <v>166</v>
      </c>
      <c r="F99" s="377" t="s">
        <v>163</v>
      </c>
      <c r="G99" s="384"/>
    </row>
    <row r="100">
      <c r="B100" s="374" t="s">
        <v>304</v>
      </c>
      <c r="C100" s="396" t="s">
        <v>177</v>
      </c>
      <c r="D100" s="417" t="str">
        <f>HYPERLINK("https://www.reddit.com/r/RMTK/comments/4rjr92/m0097_motie_tot_beperken_van_speculatie_met_geld/","Motie tot beperken van speculatie met geld van consumenten")</f>
        <v>Motie tot beperken van speculatie met geld van consumenten</v>
      </c>
      <c r="E100" s="377" t="s">
        <v>162</v>
      </c>
      <c r="F100" s="377" t="s">
        <v>163</v>
      </c>
      <c r="G100" s="384"/>
    </row>
    <row r="101">
      <c r="B101" s="374" t="s">
        <v>305</v>
      </c>
      <c r="C101" s="396" t="s">
        <v>165</v>
      </c>
      <c r="D101" s="418" t="str">
        <f>HYPERLINK("https://www.reddit.com/r/RMTK/comments/4rzk2j/m0098_motie_van_wantrouwen_jegens_de_premier/","Motie van Wantrouwen jegens de Premier")</f>
        <v>Motie van Wantrouwen jegens de Premier</v>
      </c>
      <c r="E101" s="377" t="s">
        <v>162</v>
      </c>
      <c r="F101" s="377" t="s">
        <v>163</v>
      </c>
      <c r="G101" s="384"/>
    </row>
    <row r="102">
      <c r="B102" s="374" t="s">
        <v>306</v>
      </c>
      <c r="C102" s="396" t="s">
        <v>165</v>
      </c>
      <c r="D102" s="418" t="str">
        <f>HYPERLINK("https://www.reddit.com/r/RMTK/comments/4rzk4m/m0099_motie_van_treurnis_jegens_rmtk_en_bepaalde/","Motie van Treurnis jegens RMTK en bepaalde leden in het bijzonder")</f>
        <v>Motie van Treurnis jegens RMTK en bepaalde leden in het bijzonder</v>
      </c>
      <c r="E102" s="377" t="s">
        <v>166</v>
      </c>
      <c r="F102" s="377" t="s">
        <v>163</v>
      </c>
      <c r="G102" s="384"/>
    </row>
    <row r="103">
      <c r="B103" s="374" t="s">
        <v>307</v>
      </c>
      <c r="C103" s="396" t="s">
        <v>263</v>
      </c>
      <c r="D103" s="417" t="str">
        <f>HYPERLINK("https://www.reddit.com/r/RMTK/comments/4sc6w8/m0100_motie_tot_invoering_belgische/","Motie tot invoering 'Belgische donorregistratie'")</f>
        <v>Motie tot invoering 'Belgische donorregistratie'</v>
      </c>
      <c r="E103" s="377" t="s">
        <v>170</v>
      </c>
      <c r="F103" s="377" t="s">
        <v>163</v>
      </c>
      <c r="G103" s="384"/>
    </row>
    <row r="104">
      <c r="B104" s="374" t="s">
        <v>308</v>
      </c>
      <c r="C104" s="396" t="s">
        <v>177</v>
      </c>
      <c r="D104" s="417" t="str">
        <f>HYPERLINK("https://www.reddit.com/r/RMTK/comments/4t0j12/m0101_motie_tot_meer_bouw_van_sociale/","Motie tot meer bouw van Sociale Huurwoningen")</f>
        <v>Motie tot meer bouw van Sociale Huurwoningen</v>
      </c>
      <c r="E104" s="377" t="s">
        <v>166</v>
      </c>
      <c r="F104" s="377" t="s">
        <v>163</v>
      </c>
      <c r="G104" s="384"/>
    </row>
    <row r="105">
      <c r="B105" s="374" t="s">
        <v>309</v>
      </c>
      <c r="C105" s="396" t="s">
        <v>12</v>
      </c>
      <c r="D105" s="417" t="str">
        <f>HYPERLINK("https://www.reddit.com/r/RMTK/comments/4tgwex/m0102_motie_tot_opschorting_van_de_sluiting_van/","Motie tot opschorting van de sluiting van kolencentrales in Nederland")</f>
        <v>Motie tot opschorting van de sluiting van kolencentrales in Nederland</v>
      </c>
      <c r="E105" s="377" t="s">
        <v>162</v>
      </c>
      <c r="F105" s="377" t="s">
        <v>163</v>
      </c>
      <c r="G105" s="384"/>
    </row>
    <row r="106">
      <c r="B106" s="374" t="s">
        <v>310</v>
      </c>
      <c r="C106" s="396" t="s">
        <v>174</v>
      </c>
      <c r="D106" s="417" t="str">
        <f>HYPERLINK("https://www.reddit.com/r/RMTK/comments/4zpctw/m0103_motie_tot_effici%C3%ABntere_beveiliging/","Motie tot efficiëntere beveiliging koopvaardijschepen tegen piraterij")</f>
        <v>Motie tot efficiëntere beveiliging koopvaardijschepen tegen piraterij</v>
      </c>
      <c r="E106" s="377" t="s">
        <v>166</v>
      </c>
      <c r="F106" s="377" t="s">
        <v>163</v>
      </c>
      <c r="G106" s="384"/>
    </row>
    <row r="107">
      <c r="B107" s="374" t="s">
        <v>311</v>
      </c>
      <c r="C107" s="396" t="s">
        <v>12</v>
      </c>
      <c r="D107" s="417" t="str">
        <f>HYPERLINK("https://www.reddit.com/r/RMTK/comments/505tys/m0104_motie_tot_opheffing_algemene/","Motie tot opheffing algemene snelheidslimiet op snelwegen")</f>
        <v>Motie tot opheffing algemene snelheidslimiet op snelwegen</v>
      </c>
      <c r="E107" s="377" t="s">
        <v>162</v>
      </c>
      <c r="F107" s="377" t="s">
        <v>163</v>
      </c>
      <c r="G107" s="384"/>
    </row>
    <row r="108">
      <c r="B108" s="374" t="s">
        <v>312</v>
      </c>
      <c r="C108" s="396" t="s">
        <v>12</v>
      </c>
      <c r="D108" s="417" t="str">
        <f>HYPERLINK("https://www.reddit.com/r/RMTK/comments/50hfz9/m0105_motie_tot_nieuwe_aanbesteding/","Motie tot nieuwe aanbesteding personenvervoer op traject HSL-Zuid")</f>
        <v>Motie tot nieuwe aanbesteding personenvervoer op traject HSL-Zuid</v>
      </c>
      <c r="E108" s="377" t="s">
        <v>166</v>
      </c>
      <c r="F108" s="377" t="s">
        <v>163</v>
      </c>
      <c r="G108" s="384"/>
    </row>
    <row r="109">
      <c r="B109" s="374" t="s">
        <v>313</v>
      </c>
      <c r="C109" s="396" t="s">
        <v>290</v>
      </c>
      <c r="D109" s="417" t="str">
        <f>HYPERLINK("https://www.reddit.com/r/RMTK/comments/50uk3z/m0106_motie_tot_de_democratisering_van/","Motie tot de democratisering van geldschepping")</f>
        <v>Motie tot de democratisering van geldschepping</v>
      </c>
      <c r="E109" s="377" t="s">
        <v>162</v>
      </c>
      <c r="F109" s="377" t="s">
        <v>163</v>
      </c>
      <c r="G109" s="384"/>
    </row>
    <row r="110">
      <c r="B110" s="374" t="s">
        <v>314</v>
      </c>
      <c r="C110" s="396" t="s">
        <v>290</v>
      </c>
      <c r="D110" s="417" t="str">
        <f>HYPERLINK("https://www.reddit.com/r/RMTK/comments/50uk7g/m0107_motie_tot_onderzoek_naar_alternatieve/","Motie tot onderzoek naar alternatieve rechtsvormen voor banken")</f>
        <v>Motie tot onderzoek naar alternatieve rechtsvormen voor banken</v>
      </c>
      <c r="E110" s="377" t="s">
        <v>162</v>
      </c>
      <c r="F110" s="377" t="s">
        <v>163</v>
      </c>
      <c r="G110" s="384"/>
    </row>
    <row r="111">
      <c r="B111" s="374" t="s">
        <v>315</v>
      </c>
      <c r="C111" s="396" t="s">
        <v>290</v>
      </c>
      <c r="D111" s="417" t="str">
        <f>HYPERLINK("https://www.reddit.com/r/RMTK/comments/51a921/m0108_motie_tot_uitbreiding_van_het_treinnachtnet/","Motie tot uitbreiding van het treinnachtnet")</f>
        <v>Motie tot uitbreiding van het treinnachtnet</v>
      </c>
      <c r="E111" s="377" t="s">
        <v>166</v>
      </c>
      <c r="F111" s="377" t="s">
        <v>163</v>
      </c>
      <c r="G111" s="384"/>
    </row>
    <row r="112">
      <c r="B112" s="374" t="s">
        <v>316</v>
      </c>
      <c r="C112" s="396" t="s">
        <v>12</v>
      </c>
      <c r="D112" s="417" t="str">
        <f>HYPERLINK("https://www.reddit.com/r/RMTK/comments/51a99w/m0109_motie_tot_uitvoeren_haalbaarheidsonderzoek/","Motie tot uitvoeren haalbaarheidsonderzoek aanleg spoorlijn tussen Lelystad-Emmeloord")</f>
        <v>Motie tot uitvoeren haalbaarheidsonderzoek aanleg spoorlijn tussen Lelystad-Emmeloord</v>
      </c>
      <c r="E112" s="377" t="s">
        <v>166</v>
      </c>
      <c r="F112" s="377" t="s">
        <v>163</v>
      </c>
      <c r="G112" s="384"/>
    </row>
    <row r="113">
      <c r="B113" s="374" t="s">
        <v>317</v>
      </c>
      <c r="C113" s="396" t="s">
        <v>290</v>
      </c>
      <c r="D113" s="417" t="str">
        <f>HYPERLINK("https://www.reddit.com/r/RMTK/comments/51m6f1/m0110_motie_tot_betere_regelgeving/","Motie tot betere regelgeving draagmoederschap")</f>
        <v>Motie tot betere regelgeving draagmoederschap</v>
      </c>
      <c r="E113" s="377" t="s">
        <v>166</v>
      </c>
      <c r="F113" s="377" t="s">
        <v>163</v>
      </c>
      <c r="G113" s="384"/>
    </row>
    <row r="114">
      <c r="B114" s="374" t="s">
        <v>318</v>
      </c>
      <c r="C114" s="396" t="s">
        <v>174</v>
      </c>
      <c r="D114" s="417" t="str">
        <f>HYPERLINK("https://www.reddit.com/r/RMTK/comments/5246w0/m0111_motie_omtrent_financiering_buitenlandse/","Motie omtrent financiering buitenlandse studenten")</f>
        <v>Motie omtrent financiering buitenlandse studenten</v>
      </c>
      <c r="E114" s="377" t="s">
        <v>162</v>
      </c>
      <c r="F114" s="377" t="s">
        <v>163</v>
      </c>
      <c r="G114" s="384"/>
    </row>
    <row r="115">
      <c r="B115" s="374" t="s">
        <v>319</v>
      </c>
      <c r="C115" s="396" t="s">
        <v>174</v>
      </c>
      <c r="D115" s="417" t="str">
        <f>HYPERLINK("https://www.reddit.com/r/RMTK/comments/524711/m0112_motie_tot_afspelen_volkslied_aan_het_einde/","Motie tot afspelen volkslied aan het einde van de reguliere zendtijd")</f>
        <v>Motie tot afspelen volkslied aan het einde van de reguliere zendtijd</v>
      </c>
      <c r="E115" s="377" t="s">
        <v>162</v>
      </c>
      <c r="F115" s="377" t="s">
        <v>163</v>
      </c>
      <c r="G115" s="384"/>
    </row>
    <row r="116">
      <c r="B116" s="374" t="s">
        <v>320</v>
      </c>
      <c r="C116" s="396" t="s">
        <v>263</v>
      </c>
      <c r="D116" s="417" t="str">
        <f>HYPERLINK("https://www.reddit.com/r/RMTK/comments/52fmv6/m0113_motie_tot_invoering_verplicht/","Motie tot invoering verplicht vrijwilligerswerk in de bijstand")</f>
        <v>Motie tot invoering verplicht vrijwilligerswerk in de bijstand</v>
      </c>
      <c r="E116" s="377" t="s">
        <v>162</v>
      </c>
      <c r="F116" s="377" t="s">
        <v>163</v>
      </c>
      <c r="G116" s="384"/>
    </row>
    <row r="117">
      <c r="B117" s="374" t="s">
        <v>321</v>
      </c>
      <c r="C117" s="396" t="s">
        <v>290</v>
      </c>
      <c r="D117" s="417" t="str">
        <f>HYPERLINK("https://www.reddit.com/r/RMTK/comments/52fmuu/m0114_motie_tot_betere_emissienormen_met_een/","Motie tot betere emissienormen met een maximumsnelheid van 130 km/u")</f>
        <v>Motie tot betere emissienormen met een maximumsnelheid van 130 km/u</v>
      </c>
      <c r="E117" s="377" t="s">
        <v>166</v>
      </c>
      <c r="F117" s="377" t="s">
        <v>163</v>
      </c>
      <c r="G117" s="384"/>
    </row>
    <row r="118">
      <c r="B118" s="374" t="s">
        <v>322</v>
      </c>
      <c r="C118" s="396" t="s">
        <v>290</v>
      </c>
      <c r="D118" s="417" t="str">
        <f>HYPERLINK("https://www.reddit.com/r/RMTK/comments/533hxz/m0115_motie_tot_betere_verbinding_tussen_europese/","Motie tot betere verbinding tussen Europese instituties en bevolking")</f>
        <v>Motie tot betere verbinding tussen Europese instituties en bevolking</v>
      </c>
      <c r="E118" s="377" t="s">
        <v>166</v>
      </c>
      <c r="F118" s="377" t="s">
        <v>163</v>
      </c>
      <c r="G118" s="384"/>
    </row>
    <row r="119">
      <c r="B119" s="374" t="s">
        <v>323</v>
      </c>
      <c r="C119" s="396" t="s">
        <v>290</v>
      </c>
      <c r="D119" s="417" t="str">
        <f>HYPERLINK("https://www.reddit.com/r/RMTK/comments/533i16/m0116_motie_tot_opschorting_export_militair/","Motie tot opschorting export militair materieel Turkije")</f>
        <v>Motie tot opschorting export militair materieel Turkije</v>
      </c>
      <c r="E119" s="377" t="s">
        <v>162</v>
      </c>
      <c r="F119" s="377" t="s">
        <v>163</v>
      </c>
      <c r="G119" s="384"/>
    </row>
    <row r="120">
      <c r="B120" s="374" t="s">
        <v>324</v>
      </c>
      <c r="C120" s="396" t="s">
        <v>290</v>
      </c>
      <c r="D120" s="417" t="str">
        <f>HYPERLINK("https://www.reddit.com/r/RMTK/comments/53iy4i/m0117_motie_tot_sterkere_aanpak_kinderarbeid_in/","Motie tot sterkere aanpak kinderarbeid in de textielsector")</f>
        <v>Motie tot sterkere aanpak kinderarbeid in de textielsector</v>
      </c>
      <c r="E120" s="377" t="s">
        <v>162</v>
      </c>
      <c r="F120" s="377" t="s">
        <v>163</v>
      </c>
      <c r="G120" s="384"/>
    </row>
    <row r="121">
      <c r="B121" s="374" t="s">
        <v>325</v>
      </c>
      <c r="C121" s="400" t="s">
        <v>326</v>
      </c>
      <c r="D121" s="417" t="str">
        <f>HYPERLINK("https://www.reddit.com/r/RMTK/comments/53ua87/m0118_motie_tot_hernoeming_gemeente_rotterdam/","Motie tot hernoeming gemeente Rotterdam")</f>
        <v>Motie tot hernoeming gemeente Rotterdam</v>
      </c>
      <c r="E121" s="377" t="s">
        <v>162</v>
      </c>
      <c r="F121" s="377" t="s">
        <v>163</v>
      </c>
      <c r="G121" s="384"/>
    </row>
    <row r="122">
      <c r="A122" s="412" t="s">
        <v>327</v>
      </c>
      <c r="B122" s="419" t="s">
        <v>328</v>
      </c>
      <c r="C122" s="420" t="s">
        <v>200</v>
      </c>
      <c r="D122" s="421" t="str">
        <f>HYPERLINK("https://www.reddit.com/r/RMTK/comments/575ikq/m0119_motie_tot_het_strenger_controleren_van/","Motie tot het strenger controleren van rubberdeeltjes")</f>
        <v>Motie tot het strenger controleren van rubberdeeltjes</v>
      </c>
      <c r="E122" s="403" t="s">
        <v>166</v>
      </c>
      <c r="F122" s="403" t="s">
        <v>163</v>
      </c>
      <c r="G122" s="415"/>
    </row>
    <row r="123">
      <c r="B123" s="422" t="s">
        <v>329</v>
      </c>
      <c r="C123" s="420" t="s">
        <v>200</v>
      </c>
      <c r="D123" s="423" t="str">
        <f>HYPERLINK("https://www.reddit.com/r/RMTK/comments/57yk66/m0120_motie_tot_heffen_van_statiegeld_op/","Motie tot heffen van statiegeld op spijkerbroeken ")</f>
        <v>Motie tot heffen van statiegeld op spijkerbroeken </v>
      </c>
      <c r="E123" s="377" t="s">
        <v>162</v>
      </c>
      <c r="F123" s="377" t="s">
        <v>163</v>
      </c>
      <c r="G123" s="384"/>
    </row>
    <row r="124">
      <c r="B124" s="422" t="s">
        <v>330</v>
      </c>
      <c r="C124" s="420" t="s">
        <v>21</v>
      </c>
      <c r="D124" s="423" t="str">
        <f>HYPERLINK("https://www.reddit.com/r/RMTK/comments/58nr10/m0121_motie_tot_verzwaring_sancties_tegen_rusland/","Motie tot verzwaring EU-sancties tegen de Russische Federatie")</f>
        <v>Motie tot verzwaring EU-sancties tegen de Russische Federatie</v>
      </c>
      <c r="E124" s="377" t="s">
        <v>162</v>
      </c>
      <c r="F124" s="377" t="s">
        <v>163</v>
      </c>
      <c r="G124" s="384"/>
    </row>
    <row r="125">
      <c r="B125" s="422" t="s">
        <v>331</v>
      </c>
      <c r="C125" s="420" t="s">
        <v>290</v>
      </c>
      <c r="D125" s="423" t="str">
        <f>HYPERLINK("https://www.reddit.com/r/RMTK/comments/595kn1/m0122_motie_tot_offici%C3%ABle_erkenning_gaybrapaden/", "Motie Tot Officiële Erkenning Gaybrapaden")</f>
        <v>Motie Tot Officiële Erkenning Gaybrapaden</v>
      </c>
      <c r="E125" s="377" t="s">
        <v>162</v>
      </c>
      <c r="F125" s="377" t="s">
        <v>163</v>
      </c>
      <c r="G125" s="384"/>
    </row>
    <row r="126">
      <c r="B126" s="422" t="s">
        <v>332</v>
      </c>
      <c r="C126" s="420" t="s">
        <v>174</v>
      </c>
      <c r="D126" s="423" t="str">
        <f>HYPERLINK( "https://www.reddit.com/r/RMTK/comments/59ikg5/m0123_motie_tot_het_afschaffen_van_vertrekpremies/" , "Motie tot het Afschaffen van Vertrekpremies voor Asielzoekers uit Veilige landen" )</f>
        <v>Motie tot het Afschaffen van Vertrekpremies voor Asielzoekers uit Veilige landen</v>
      </c>
      <c r="E126" s="377" t="s">
        <v>170</v>
      </c>
      <c r="F126" s="382"/>
      <c r="G126" s="384" t="s">
        <v>333</v>
      </c>
    </row>
    <row r="127">
      <c r="B127" s="422" t="s">
        <v>334</v>
      </c>
      <c r="C127" s="420" t="s">
        <v>174</v>
      </c>
      <c r="D127" s="423" t="str">
        <f>HYPERLINK( "https://www.reddit.com/r/RMTK/comments/59ikmk/m0124_motie_tot_het_verbieden_van_verkoop_van/" , "Motie tot het verbieden van verkoop van sociale huurwoningen aan buitenlandse investeerders" )</f>
        <v>Motie tot het verbieden van verkoop van sociale huurwoningen aan buitenlandse investeerders</v>
      </c>
      <c r="E127" s="377" t="s">
        <v>166</v>
      </c>
      <c r="F127" s="377" t="s">
        <v>163</v>
      </c>
      <c r="G127" s="384"/>
    </row>
    <row r="128">
      <c r="B128" s="422" t="s">
        <v>335</v>
      </c>
      <c r="C128" s="420" t="s">
        <v>200</v>
      </c>
      <c r="D128" s="423" t="str">
        <f>HYPERLINK( "https://www.reddit.com/r/RMTK/comments/59uypq/m0125_motie_tot_uitbreiden_wet_en_regelgeving/" , "Motie tot het uitbreiden van wet- en regelgeving omtrent sponsoring" )</f>
        <v>Motie tot het uitbreiden van wet- en regelgeving omtrent sponsoring</v>
      </c>
      <c r="E128" s="377" t="s">
        <v>166</v>
      </c>
      <c r="F128" s="377" t="s">
        <v>163</v>
      </c>
      <c r="G128" s="384"/>
    </row>
    <row r="129">
      <c r="B129" s="424" t="s">
        <v>336</v>
      </c>
      <c r="C129" s="425" t="s">
        <v>337</v>
      </c>
      <c r="D129" s="423" t="str">
        <f>HYPERLINK("https://www.reddit.com/r/RMTK/comments/5adp9j/m0126_motie_tot_hervorming_van_de_arbeidsmarkt/" , "Motie tot hervorming van de arbeidsmarkt" )</f>
        <v>Motie tot hervorming van de arbeidsmarkt</v>
      </c>
      <c r="E129" s="377" t="s">
        <v>166</v>
      </c>
      <c r="F129" s="377" t="s">
        <v>163</v>
      </c>
      <c r="G129" s="384"/>
    </row>
    <row r="130">
      <c r="B130" s="422" t="s">
        <v>338</v>
      </c>
      <c r="C130" s="425" t="s">
        <v>337</v>
      </c>
      <c r="D130" s="423" t="str">
        <f>HYPERLINK("https://www.reddit.com/r/RMTK/comments/5adphc/m0127_motie_tot_verhogen_bestaansminimum/", "Motie tot verhoging Bestaansminimum")</f>
        <v>Motie tot verhoging Bestaansminimum</v>
      </c>
      <c r="E130" s="377" t="s">
        <v>166</v>
      </c>
      <c r="F130" s="377" t="s">
        <v>163</v>
      </c>
      <c r="G130" s="384"/>
    </row>
    <row r="131">
      <c r="B131" s="424" t="s">
        <v>339</v>
      </c>
      <c r="C131" s="420" t="s">
        <v>177</v>
      </c>
      <c r="D131" s="423" t="str">
        <f>HYPERLINK("https://www.reddit.com/r/RMTK/comments/5arrph/m0128_motie_tot_veroordeling_schending/" , "Motie tot veroordeling schending Internationaal Recht door de VS")</f>
        <v>Motie tot veroordeling schending Internationaal Recht door de VS</v>
      </c>
      <c r="E131" s="377" t="s">
        <v>166</v>
      </c>
      <c r="F131" s="377" t="s">
        <v>163</v>
      </c>
      <c r="G131" s="384"/>
    </row>
    <row r="132">
      <c r="B132" s="424" t="s">
        <v>340</v>
      </c>
      <c r="C132" s="420" t="s">
        <v>290</v>
      </c>
      <c r="D132" s="423" t="str">
        <f>HYPERLINK("https://www.reddit.com/r/RMTK/comments/5arrw9/m0129_verplichting_stagevergoeding_voor_pa/" , "Motie tot verplichting van stagevergoeding voor studenten van de Pedagogische Academie voor het Basisonderwijs")</f>
        <v>Motie tot verplichting van stagevergoeding voor studenten van de Pedagogische Academie voor het Basisonderwijs</v>
      </c>
      <c r="E132" s="377" t="s">
        <v>166</v>
      </c>
      <c r="F132" s="377" t="s">
        <v>163</v>
      </c>
      <c r="G132" s="384"/>
    </row>
    <row r="133">
      <c r="B133" s="424" t="s">
        <v>341</v>
      </c>
      <c r="C133" s="420" t="s">
        <v>290</v>
      </c>
      <c r="D133" s="423" t="str">
        <f>HYPERLINK("https://www.reddit.com/r/RMTK/comments/5b5t3v/m0130_motie_tot_radicale_prestatieplannen/" ,"Motie tot het voorbereiden van radicale plannen ter inhaalslag van EU-richtlijn Hernieuwbare Energie 2020" )</f>
        <v>Motie tot het voorbereiden van radicale plannen ter inhaalslag van EU-richtlijn Hernieuwbare Energie 2020</v>
      </c>
      <c r="E133" s="377" t="s">
        <v>166</v>
      </c>
      <c r="F133" s="377" t="s">
        <v>163</v>
      </c>
      <c r="G133" s="384"/>
    </row>
    <row r="134">
      <c r="B134" s="424" t="s">
        <v>342</v>
      </c>
      <c r="C134" s="420" t="s">
        <v>168</v>
      </c>
      <c r="D134" s="426" t="str">
        <f>HYPERLINK("https://www.reddit.com/r/RMTK/comments/5all9p/m0131_motie_van_treurnis_jegens_de_minister_van/" , "Motie van Treurnis jegens de Minister van Infrastructuur en Milieu")</f>
        <v>Motie van Treurnis jegens de Minister van Infrastructuur en Milieu</v>
      </c>
      <c r="E134" s="377" t="s">
        <v>162</v>
      </c>
      <c r="F134" s="377" t="s">
        <v>163</v>
      </c>
      <c r="G134" s="384"/>
    </row>
    <row r="135">
      <c r="B135" s="424" t="s">
        <v>343</v>
      </c>
      <c r="C135" s="420" t="s">
        <v>290</v>
      </c>
      <c r="D135" s="423" t="str">
        <f>HYPERLINK("https://www.reddit.com/r/RMTK/comments/5b5te2/m0132_motie_tot_maatregelen_groeiende/" ,"Motie tot maatregelen groeiende ongelijkheid tussen mannen en vrouwen")</f>
        <v>Motie tot maatregelen groeiende ongelijkheid tussen mannen en vrouwen</v>
      </c>
      <c r="E135" s="377" t="s">
        <v>166</v>
      </c>
      <c r="F135" s="377" t="s">
        <v>163</v>
      </c>
      <c r="G135" s="384"/>
    </row>
    <row r="136">
      <c r="B136" s="424" t="s">
        <v>344</v>
      </c>
      <c r="C136" s="425" t="s">
        <v>337</v>
      </c>
      <c r="D136" s="423" t="str">
        <f>HYPERLINK("https://www.reddit.com/r/RMTK/comments/5bn5vd/m0133_motie_tot_vleesloze_dag_op_het_binnenhof/" ," Motie tot Vleesloze dag op het Binnenhof")</f>
        <v> Motie tot Vleesloze dag op het Binnenhof</v>
      </c>
      <c r="E136" s="377" t="s">
        <v>166</v>
      </c>
      <c r="F136" s="377" t="s">
        <v>163</v>
      </c>
      <c r="G136" s="384"/>
    </row>
    <row r="137">
      <c r="B137" s="424" t="s">
        <v>345</v>
      </c>
      <c r="C137" s="396" t="s">
        <v>12</v>
      </c>
      <c r="D137" s="423" t="str">
        <f>HYPERLINK("https://www.reddit.com/r/RMTK/comments/5c37oi/m0134_motie_ter_onderzoek_naar_erbarmelijke/" ,"Motie ter onderzoek naar erbarmelijke omstandigheden in verzorgingshuizen")</f>
        <v>Motie ter onderzoek naar erbarmelijke omstandigheden in verzorgingshuizen</v>
      </c>
      <c r="E137" s="377" t="s">
        <v>166</v>
      </c>
      <c r="F137" s="377" t="s">
        <v>163</v>
      </c>
      <c r="G137" s="384"/>
    </row>
    <row r="138">
      <c r="B138" s="424" t="s">
        <v>346</v>
      </c>
      <c r="C138" s="396" t="s">
        <v>326</v>
      </c>
      <c r="D138" s="426" t="str">
        <f>HYPERLINK("https://www.reddit.com/r/RMTK/comments/5b45ud/m0135_voorwaardelijke_motie_van_wantrouwen_jegens/" ,"Voorwaardelijke Motie van Wantrouwen jegens het Presidium")</f>
        <v>Voorwaardelijke Motie van Wantrouwen jegens het Presidium</v>
      </c>
      <c r="E138" s="377" t="s">
        <v>166</v>
      </c>
      <c r="F138" s="377" t="s">
        <v>163</v>
      </c>
      <c r="G138" s="384"/>
    </row>
    <row r="139">
      <c r="B139" s="424" t="s">
        <v>347</v>
      </c>
      <c r="C139" s="420" t="s">
        <v>290</v>
      </c>
      <c r="D139" s="397" t="s">
        <v>348</v>
      </c>
      <c r="E139" s="377" t="s">
        <v>166</v>
      </c>
      <c r="F139" s="377" t="s">
        <v>163</v>
      </c>
      <c r="G139" s="384"/>
    </row>
    <row r="140">
      <c r="B140" s="424" t="s">
        <v>349</v>
      </c>
      <c r="C140" s="420" t="s">
        <v>290</v>
      </c>
      <c r="D140" s="408" t="s">
        <v>350</v>
      </c>
      <c r="E140" s="377" t="s">
        <v>166</v>
      </c>
      <c r="F140" s="377" t="s">
        <v>163</v>
      </c>
      <c r="G140" s="384"/>
    </row>
    <row r="141">
      <c r="B141" s="424" t="s">
        <v>351</v>
      </c>
      <c r="C141" s="420" t="s">
        <v>21</v>
      </c>
      <c r="D141" s="408" t="s">
        <v>352</v>
      </c>
      <c r="E141" s="377" t="s">
        <v>162</v>
      </c>
      <c r="F141" s="377" t="s">
        <v>163</v>
      </c>
      <c r="G141" s="384"/>
    </row>
    <row r="142">
      <c r="B142" s="424" t="s">
        <v>353</v>
      </c>
      <c r="C142" s="420" t="s">
        <v>200</v>
      </c>
      <c r="D142" s="397" t="s">
        <v>354</v>
      </c>
      <c r="E142" s="377" t="s">
        <v>166</v>
      </c>
      <c r="F142" s="377" t="s">
        <v>163</v>
      </c>
      <c r="G142" s="384"/>
    </row>
    <row r="143">
      <c r="B143" s="424" t="s">
        <v>355</v>
      </c>
      <c r="C143" s="420" t="s">
        <v>290</v>
      </c>
      <c r="D143" s="397" t="s">
        <v>356</v>
      </c>
      <c r="E143" s="377" t="s">
        <v>166</v>
      </c>
      <c r="F143" s="377" t="s">
        <v>163</v>
      </c>
      <c r="G143" s="384"/>
    </row>
    <row r="144">
      <c r="B144" s="424" t="s">
        <v>357</v>
      </c>
      <c r="C144" s="420" t="s">
        <v>290</v>
      </c>
      <c r="D144" s="423" t="str">
        <f>HYPERLINK("https://www.reddit.com/r/RMTK/comments/5e52hc/m0141_motie_tot_aanbod_cognitieve_gedragstherapie/" , "Motie tot aanbod cognitieve gedragstherapie voor pedofielen")</f>
        <v>Motie tot aanbod cognitieve gedragstherapie voor pedofielen</v>
      </c>
      <c r="E144" s="377" t="s">
        <v>166</v>
      </c>
      <c r="F144" s="377" t="s">
        <v>163</v>
      </c>
      <c r="G144" s="384"/>
    </row>
    <row r="145">
      <c r="A145" s="390"/>
      <c r="B145" s="427" t="s">
        <v>358</v>
      </c>
      <c r="C145" s="428" t="s">
        <v>290</v>
      </c>
      <c r="D145" s="429" t="str">
        <f>HYPERLINK("https://www.reddit.com/r/RMTK/comments/5fdgl8/m0142_motie_betreffende_meer_diversiteit_in/", "Motie betreffende meer diversiteit in leidinggevende functies in de sport")</f>
        <v>Motie betreffende meer diversiteit in leidinggevende functies in de sport</v>
      </c>
      <c r="E145" s="430" t="s">
        <v>162</v>
      </c>
      <c r="F145" s="377" t="s">
        <v>163</v>
      </c>
      <c r="G145" s="66"/>
    </row>
    <row r="146">
      <c r="A146" s="431" t="s">
        <v>359</v>
      </c>
      <c r="B146" s="432" t="s">
        <v>360</v>
      </c>
      <c r="C146" s="405" t="s">
        <v>290</v>
      </c>
      <c r="D146" s="397" t="str">
        <f>HYPERLINK("https://www.reddit.com/r/RMTK/comments/5gnj9e/m0143_motie_betreffende_reizen_naar_culturele/","Motie betreffende reizen naar culturele instellingen in het primair onderwijs")</f>
        <v>Motie betreffende reizen naar culturele instellingen in het primair onderwijs</v>
      </c>
      <c r="E146" s="433" t="s">
        <v>162</v>
      </c>
      <c r="F146" s="403" t="s">
        <v>163</v>
      </c>
    </row>
    <row r="147">
      <c r="B147" s="424" t="s">
        <v>361</v>
      </c>
      <c r="C147" s="420" t="s">
        <v>290</v>
      </c>
      <c r="D147" s="423" t="str">
        <f>HYPERLINK("https://www.reddit.com/r/RMTK/comments/5h1sbp/m0144_motie_betreffende_antiterrorismewetgeving/","Motie betreffende antiterrorisme-wetgeving als obstakel voor financiering mensenrechtenorganisaties")</f>
        <v>Motie betreffende antiterrorisme-wetgeving als obstakel voor financiering mensenrechtenorganisaties</v>
      </c>
      <c r="E147" s="377" t="s">
        <v>162</v>
      </c>
      <c r="F147" s="377" t="s">
        <v>163</v>
      </c>
      <c r="G147" s="384"/>
    </row>
    <row r="148">
      <c r="B148" s="424" t="s">
        <v>362</v>
      </c>
      <c r="C148" s="420" t="s">
        <v>21</v>
      </c>
      <c r="D148" s="426" t="str">
        <f>HYPERLINK("https://www.reddit.com/r/RMTK/comments/5gnjgh/m0145_motie_aangaande_de_actie_van_de/","Motie aangaande de actie van de Secretaris-Generaal")</f>
        <v>Motie aangaande de actie van de Secretaris-Generaal</v>
      </c>
      <c r="E148" s="377" t="s">
        <v>162</v>
      </c>
      <c r="F148" s="377" t="s">
        <v>163</v>
      </c>
      <c r="G148" s="384"/>
    </row>
    <row r="149">
      <c r="B149" s="424" t="s">
        <v>363</v>
      </c>
      <c r="C149" s="405" t="s">
        <v>165</v>
      </c>
      <c r="D149" s="426" t="str">
        <f>HYPERLINK("https://www.reddit.com/r/RMTK/comments/5hjliq/m0146_motie_van_treurnis_jegens_de_regering_in/","Motie van Treurnis jegens de regering in verband met W0061")</f>
        <v>Motie van Treurnis jegens de regering in verband met W0061</v>
      </c>
      <c r="E149" s="377" t="s">
        <v>162</v>
      </c>
      <c r="F149" s="377" t="s">
        <v>163</v>
      </c>
      <c r="G149" s="384"/>
    </row>
    <row r="150">
      <c r="B150" s="432" t="s">
        <v>364</v>
      </c>
      <c r="C150" s="420" t="s">
        <v>174</v>
      </c>
      <c r="D150" s="423" t="str">
        <f>HYPERLINK("https://www.reddit.com/r/RMTK/comments/5lov4v/m0147_motie_tot_het_verplaatsen_isra%C3%ABlische/","Motie Tot Het Verplaatsen Israëlische Ambassade")</f>
        <v>Motie Tot Het Verplaatsen Israëlische Ambassade</v>
      </c>
      <c r="E150" s="377" t="s">
        <v>162</v>
      </c>
      <c r="F150" s="377" t="s">
        <v>163</v>
      </c>
      <c r="G150" s="384"/>
    </row>
    <row r="151">
      <c r="B151" s="424" t="s">
        <v>365</v>
      </c>
      <c r="C151" s="420" t="s">
        <v>290</v>
      </c>
      <c r="D151" s="423" t="str">
        <f>HYPERLINK("https://www.reddit.com/r/RMTK/comments/5lov9n/m0148_motie_tot_versoepeling_mengvormen_tussen/","Motie tot versoepeling mengvormen tussen horeca en winkels")</f>
        <v>Motie tot versoepeling mengvormen tussen horeca en winkels</v>
      </c>
      <c r="E151" s="377" t="s">
        <v>166</v>
      </c>
      <c r="F151" s="377" t="s">
        <v>163</v>
      </c>
      <c r="G151" s="384"/>
    </row>
    <row r="152">
      <c r="B152" s="424" t="s">
        <v>366</v>
      </c>
      <c r="C152" s="420" t="s">
        <v>290</v>
      </c>
      <c r="D152" s="423" t="str">
        <f>HYPERLINK("https://www.reddit.com/r/RMTK/comments/5ltc0t/m0149_motie_tot_afschaffing_klassensysteem_van_de/","Motie tot afschaffing klassensysteem van de NS")</f>
        <v>Motie tot afschaffing klassensysteem van de NS</v>
      </c>
      <c r="E152" s="377" t="s">
        <v>162</v>
      </c>
      <c r="F152" s="377" t="s">
        <v>163</v>
      </c>
      <c r="G152" s="384"/>
    </row>
    <row r="153">
      <c r="B153" s="424" t="s">
        <v>367</v>
      </c>
      <c r="C153" s="420" t="s">
        <v>165</v>
      </c>
      <c r="D153" s="423" t="str">
        <f>HYPERLINK("https://www.reddit.com/r/RMTK/comments/5ltca6/m0150_motie_over_het_gebruik_van_het_budget_voor/","Motie over het gebruik van het budget voor Ontwikkelingssamenwerking voor Integratie")</f>
        <v>Motie over het gebruik van het budget voor Ontwikkelingssamenwerking voor Integratie</v>
      </c>
      <c r="E153" s="377" t="s">
        <v>162</v>
      </c>
      <c r="F153" s="377" t="s">
        <v>163</v>
      </c>
      <c r="G153" s="384"/>
    </row>
    <row r="154">
      <c r="B154" s="432" t="s">
        <v>368</v>
      </c>
      <c r="C154" s="434" t="s">
        <v>149</v>
      </c>
      <c r="D154" s="423" t="str">
        <f>HYPERLINK("https://www.reddit.com/r/RMTK/comments/5n06dc/m0151_motie_tot_de_vergroting_van_het_aantal/","Motie tot de vergroting van het aantal elektrische oplaadpunten")</f>
        <v>Motie tot de vergroting van het aantal elektrische oplaadpunten</v>
      </c>
      <c r="E154" s="377" t="s">
        <v>166</v>
      </c>
      <c r="F154" s="377" t="s">
        <v>163</v>
      </c>
      <c r="G154" s="384"/>
    </row>
    <row r="155">
      <c r="B155" s="424" t="s">
        <v>369</v>
      </c>
      <c r="C155" s="434" t="s">
        <v>149</v>
      </c>
      <c r="D155" s="423" t="str">
        <f>HYPERLINK("https://www.reddit.com/r/RMTK/comments/5nebe1/m0152_motie_voor_een_landelijke_test_met_het/","Motie voor een landelijke test met het basisinkomen")</f>
        <v>Motie voor een landelijke test met het basisinkomen</v>
      </c>
      <c r="E155" s="377" t="s">
        <v>162</v>
      </c>
      <c r="F155" s="377" t="s">
        <v>163</v>
      </c>
      <c r="G155" s="384"/>
    </row>
    <row r="156">
      <c r="B156" s="424" t="s">
        <v>370</v>
      </c>
      <c r="C156" s="420" t="s">
        <v>12</v>
      </c>
      <c r="D156" s="423" t="str">
        <f>HYPERLINK("https://www.reddit.com/r/RMTK/comments/5nebhv/m0153_motie_tot_het_weren_van_diyanet_uit/","Motie tot het weren van Diyanet uit Nederland")</f>
        <v>Motie tot het weren van Diyanet uit Nederland</v>
      </c>
      <c r="E156" s="377" t="s">
        <v>166</v>
      </c>
      <c r="F156" s="377" t="s">
        <v>163</v>
      </c>
      <c r="G156" s="384"/>
    </row>
    <row r="157">
      <c r="B157" s="424" t="s">
        <v>371</v>
      </c>
      <c r="C157" s="434" t="s">
        <v>149</v>
      </c>
      <c r="D157" s="423" t="str">
        <f>HYPERLINK("https://www.reddit.com/r/RMTK/comments/5oh5de/m0154_motie_betreffende_federale_dienstautos/","Motie betreffende Federale Dienstauto's")</f>
        <v>Motie betreffende Federale Dienstauto's</v>
      </c>
      <c r="E157" s="377" t="s">
        <v>162</v>
      </c>
      <c r="F157" s="377" t="s">
        <v>163</v>
      </c>
      <c r="G157" s="384"/>
    </row>
    <row r="158">
      <c r="B158" s="432" t="s">
        <v>372</v>
      </c>
      <c r="C158" s="420" t="s">
        <v>12</v>
      </c>
      <c r="D158" s="423" t="str">
        <f>HYPERLINK("https://www.reddit.com/r/RMTK/comments/5pcrws/m0155_motie_ter_hervorming_van_de_wetgeving/","Motie ter hervorming van de wetgeving omtrent bonusbeleid van banken")</f>
        <v>Motie ter hervorming van de wetgeving omtrent bonusbeleid van banken</v>
      </c>
      <c r="E158" s="377" t="s">
        <v>166</v>
      </c>
      <c r="F158" s="377" t="s">
        <v>163</v>
      </c>
      <c r="G158" s="384"/>
    </row>
    <row r="159">
      <c r="B159" s="424" t="s">
        <v>373</v>
      </c>
      <c r="C159" s="420" t="s">
        <v>12</v>
      </c>
      <c r="D159" s="423" t="str">
        <f>HYPERLINK("https://www.reddit.com/r/RMTK/comments/5pctx0/m0156_motie_tot_het_liberaliseren_van/","Motie tot het liberaliseren van openingstijden op zondag")</f>
        <v>Motie tot het liberaliseren van openingstijden op zondag</v>
      </c>
      <c r="E159" s="377" t="s">
        <v>166</v>
      </c>
      <c r="F159" s="377" t="s">
        <v>163</v>
      </c>
      <c r="G159" s="384"/>
    </row>
    <row r="160">
      <c r="B160" s="424" t="s">
        <v>374</v>
      </c>
      <c r="C160" s="434" t="s">
        <v>149</v>
      </c>
      <c r="D160" s="423" t="str">
        <f>HYPERLINK("https://www.reddit.com/r/RMTK/comments/5pq6jq/m0157_motie_tot_stimulering_bouw_teslafabriek/","Motie tot stimulering bouw Tesla-fabriek")</f>
        <v>Motie tot stimulering bouw Tesla-fabriek</v>
      </c>
      <c r="E160" s="377" t="s">
        <v>166</v>
      </c>
      <c r="F160" s="377" t="s">
        <v>163</v>
      </c>
      <c r="G160" s="384"/>
    </row>
    <row r="161">
      <c r="B161" s="432" t="s">
        <v>375</v>
      </c>
      <c r="C161" s="420" t="s">
        <v>290</v>
      </c>
      <c r="D161" s="423" t="str">
        <f>HYPERLINK("https://www.reddit.com/r/RMTK/comments/5r2i93/m0158_motie_over_een_nieuw_ondersteuningsaanbod/","Motie over een nieuw ondersteuningsaanbod voor moeilijk plaatsbare kinderen")</f>
        <v>Motie over een nieuw ondersteuningsaanbod voor moeilijk plaatsbare kinderen</v>
      </c>
      <c r="E161" s="377" t="s">
        <v>162</v>
      </c>
      <c r="F161" s="377" t="s">
        <v>163</v>
      </c>
      <c r="G161" s="384"/>
    </row>
    <row r="162">
      <c r="B162" s="424" t="s">
        <v>376</v>
      </c>
      <c r="C162" s="420" t="s">
        <v>290</v>
      </c>
      <c r="D162" s="423" t="str">
        <f>HYPERLINK("https://www.reddit.com/r/RMTK/comments/5r2iho/m0159_motie_over_bekostiging_van_de/","Motie over bekostiging van de diagnosestelling en behandeling van leerlingen met dyscalculie")</f>
        <v>Motie over bekostiging van de diagnosestelling en behandeling van leerlingen met dyscalculie</v>
      </c>
      <c r="E162" s="377" t="s">
        <v>166</v>
      </c>
      <c r="F162" s="377" t="s">
        <v>163</v>
      </c>
      <c r="G162" s="384"/>
    </row>
    <row r="163">
      <c r="B163" s="424" t="s">
        <v>377</v>
      </c>
      <c r="C163" s="420" t="s">
        <v>290</v>
      </c>
      <c r="D163" s="423" t="str">
        <f>HYPERLINK("https://www.reddit.com/r/RMTK/comments/5rhxha/m0160_motie_over_speciale_opvangplekken_voor/","Motie over speciale opvangplekken voor dakloze jongeren")</f>
        <v>Motie over speciale opvangplekken voor dakloze jongeren</v>
      </c>
      <c r="E163" s="377" t="s">
        <v>166</v>
      </c>
      <c r="F163" s="377" t="s">
        <v>163</v>
      </c>
      <c r="G163" s="384"/>
    </row>
    <row r="164">
      <c r="B164" s="424" t="s">
        <v>378</v>
      </c>
      <c r="C164" s="420" t="s">
        <v>290</v>
      </c>
      <c r="D164" s="423" t="str">
        <f>HYPERLINK("https://www.reddit.com/r/RMTK/comments/5rhxnn/m0161_motie_over_het_be%C3%ABindigen_van_het/","Motie over het beëindigen van het routinematig verwijderen van varkensstaarten")</f>
        <v>Motie over het beëindigen van het routinematig verwijderen van varkensstaarten</v>
      </c>
      <c r="E164" s="377" t="s">
        <v>166</v>
      </c>
      <c r="F164" s="377" t="s">
        <v>163</v>
      </c>
      <c r="G164" s="384"/>
    </row>
    <row r="165">
      <c r="B165" s="432" t="s">
        <v>379</v>
      </c>
      <c r="C165" s="420" t="s">
        <v>290</v>
      </c>
      <c r="D165" s="423" t="str">
        <f>HYPERLINK("https://www.reddit.com/r/RMTK/comments/5sfr5w/m0162_motie_om_de_overheid_uit_de_bonussen_voor/","Motie Om De Overheid Uit De Bonussen Voor Topbankiers Te Halen")</f>
        <v>Motie Om De Overheid Uit De Bonussen Voor Topbankiers Te Halen</v>
      </c>
      <c r="E165" s="377" t="s">
        <v>162</v>
      </c>
      <c r="F165" s="377" t="s">
        <v>163</v>
      </c>
      <c r="G165" s="384"/>
    </row>
    <row r="166">
      <c r="B166" s="424" t="s">
        <v>380</v>
      </c>
      <c r="C166" s="420" t="s">
        <v>174</v>
      </c>
      <c r="D166" s="423" t="str">
        <f>HYPERLINK("https://www.reddit.com/r/RMTK/comments/5sfs35/m0163motie_tot_betere_screening_asielzoekers/","Motie tot betere screening asielzoekers")</f>
        <v>Motie tot betere screening asielzoekers</v>
      </c>
      <c r="E166" s="377" t="s">
        <v>162</v>
      </c>
      <c r="F166" s="377" t="s">
        <v>163</v>
      </c>
      <c r="G166" s="384"/>
    </row>
    <row r="167">
      <c r="B167" s="424" t="s">
        <v>381</v>
      </c>
      <c r="C167" s="434" t="s">
        <v>149</v>
      </c>
      <c r="D167" s="423" t="str">
        <f>HYPERLINK("https://www.reddit.com/r/RMTK/comments/5suynw/m0164_motie_tot_stimulering_betere_doorstroming/","Motie tot stimulering betere doorstroming")</f>
        <v>Motie tot stimulering betere doorstroming</v>
      </c>
      <c r="E167" s="377" t="s">
        <v>166</v>
      </c>
      <c r="F167" s="377" t="s">
        <v>163</v>
      </c>
      <c r="G167" s="384"/>
    </row>
    <row r="168">
      <c r="B168" s="424" t="s">
        <v>382</v>
      </c>
      <c r="C168" s="420" t="s">
        <v>174</v>
      </c>
      <c r="D168" s="423" t="str">
        <f>HYPERLINK("https://www.reddit.com/r/RMTK/comments/5suyv4/m0165_motie_over_het_toestaan_van_pulsvisserij/","Motie over het toestaan van pulsvisserij")</f>
        <v>Motie over het toestaan van pulsvisserij</v>
      </c>
      <c r="E168" s="377" t="s">
        <v>162</v>
      </c>
      <c r="F168" s="377" t="s">
        <v>163</v>
      </c>
      <c r="G168" s="384"/>
    </row>
    <row r="169">
      <c r="B169" s="424" t="s">
        <v>383</v>
      </c>
      <c r="C169" s="434" t="s">
        <v>149</v>
      </c>
      <c r="D169" s="426" t="str">
        <f>HYPERLINK("https://www.reddit.com/r/RMTK/comments/5t9lag/m0165_motie_van_afkeuring_jegens_de_regering/","Motie Van Afkeuring Jegens De Regering")</f>
        <v>Motie Van Afkeuring Jegens De Regering</v>
      </c>
      <c r="E169" s="377" t="s">
        <v>162</v>
      </c>
      <c r="F169" s="377" t="s">
        <v>163</v>
      </c>
      <c r="G169" s="384"/>
    </row>
    <row r="170">
      <c r="B170" s="424" t="s">
        <v>384</v>
      </c>
      <c r="C170" s="434" t="s">
        <v>149</v>
      </c>
      <c r="D170" s="423" t="str">
        <f>HYPERLINK("https://www.reddit.com/r/RMTK/comments/5u0157/m0167_motie_ter_verplaatsing_van_vlees_naar_het/","Motie om vlees onder het hoge tarief van de BTW te laten vallen")</f>
        <v>Motie om vlees onder het hoge tarief van de BTW te laten vallen</v>
      </c>
      <c r="E170" s="377" t="s">
        <v>162</v>
      </c>
      <c r="F170" s="377" t="s">
        <v>163</v>
      </c>
      <c r="G170" s="384"/>
    </row>
    <row r="171">
      <c r="B171" s="424" t="s">
        <v>385</v>
      </c>
      <c r="C171" s="434" t="s">
        <v>149</v>
      </c>
      <c r="D171" s="423" t="str">
        <f>HYPERLINK("https://www.reddit.com/r/RMTK/comments/5ua3qv/m0168_motie_omtrent_oogafwijkingoperaties/","Motie omtrent Oogafwijkingoperaties")</f>
        <v>Motie omtrent Oogafwijkingoperaties</v>
      </c>
      <c r="E171" s="377" t="s">
        <v>166</v>
      </c>
      <c r="F171" s="377" t="s">
        <v>163</v>
      </c>
      <c r="G171" s="384"/>
    </row>
    <row r="172">
      <c r="B172" s="424" t="s">
        <v>386</v>
      </c>
      <c r="C172" s="434" t="s">
        <v>149</v>
      </c>
      <c r="D172" s="423" t="str">
        <f>HYPERLINK("https://www.reddit.com/r/RMTK/comments/5v74ny/m0169_motie_tot_verlagen_belasting_grassen_en/","Motie tot verlagen belasting grassen en boomkwekerijproducten")</f>
        <v>Motie tot verlagen belasting grassen en boomkwekerijproducten</v>
      </c>
      <c r="E172" s="377" t="s">
        <v>166</v>
      </c>
      <c r="F172" s="377" t="s">
        <v>163</v>
      </c>
      <c r="G172" s="384"/>
    </row>
    <row r="173">
      <c r="B173" s="424" t="s">
        <v>387</v>
      </c>
      <c r="C173" s="420" t="s">
        <v>177</v>
      </c>
      <c r="D173" s="426" t="str">
        <f>HYPERLINK("https://www.reddit.com/r/RMTK/comments/5vjwd5/m0170_motie_van_treurnis_jegens_de/","Motie van Treurnis jegens de Secretaris-Generaal")</f>
        <v>Motie van Treurnis jegens de Secretaris-Generaal</v>
      </c>
      <c r="E173" s="377" t="s">
        <v>162</v>
      </c>
      <c r="F173" s="377" t="s">
        <v>163</v>
      </c>
      <c r="G173" s="384"/>
    </row>
    <row r="174">
      <c r="B174" s="424" t="s">
        <v>388</v>
      </c>
      <c r="C174" s="435" t="s">
        <v>177</v>
      </c>
      <c r="D174" s="426" t="str">
        <f>HYPERLINK("https://www.reddit.com/r/RMTK/comments/5vl24r/m0171_motie_van_wantrouwen_jegens_het_presidium/?utm_content=title&amp;utm_medium=hot&amp;utm_source=reddit&amp;utm_name=RMTK","Motie van Wantrouwen jegens het presidium")</f>
        <v>Motie van Wantrouwen jegens het presidium</v>
      </c>
      <c r="E174" s="377" t="s">
        <v>162</v>
      </c>
      <c r="F174" s="377" t="s">
        <v>163</v>
      </c>
      <c r="G174" s="384"/>
    </row>
    <row r="175">
      <c r="A175" s="436" t="s">
        <v>389</v>
      </c>
      <c r="B175" s="437" t="s">
        <v>390</v>
      </c>
      <c r="C175" s="420" t="s">
        <v>174</v>
      </c>
      <c r="D175" s="421" t="str">
        <f>HYPERLINK("https://www.reddit.com/r/RMTK/comments/63kmjt/m0172_motie_tot_oprichting_van_een/?ref=search_posts","Motie tot oprichting van een commissie-stichting voor invulling van het Luchtvaartfonds")</f>
        <v>Motie tot oprichting van een commissie-stichting voor invulling van het Luchtvaartfonds</v>
      </c>
      <c r="E175" s="403" t="s">
        <v>166</v>
      </c>
      <c r="F175" s="403" t="s">
        <v>163</v>
      </c>
      <c r="G175" s="415"/>
    </row>
    <row r="176">
      <c r="B176" s="424" t="s">
        <v>391</v>
      </c>
      <c r="C176" s="420" t="s">
        <v>174</v>
      </c>
      <c r="D176" s="423" t="str">
        <f>HYPERLINK("https://www.reddit.com/r/RMTK/comments/63kncu/m0173_motie_tot_inzetten_op_huurverlichting_en/?ref=search_posts","Motie tot inzetten op huurverlichting en lastenverlichting van minima")</f>
        <v>Motie tot inzetten op huurverlichting en lastenverlichting van minima</v>
      </c>
      <c r="E176" s="377" t="s">
        <v>166</v>
      </c>
      <c r="F176" s="377" t="s">
        <v>163</v>
      </c>
      <c r="G176" s="384"/>
    </row>
    <row r="177">
      <c r="B177" s="424" t="s">
        <v>392</v>
      </c>
      <c r="C177" s="420" t="s">
        <v>174</v>
      </c>
      <c r="D177" s="410" t="str">
        <f>HYPERLINK("https://www.reddit.com/r/RMTK/comments/63w05h/m0174_motie_van_wantrouwen_jegens_de_minister_van/","Motie van Wantrouwen jegens de Minister van Infrastructuur &amp; Milieu")</f>
        <v>Motie van Wantrouwen jegens de Minister van Infrastructuur &amp; Milieu</v>
      </c>
      <c r="E177" s="377" t="s">
        <v>170</v>
      </c>
      <c r="F177" s="382"/>
      <c r="G177" s="384" t="s">
        <v>393</v>
      </c>
    </row>
    <row r="178">
      <c r="B178" s="424" t="s">
        <v>394</v>
      </c>
      <c r="C178" s="420" t="s">
        <v>174</v>
      </c>
      <c r="D178" s="423" t="str">
        <f>HYPERLINK("https://www.reddit.com/r/RMTK/comments/640ama/m0175_motie_tot_verbod_bepaalde_uitkeringen_voor/?ref=search_posts","Motie tot verbod bepaalde uitkering voor asielzoekers")</f>
        <v>Motie tot verbod bepaalde uitkering voor asielzoekers</v>
      </c>
      <c r="E178" s="438" t="s">
        <v>162</v>
      </c>
      <c r="F178" s="377" t="s">
        <v>163</v>
      </c>
      <c r="G178" s="384"/>
    </row>
    <row r="179">
      <c r="B179" s="424" t="s">
        <v>395</v>
      </c>
      <c r="C179" s="420" t="s">
        <v>174</v>
      </c>
      <c r="D179" s="423" t="str">
        <f>HYPERLINK("https://www.reddit.com/r/RMTK/comments/64mqaj/m0176_motie_tot_verlaging_inburgeringstermijn/?ref=search_posts","Motie tot verlaging inburgeringstermijn")</f>
        <v>Motie tot verlaging inburgeringstermijn</v>
      </c>
      <c r="E179" s="438" t="s">
        <v>162</v>
      </c>
      <c r="F179" s="377" t="s">
        <v>163</v>
      </c>
      <c r="G179" s="384"/>
    </row>
    <row r="180">
      <c r="B180" s="424" t="s">
        <v>396</v>
      </c>
      <c r="C180" s="420" t="s">
        <v>174</v>
      </c>
      <c r="D180" s="423" t="str">
        <f>HYPERLINK("https://www.reddit.com/r/RMTK/comments/650ffx/m0177_motie_tot_korting_van_gemeenten_die/?ref=search_posts","Motie tot korting van gemeenten die islamitische organisatites faciliteren en/of subsidiëren")</f>
        <v>Motie tot korting van gemeenten die islamitische organisatites faciliteren en/of subsidiëren</v>
      </c>
      <c r="E180" s="438" t="s">
        <v>162</v>
      </c>
      <c r="F180" s="377" t="s">
        <v>163</v>
      </c>
      <c r="G180" s="384"/>
    </row>
    <row r="181">
      <c r="B181" s="424" t="s">
        <v>397</v>
      </c>
      <c r="C181" s="420" t="s">
        <v>174</v>
      </c>
      <c r="D181" s="423" t="str">
        <f>HYPERLINK("https://www.reddit.com/r/RMTK/comments/650gbm/m0178_motie_tot_ontmanteling_diyanet_nederland/?ref=search_posts","Motie tot ontmanteling Diyanet Nederland")</f>
        <v>Motie tot ontmanteling Diyanet Nederland</v>
      </c>
      <c r="E181" s="438" t="s">
        <v>162</v>
      </c>
      <c r="F181" s="377" t="s">
        <v>163</v>
      </c>
      <c r="G181" s="384"/>
    </row>
    <row r="182">
      <c r="B182" s="424" t="s">
        <v>398</v>
      </c>
      <c r="C182" s="420" t="s">
        <v>12</v>
      </c>
      <c r="D182" s="426" t="str">
        <f>HYPERLINK("https://www.reddit.com/r/RMTK/comments/664qvo/m0180_motie_van_afkeuring_jegens_het_presidium/?ref=search_posts","Motie van Afkeuring jegens het Presidium")</f>
        <v>Motie van Afkeuring jegens het Presidium</v>
      </c>
      <c r="E182" s="438" t="s">
        <v>166</v>
      </c>
      <c r="F182" s="377" t="s">
        <v>163</v>
      </c>
      <c r="G182" s="384"/>
    </row>
    <row r="183">
      <c r="B183" s="424" t="s">
        <v>399</v>
      </c>
      <c r="C183" s="420" t="s">
        <v>174</v>
      </c>
      <c r="D183" s="423" t="str">
        <f>HYPERLINK("https://www.reddit.com/r/RMTK/comments/66c8b4/m0180_maximumsnelheid/?ref=search_posts","Motie tot verhoging maximumsnelheid")</f>
        <v>Motie tot verhoging maximumsnelheid</v>
      </c>
      <c r="E183" s="377" t="s">
        <v>162</v>
      </c>
      <c r="F183" s="377" t="s">
        <v>163</v>
      </c>
      <c r="G183" s="384"/>
    </row>
    <row r="184">
      <c r="B184" s="424" t="s">
        <v>400</v>
      </c>
      <c r="C184" s="439" t="s">
        <v>290</v>
      </c>
      <c r="D184" s="411" t="str">
        <f>HYPERLINK("https://www.reddit.com/r/RMTK/comments/66c8lj/m0181_motie_tot_ontwikkeling_sterkere/?ref=search_posts","Motie tot ontwikkeling sterkere encryptiemethoden")</f>
        <v>Motie tot ontwikkeling sterkere encryptiemethoden</v>
      </c>
      <c r="E184" s="377" t="s">
        <v>166</v>
      </c>
      <c r="F184" s="377" t="s">
        <v>163</v>
      </c>
      <c r="G184" s="384"/>
    </row>
    <row r="185">
      <c r="B185" s="424" t="s">
        <v>401</v>
      </c>
      <c r="C185" s="420" t="s">
        <v>174</v>
      </c>
      <c r="D185" s="423" t="str">
        <f>HYPERLINK("https://www.reddit.com/r/RMTK/comments/66ocga/m0182_motie_over_per_direct_intrekken_van_de_wet/","Motie over per direct intrekken van de Wet DBA")</f>
        <v>Motie over per direct intrekken van de Wet DBA</v>
      </c>
      <c r="E185" s="377" t="s">
        <v>166</v>
      </c>
      <c r="F185" s="377" t="s">
        <v>163</v>
      </c>
      <c r="G185" s="384"/>
    </row>
    <row r="186">
      <c r="B186" s="424" t="s">
        <v>402</v>
      </c>
      <c r="C186" s="420" t="s">
        <v>23</v>
      </c>
      <c r="D186" s="423" t="str">
        <f>HYPERLINK("https://www.reddit.com/r/RMTK/comments/67a036/m0183_motie_tot_uitbreiden_bmdcapaciteit/","Motie tot uitbreiden BMD-capaciteit marinefregatten")</f>
        <v>Motie tot uitbreiden BMD-capaciteit marinefregatten</v>
      </c>
      <c r="E186" s="377" t="s">
        <v>166</v>
      </c>
      <c r="F186" s="377" t="s">
        <v>163</v>
      </c>
      <c r="G186" s="384"/>
    </row>
    <row r="187">
      <c r="B187" s="424" t="s">
        <v>403</v>
      </c>
      <c r="C187" s="420" t="s">
        <v>177</v>
      </c>
      <c r="D187" s="423" t="str">
        <f>HYPERLINK("https://www.reddit.com/r/RMTK/comments/67nwul/m0184_motie_om_belasting_op_topinkomens_en_het/?ref=search_posts","Motie om belasting op topinkomens, en het aanpakken van belastingontwijking, in de begroting op te nemen")</f>
        <v>Motie om belasting op topinkomens, en het aanpakken van belastingontwijking, in de begroting op te nemen</v>
      </c>
      <c r="E187" s="377" t="s">
        <v>166</v>
      </c>
      <c r="F187" s="377" t="s">
        <v>163</v>
      </c>
      <c r="G187" s="384"/>
    </row>
    <row r="188">
      <c r="B188" s="424" t="s">
        <v>404</v>
      </c>
      <c r="C188" s="420" t="s">
        <v>177</v>
      </c>
      <c r="D188" s="423" t="str">
        <f>HYPERLINK("https://www.reddit.com/r/RMTK/comments/67nx3u/m0185_motie_om_vakbonden_te_ondersteunen/?ref=search_posts","Motie om vakbonden te ondersteunen")</f>
        <v>Motie om vakbonden te ondersteunen</v>
      </c>
      <c r="E188" s="377" t="s">
        <v>166</v>
      </c>
      <c r="F188" s="377" t="s">
        <v>163</v>
      </c>
      <c r="G188" s="384"/>
    </row>
    <row r="189">
      <c r="B189" s="424" t="s">
        <v>405</v>
      </c>
      <c r="C189" s="420" t="s">
        <v>177</v>
      </c>
      <c r="D189" s="423" t="str">
        <f>HYPERLINK("https://www.reddit.com/r/RMTK/comments/6885en/m0186_motie_om_de_privatisering_en_liberalisering/","Motie om de privatisering en liberalisering op het spoor terug te draaien")</f>
        <v>Motie om de privatisering en liberalisering op het spoor terug te draaien</v>
      </c>
      <c r="E189" s="377" t="s">
        <v>162</v>
      </c>
      <c r="F189" s="377" t="s">
        <v>163</v>
      </c>
      <c r="G189" s="384"/>
    </row>
    <row r="190">
      <c r="B190" s="424" t="s">
        <v>406</v>
      </c>
      <c r="C190" s="434" t="s">
        <v>149</v>
      </c>
      <c r="D190" s="423" t="str">
        <f>HYPERLINK("https://www.reddit.com/r/RMTK/comments/68nmdn/m0187_motie_tot_subsidi%C3%ABring_van_zonnepanelen/","Motie tot subsidiëring van zonnepanelen")</f>
        <v>Motie tot subsidiëring van zonnepanelen</v>
      </c>
      <c r="E190" s="377" t="s">
        <v>166</v>
      </c>
      <c r="F190" s="377" t="s">
        <v>163</v>
      </c>
      <c r="G190" s="384"/>
    </row>
    <row r="191">
      <c r="B191" s="424" t="s">
        <v>407</v>
      </c>
      <c r="C191" s="420" t="s">
        <v>290</v>
      </c>
      <c r="D191" s="423" t="str">
        <f>HYPERLINK("https://www.reddit.com/r/RMTK/comments/68nm90/m0188_motie_tot_het_dekkend_maken_van/","Motie tot het dekkend maken van maatschappelijke effecten van autorijden")</f>
        <v>Motie tot het dekkend maken van maatschappelijke effecten van autorijden</v>
      </c>
      <c r="E191" s="377" t="s">
        <v>162</v>
      </c>
      <c r="F191" s="377" t="s">
        <v>163</v>
      </c>
      <c r="G191" s="384"/>
    </row>
    <row r="192">
      <c r="B192" s="424" t="s">
        <v>408</v>
      </c>
      <c r="C192" s="420" t="s">
        <v>290</v>
      </c>
      <c r="D192" s="423" t="str">
        <f>HYPERLINK("https://www.reddit.com/r/RMTK/comments/690dom/m0189_motie_tot_verbod_op_verkoop_scooters_met/","Motie tot verbod op verkoop scooters met verbrandingsmotor")</f>
        <v>Motie tot verbod op verkoop scooters met verbrandingsmotor</v>
      </c>
      <c r="E192" s="377" t="s">
        <v>166</v>
      </c>
      <c r="F192" s="377" t="s">
        <v>163</v>
      </c>
      <c r="G192" s="384"/>
    </row>
    <row r="193">
      <c r="B193" s="424" t="s">
        <v>409</v>
      </c>
      <c r="C193" s="420" t="s">
        <v>410</v>
      </c>
      <c r="D193" s="423" t="str">
        <f>HYPERLINK("https://www.reddit.com/r/RMTK/comments/69eixs/m0190_motie_tot_wettelijke_vaststelling_van/","Motie tot wettelijke vaststelling van leningen voor inboedels van statushouders")</f>
        <v>Motie tot wettelijke vaststelling van leningen voor inboedels van statushouders</v>
      </c>
      <c r="E193" s="377" t="s">
        <v>166</v>
      </c>
      <c r="F193" s="377" t="s">
        <v>163</v>
      </c>
      <c r="G193" s="384"/>
    </row>
    <row r="194">
      <c r="B194" s="424" t="s">
        <v>411</v>
      </c>
      <c r="C194" s="420" t="s">
        <v>23</v>
      </c>
      <c r="D194" s="397" t="s">
        <v>412</v>
      </c>
      <c r="E194" s="377" t="s">
        <v>170</v>
      </c>
      <c r="F194" s="382"/>
      <c r="G194" s="384" t="s">
        <v>413</v>
      </c>
    </row>
    <row r="195">
      <c r="B195" s="424" t="s">
        <v>414</v>
      </c>
      <c r="C195" s="420" t="s">
        <v>290</v>
      </c>
      <c r="D195" s="423" t="str">
        <f>HYPERLINK("https://www.reddit.com/r/RMTK/comments/69zhrt/m0191_motie_tot_reclamevrij_maken_npo/","Motie tot reclamevrij maken NPO")</f>
        <v>Motie tot reclamevrij maken NPO</v>
      </c>
      <c r="E195" s="377" t="s">
        <v>162</v>
      </c>
      <c r="F195" s="377" t="s">
        <v>163</v>
      </c>
      <c r="G195" s="384"/>
    </row>
    <row r="196">
      <c r="B196" s="424" t="s">
        <v>415</v>
      </c>
      <c r="C196" s="420" t="s">
        <v>410</v>
      </c>
      <c r="D196" s="423" t="str">
        <f>HYPERLINK("https://www.reddit.com/r/RMTK/comments/6adpyd/m0192_motie_tot_het_invoeren_van_een_azcavondklok/","Motie tot het invoeren van een AZC-avondklok")</f>
        <v>Motie tot het invoeren van een AZC-avondklok</v>
      </c>
      <c r="E196" s="377" t="s">
        <v>162</v>
      </c>
      <c r="F196" s="377" t="s">
        <v>163</v>
      </c>
      <c r="G196" s="384"/>
    </row>
    <row r="197">
      <c r="B197" s="424" t="s">
        <v>416</v>
      </c>
      <c r="C197" s="420" t="s">
        <v>23</v>
      </c>
      <c r="D197" s="423" t="str">
        <f>HYPERLINK("https://www.reddit.com/r/RMTK/comments/6axuap/m0193_motie_over_aanpassing_bbv_voor/", "M0193: Motie over aanpassing BBV voor Gemeenschappelijke regelingen")</f>
        <v>M0193: Motie over aanpassing BBV voor Gemeenschappelijke regelingen</v>
      </c>
      <c r="E197" s="377" t="s">
        <v>166</v>
      </c>
      <c r="F197" s="377" t="s">
        <v>163</v>
      </c>
      <c r="G197" s="384"/>
    </row>
    <row r="198">
      <c r="B198" s="424" t="s">
        <v>417</v>
      </c>
      <c r="C198" s="420" t="s">
        <v>23</v>
      </c>
      <c r="D198" s="423" t="str">
        <f>HYPERLINK("https://www.reddit.com/r/RMTK/comments/6bbysa/m0194_herziening_sociale_domein/", "M0194: Herziening sociale domein")</f>
        <v>M0194: Herziening sociale domein</v>
      </c>
      <c r="E198" s="377" t="s">
        <v>166</v>
      </c>
      <c r="F198" s="377" t="s">
        <v>163</v>
      </c>
      <c r="G198" s="384"/>
    </row>
    <row r="199">
      <c r="B199" s="424" t="s">
        <v>418</v>
      </c>
      <c r="C199" s="420" t="s">
        <v>23</v>
      </c>
      <c r="D199" s="423" t="str">
        <f>HYPERLINK("https://www.reddit.com/r/RMTK/comments/6bbz15/m0195_motie_over_accountantscontroles_bij/", "M0195: Motie over accountantscontroles bij gemeenten")</f>
        <v>M0195: Motie over accountantscontroles bij gemeenten</v>
      </c>
      <c r="E199" s="377" t="s">
        <v>166</v>
      </c>
      <c r="F199" s="377" t="s">
        <v>163</v>
      </c>
      <c r="G199" s="384"/>
    </row>
    <row r="200">
      <c r="B200" s="424" t="s">
        <v>419</v>
      </c>
      <c r="C200" s="420" t="s">
        <v>23</v>
      </c>
      <c r="D200" s="423" t="str">
        <f>HYPERLINK("https://www.reddit.com/r/RMTK/comments/6by6ni/m0196_motie_tot_aanpassing_besluitvorming/","Motie tot aanpassing besluitvorming bestemmingsplannen")</f>
        <v>Motie tot aanpassing besluitvorming bestemmingsplannen</v>
      </c>
      <c r="E200" s="377" t="s">
        <v>166</v>
      </c>
      <c r="F200" s="377" t="s">
        <v>163</v>
      </c>
      <c r="G200" s="384"/>
    </row>
    <row r="201">
      <c r="B201" s="424" t="s">
        <v>420</v>
      </c>
      <c r="C201" s="434" t="s">
        <v>149</v>
      </c>
      <c r="D201" s="423" t="str">
        <f>HYPERLINK("https://www.reddit.com/r/RMTK/comments/6by6rs/m0197_motie_voor_het_bevorderen_van_het_gebruik/","Motie voor het bevorderen van het gebruik van open source software")</f>
        <v>Motie voor het bevorderen van het gebruik van open source software</v>
      </c>
      <c r="E201" s="377" t="s">
        <v>166</v>
      </c>
      <c r="F201" s="377" t="s">
        <v>163</v>
      </c>
      <c r="G201" s="384"/>
    </row>
    <row r="202">
      <c r="B202" s="424" t="s">
        <v>421</v>
      </c>
      <c r="C202" s="420" t="s">
        <v>23</v>
      </c>
      <c r="D202" s="423" t="str">
        <f>HYPERLINK("https://www.reddit.com/r/RMTK/comments/6c59wc/m0198_motie_tot_versnellen_gemeentelijke/","Motie tot versnellen gemeentelijke herindeling")</f>
        <v>Motie tot versnellen gemeentelijke herindeling</v>
      </c>
      <c r="E202" s="377" t="s">
        <v>166</v>
      </c>
      <c r="F202" s="377" t="s">
        <v>163</v>
      </c>
      <c r="G202" s="384"/>
    </row>
    <row r="203">
      <c r="B203" s="424" t="s">
        <v>422</v>
      </c>
      <c r="C203" s="420" t="s">
        <v>23</v>
      </c>
      <c r="D203" s="423" t="str">
        <f>HYPERLINK("https://www.reddit.com/r/RMTK/comments/6conhf/m0199_motie_tot_verbod_product_placement_npo/","Motie tot verbod product placement NPO")</f>
        <v>Motie tot verbod product placement NPO</v>
      </c>
      <c r="E203" s="377" t="s">
        <v>162</v>
      </c>
      <c r="F203" s="377" t="s">
        <v>163</v>
      </c>
      <c r="G203" s="384"/>
    </row>
    <row r="204">
      <c r="B204" s="424" t="s">
        <v>423</v>
      </c>
      <c r="C204" s="420" t="s">
        <v>23</v>
      </c>
      <c r="D204" s="423" t="str">
        <f>HYPERLINK("https://www.reddit.com/r/RMTK/comments/6cuscb/m0200_motie_tot_verlegging_a15//","Motie tot verlegging A15")</f>
        <v>Motie tot verlegging A15</v>
      </c>
      <c r="E204" s="377" t="s">
        <v>166</v>
      </c>
      <c r="F204" s="377" t="s">
        <v>163</v>
      </c>
      <c r="G204" s="384"/>
    </row>
    <row r="205">
      <c r="B205" s="424" t="s">
        <v>424</v>
      </c>
      <c r="C205" s="420" t="s">
        <v>23</v>
      </c>
      <c r="D205" s="423" t="str">
        <f>HYPERLINK("https://www.reddit.com/r/RMTK/comments/6d3g5c/m0201_motie_tot_haalbaarheidsonderzoek_verlenging/","Motie tot haalbaarheidsonderzoek verlenging A38")</f>
        <v>Motie tot haalbaarheidsonderzoek verlenging A38</v>
      </c>
      <c r="E205" s="377" t="s">
        <v>166</v>
      </c>
      <c r="F205" s="377" t="s">
        <v>163</v>
      </c>
      <c r="G205" s="384"/>
    </row>
    <row r="206">
      <c r="B206" s="424" t="s">
        <v>425</v>
      </c>
      <c r="C206" s="420" t="s">
        <v>23</v>
      </c>
      <c r="D206" s="423" t="str">
        <f>HYPERLINK("https://www.reddit.com/r/RMTK/comments/6d3kmg/m0202_motie_tot_verhogen_geboortecijfer/","Motie tot verhogen geboortecijfer")</f>
        <v>Motie tot verhogen geboortecijfer</v>
      </c>
      <c r="E206" s="377" t="s">
        <v>162</v>
      </c>
      <c r="F206" s="377" t="s">
        <v>163</v>
      </c>
      <c r="G206" s="384"/>
    </row>
    <row r="207">
      <c r="B207" s="424" t="s">
        <v>426</v>
      </c>
      <c r="C207" s="420" t="s">
        <v>23</v>
      </c>
      <c r="D207" s="411" t="str">
        <f>HYPERLINK("https://www.reddit.com/r/RMTK/comments/6dj52e/m0203_motie_tot_permanent_inhaalverbod_grote/","Motie tot permanent inhaalverbod grote voertuigen")</f>
        <v>Motie tot permanent inhaalverbod grote voertuigen</v>
      </c>
      <c r="E207" s="377" t="s">
        <v>166</v>
      </c>
      <c r="F207" s="377" t="s">
        <v>163</v>
      </c>
      <c r="G207" s="384"/>
    </row>
    <row r="208">
      <c r="B208" s="424" t="s">
        <v>427</v>
      </c>
      <c r="C208" s="420" t="s">
        <v>23</v>
      </c>
      <c r="D208" s="423" t="str">
        <f>HYPERLINK("https://www.reddit.com/r/RMTK/comments/6dj56p/m0204_motie_tot_verbeteren_waterzuivering/","Motie tot verbeteren waterzuivering")</f>
        <v>Motie tot verbeteren waterzuivering</v>
      </c>
      <c r="E208" s="377" t="s">
        <v>166</v>
      </c>
      <c r="F208" s="377" t="s">
        <v>163</v>
      </c>
      <c r="G208" s="384"/>
    </row>
    <row r="209">
      <c r="B209" s="424" t="s">
        <v>428</v>
      </c>
      <c r="C209" s="420" t="s">
        <v>21</v>
      </c>
      <c r="D209" s="423" t="str">
        <f>HYPERLINK("https://www.reddit.com/r/RMTK/comments/6dzqcq/m0205_motie_tot_controle_concerta_ritalin_en/","Motie tot controle Concerta, Ritalin en Methylfenidaat als medicijn")</f>
        <v>Motie tot controle Concerta, Ritalin en Methylfenidaat als medicijn</v>
      </c>
      <c r="E209" s="377" t="s">
        <v>166</v>
      </c>
      <c r="F209" s="377" t="s">
        <v>163</v>
      </c>
      <c r="G209" s="384"/>
    </row>
    <row r="210">
      <c r="B210" s="424" t="s">
        <v>429</v>
      </c>
      <c r="C210" s="420" t="s">
        <v>410</v>
      </c>
      <c r="D210" s="423" t="str">
        <f>HYPERLINK("https://www.reddit.com/r/RMTK/comments/6dzqta/m0206_motie_tot_intensere_samenwerking_van_de/","Motie tot intensere samenwerking van de krijgsmachten van de BeNeLux")</f>
        <v>Motie tot intensere samenwerking van de krijgsmachten van de BeNeLux</v>
      </c>
      <c r="E210" s="377" t="s">
        <v>166</v>
      </c>
      <c r="F210" s="377" t="s">
        <v>163</v>
      </c>
      <c r="G210" s="384"/>
    </row>
    <row r="211">
      <c r="B211" s="424" t="s">
        <v>430</v>
      </c>
      <c r="C211" s="435" t="s">
        <v>23</v>
      </c>
      <c r="D211" s="408" t="s">
        <v>431</v>
      </c>
      <c r="E211" s="377" t="s">
        <v>162</v>
      </c>
      <c r="F211" s="377" t="s">
        <v>163</v>
      </c>
      <c r="G211" s="384"/>
    </row>
    <row r="212">
      <c r="A212" s="412" t="s">
        <v>432</v>
      </c>
      <c r="B212" s="437" t="s">
        <v>433</v>
      </c>
      <c r="C212" s="420" t="s">
        <v>21</v>
      </c>
      <c r="D212" s="440" t="s">
        <v>434</v>
      </c>
      <c r="E212" s="403" t="s">
        <v>162</v>
      </c>
      <c r="F212" s="403" t="s">
        <v>163</v>
      </c>
      <c r="G212" s="415"/>
    </row>
    <row r="213">
      <c r="B213" s="424" t="s">
        <v>435</v>
      </c>
      <c r="C213" s="420" t="s">
        <v>23</v>
      </c>
      <c r="D213" s="423" t="str">
        <f>HYPERLINK("https://www.reddit.com/r/RMTK/comments/6fa43n/m0209_motie_tot_assurance_garantie/","Motie tot assurance garantie belastingonderzoeken")</f>
        <v>Motie tot assurance garantie belastingonderzoeken</v>
      </c>
      <c r="E213" s="377" t="s">
        <v>166</v>
      </c>
      <c r="F213" s="377" t="s">
        <v>163</v>
      </c>
      <c r="G213" s="384"/>
    </row>
    <row r="214">
      <c r="B214" s="424" t="s">
        <v>436</v>
      </c>
      <c r="C214" s="441" t="s">
        <v>437</v>
      </c>
      <c r="D214" s="423" t="str">
        <f>HYPERLINK("https://www.reddit.com/r/RMTK/comments/6fvhse/m0210_motie_tot_vervanging_werk_met_basisinkomen/","Motie tot vervanging werk met basisinkomen")</f>
        <v>Motie tot vervanging werk met basisinkomen</v>
      </c>
      <c r="E214" s="377" t="s">
        <v>162</v>
      </c>
      <c r="F214" s="377" t="s">
        <v>163</v>
      </c>
      <c r="G214" s="384"/>
    </row>
    <row r="215">
      <c r="B215" s="424" t="s">
        <v>438</v>
      </c>
      <c r="C215" s="420" t="s">
        <v>21</v>
      </c>
      <c r="D215" s="423" t="str">
        <f>HYPERLINK("https://www.reddit.com/r/RMTK/comments/6g9aj9/m0211_motie_voor_de_oprichting_van_een_monument/","Motie voor de oprichting van een monument voor de slachtoffers van het Communisme")</f>
        <v>Motie voor de oprichting van een monument voor de slachtoffers van het Communisme</v>
      </c>
      <c r="E215" s="377" t="s">
        <v>166</v>
      </c>
      <c r="F215" s="377" t="s">
        <v>163</v>
      </c>
      <c r="G215" s="384"/>
    </row>
    <row r="216">
      <c r="B216" s="424" t="s">
        <v>439</v>
      </c>
      <c r="C216" s="420" t="s">
        <v>21</v>
      </c>
      <c r="D216" s="423" t="str">
        <f>HYPERLINK("https://www.reddit.com/r/RMTK/comments/6guet9/m0212_motie_tot_militaire_steun_aan_de_koerden/","Motie tot militaire steun aan de koerden")</f>
        <v>Motie tot militaire steun aan de koerden</v>
      </c>
      <c r="E216" s="377" t="s">
        <v>166</v>
      </c>
      <c r="F216" s="377" t="s">
        <v>163</v>
      </c>
      <c r="G216" s="384"/>
    </row>
    <row r="217">
      <c r="B217" s="442" t="s">
        <v>440</v>
      </c>
      <c r="C217" s="443" t="s">
        <v>29</v>
      </c>
      <c r="D217" s="444" t="s">
        <v>441</v>
      </c>
      <c r="E217" s="382"/>
      <c r="F217" s="382"/>
      <c r="G217" s="384"/>
    </row>
    <row r="218">
      <c r="B218" s="424" t="s">
        <v>442</v>
      </c>
      <c r="C218" s="420" t="s">
        <v>12</v>
      </c>
      <c r="D218" s="423" t="s">
        <v>443</v>
      </c>
      <c r="E218" s="377" t="s">
        <v>166</v>
      </c>
      <c r="F218" s="377" t="s">
        <v>163</v>
      </c>
      <c r="G218" s="384"/>
    </row>
    <row r="219">
      <c r="B219" s="424" t="s">
        <v>444</v>
      </c>
      <c r="C219" s="420" t="s">
        <v>12</v>
      </c>
      <c r="D219" s="423" t="s">
        <v>445</v>
      </c>
      <c r="E219" s="377" t="s">
        <v>166</v>
      </c>
      <c r="F219" s="377" t="s">
        <v>163</v>
      </c>
      <c r="G219" s="384"/>
    </row>
    <row r="220">
      <c r="B220" s="424" t="s">
        <v>446</v>
      </c>
      <c r="C220" s="420" t="s">
        <v>21</v>
      </c>
      <c r="D220" s="423" t="s">
        <v>447</v>
      </c>
      <c r="E220" s="377" t="s">
        <v>162</v>
      </c>
      <c r="F220" s="377" t="s">
        <v>163</v>
      </c>
      <c r="G220" s="384"/>
    </row>
    <row r="221">
      <c r="B221" s="424" t="s">
        <v>448</v>
      </c>
      <c r="C221" s="420" t="s">
        <v>410</v>
      </c>
      <c r="D221" s="426" t="s">
        <v>449</v>
      </c>
      <c r="E221" s="377" t="s">
        <v>170</v>
      </c>
      <c r="F221" s="377" t="s">
        <v>163</v>
      </c>
      <c r="G221" s="384" t="s">
        <v>450</v>
      </c>
    </row>
    <row r="222">
      <c r="B222" s="424" t="s">
        <v>451</v>
      </c>
      <c r="C222" s="420" t="s">
        <v>410</v>
      </c>
      <c r="D222" s="423" t="s">
        <v>452</v>
      </c>
      <c r="E222" s="377" t="s">
        <v>166</v>
      </c>
      <c r="F222" s="377" t="s">
        <v>163</v>
      </c>
      <c r="G222" s="384"/>
    </row>
    <row r="223">
      <c r="B223" s="424" t="s">
        <v>453</v>
      </c>
      <c r="C223" s="434" t="s">
        <v>149</v>
      </c>
      <c r="D223" s="423" t="s">
        <v>454</v>
      </c>
      <c r="E223" s="377" t="s">
        <v>166</v>
      </c>
      <c r="F223" s="377" t="s">
        <v>163</v>
      </c>
      <c r="G223" s="384"/>
    </row>
    <row r="224">
      <c r="B224" s="424" t="s">
        <v>455</v>
      </c>
      <c r="C224" s="434" t="s">
        <v>149</v>
      </c>
      <c r="D224" s="423" t="s">
        <v>456</v>
      </c>
      <c r="E224" s="377" t="s">
        <v>166</v>
      </c>
      <c r="F224" s="377" t="s">
        <v>163</v>
      </c>
      <c r="G224" s="384"/>
    </row>
    <row r="225">
      <c r="B225" s="424" t="s">
        <v>457</v>
      </c>
      <c r="C225" s="434" t="s">
        <v>149</v>
      </c>
      <c r="D225" s="423" t="s">
        <v>458</v>
      </c>
      <c r="E225" s="377" t="s">
        <v>166</v>
      </c>
      <c r="F225" s="377" t="s">
        <v>163</v>
      </c>
      <c r="G225" s="384"/>
    </row>
    <row r="226">
      <c r="B226" s="424" t="s">
        <v>459</v>
      </c>
      <c r="C226" s="420" t="s">
        <v>21</v>
      </c>
      <c r="D226" s="426" t="s">
        <v>460</v>
      </c>
      <c r="E226" s="377" t="s">
        <v>166</v>
      </c>
      <c r="F226" s="377" t="s">
        <v>163</v>
      </c>
      <c r="G226" s="384"/>
    </row>
    <row r="227">
      <c r="B227" s="424" t="s">
        <v>461</v>
      </c>
      <c r="C227" s="420" t="s">
        <v>410</v>
      </c>
      <c r="D227" s="426" t="s">
        <v>462</v>
      </c>
      <c r="E227" s="377" t="s">
        <v>162</v>
      </c>
      <c r="F227" s="377" t="s">
        <v>163</v>
      </c>
      <c r="G227" s="384"/>
    </row>
    <row r="228">
      <c r="B228" s="424" t="s">
        <v>463</v>
      </c>
      <c r="C228" s="420" t="s">
        <v>410</v>
      </c>
      <c r="D228" s="426" t="s">
        <v>464</v>
      </c>
      <c r="E228" s="377" t="s">
        <v>170</v>
      </c>
      <c r="F228" s="377" t="s">
        <v>163</v>
      </c>
      <c r="G228" s="384" t="s">
        <v>465</v>
      </c>
    </row>
    <row r="229">
      <c r="B229" s="424" t="s">
        <v>466</v>
      </c>
      <c r="C229" s="445" t="s">
        <v>437</v>
      </c>
      <c r="D229" s="397" t="s">
        <v>467</v>
      </c>
      <c r="E229" s="377" t="s">
        <v>166</v>
      </c>
      <c r="F229" s="377" t="s">
        <v>163</v>
      </c>
      <c r="G229" s="384"/>
    </row>
    <row r="230">
      <c r="B230" s="424" t="s">
        <v>89</v>
      </c>
      <c r="C230" s="420" t="s">
        <v>12</v>
      </c>
      <c r="D230" s="397" t="s">
        <v>468</v>
      </c>
      <c r="E230" s="377" t="s">
        <v>166</v>
      </c>
      <c r="F230" s="377" t="s">
        <v>163</v>
      </c>
      <c r="G230" s="384"/>
    </row>
    <row r="231">
      <c r="B231" s="424" t="s">
        <v>469</v>
      </c>
      <c r="C231" s="434" t="s">
        <v>149</v>
      </c>
      <c r="D231" s="397" t="s">
        <v>470</v>
      </c>
      <c r="E231" s="377" t="s">
        <v>166</v>
      </c>
      <c r="F231" s="377" t="s">
        <v>163</v>
      </c>
      <c r="G231" s="384"/>
    </row>
    <row r="232">
      <c r="B232" s="424" t="s">
        <v>471</v>
      </c>
      <c r="C232" s="420" t="s">
        <v>410</v>
      </c>
      <c r="D232" s="426" t="s">
        <v>472</v>
      </c>
      <c r="E232" s="377" t="s">
        <v>170</v>
      </c>
      <c r="F232" s="377" t="s">
        <v>163</v>
      </c>
      <c r="G232" s="384"/>
    </row>
    <row r="233">
      <c r="B233" s="424" t="s">
        <v>473</v>
      </c>
      <c r="C233" s="420" t="s">
        <v>23</v>
      </c>
      <c r="D233" s="397" t="s">
        <v>474</v>
      </c>
      <c r="E233" s="433" t="s">
        <v>166</v>
      </c>
      <c r="F233" s="377" t="s">
        <v>163</v>
      </c>
      <c r="G233" s="384"/>
    </row>
    <row r="234">
      <c r="B234" s="424" t="s">
        <v>475</v>
      </c>
      <c r="C234" s="420" t="s">
        <v>410</v>
      </c>
      <c r="D234" s="397" t="s">
        <v>476</v>
      </c>
      <c r="E234" s="433" t="s">
        <v>162</v>
      </c>
      <c r="F234" s="377" t="s">
        <v>163</v>
      </c>
      <c r="G234" s="384"/>
    </row>
    <row r="235">
      <c r="B235" s="424" t="s">
        <v>477</v>
      </c>
      <c r="C235" s="420" t="s">
        <v>12</v>
      </c>
      <c r="D235" s="397" t="s">
        <v>478</v>
      </c>
      <c r="E235" s="433" t="s">
        <v>166</v>
      </c>
      <c r="F235" s="377" t="s">
        <v>163</v>
      </c>
      <c r="G235" s="384"/>
    </row>
    <row r="236">
      <c r="A236" s="390"/>
      <c r="B236" s="446" t="s">
        <v>479</v>
      </c>
      <c r="C236" s="435" t="s">
        <v>23</v>
      </c>
      <c r="D236" s="429" t="s">
        <v>480</v>
      </c>
      <c r="E236" s="433" t="s">
        <v>162</v>
      </c>
      <c r="F236" s="377" t="s">
        <v>163</v>
      </c>
      <c r="G236" s="395"/>
    </row>
    <row r="237">
      <c r="A237" s="447" t="s">
        <v>481</v>
      </c>
      <c r="B237" s="424" t="s">
        <v>482</v>
      </c>
      <c r="C237" s="445" t="s">
        <v>437</v>
      </c>
      <c r="D237" s="397" t="s">
        <v>483</v>
      </c>
      <c r="E237" s="403" t="s">
        <v>162</v>
      </c>
      <c r="F237" s="398"/>
      <c r="G237" s="384"/>
    </row>
    <row r="238">
      <c r="B238" s="424" t="s">
        <v>484</v>
      </c>
      <c r="C238" s="445" t="s">
        <v>437</v>
      </c>
      <c r="D238" s="397" t="s">
        <v>485</v>
      </c>
      <c r="E238" s="377" t="s">
        <v>162</v>
      </c>
      <c r="F238" s="382"/>
      <c r="G238" s="384"/>
    </row>
    <row r="239">
      <c r="B239" s="424" t="s">
        <v>486</v>
      </c>
      <c r="C239" s="445" t="s">
        <v>437</v>
      </c>
      <c r="D239" s="397" t="s">
        <v>487</v>
      </c>
      <c r="E239" s="377" t="s">
        <v>162</v>
      </c>
      <c r="F239" s="382"/>
      <c r="G239" s="384"/>
    </row>
    <row r="240">
      <c r="B240" s="424" t="s">
        <v>488</v>
      </c>
      <c r="C240" s="445" t="s">
        <v>437</v>
      </c>
      <c r="D240" s="397" t="s">
        <v>489</v>
      </c>
      <c r="E240" s="377" t="s">
        <v>162</v>
      </c>
      <c r="F240" s="382"/>
      <c r="G240" s="384"/>
    </row>
    <row r="241">
      <c r="B241" s="424" t="s">
        <v>490</v>
      </c>
      <c r="C241" s="445" t="s">
        <v>437</v>
      </c>
      <c r="D241" s="397" t="s">
        <v>491</v>
      </c>
      <c r="E241" s="377" t="s">
        <v>162</v>
      </c>
      <c r="F241" s="382"/>
      <c r="G241" s="384"/>
    </row>
    <row r="242">
      <c r="B242" s="424" t="s">
        <v>492</v>
      </c>
      <c r="C242" s="445" t="s">
        <v>437</v>
      </c>
      <c r="D242" s="397" t="s">
        <v>493</v>
      </c>
      <c r="E242" s="377" t="s">
        <v>162</v>
      </c>
      <c r="F242" s="382"/>
      <c r="G242" s="384"/>
    </row>
    <row r="243">
      <c r="B243" s="424" t="s">
        <v>494</v>
      </c>
      <c r="C243" s="445" t="s">
        <v>437</v>
      </c>
      <c r="D243" s="397" t="s">
        <v>495</v>
      </c>
      <c r="E243" s="377" t="s">
        <v>162</v>
      </c>
      <c r="F243" s="382"/>
      <c r="G243" s="384"/>
    </row>
    <row r="244">
      <c r="B244" s="424" t="s">
        <v>496</v>
      </c>
      <c r="C244" s="420" t="s">
        <v>12</v>
      </c>
      <c r="D244" s="397" t="s">
        <v>497</v>
      </c>
      <c r="E244" s="406" t="s">
        <v>166</v>
      </c>
      <c r="F244" s="448" t="s">
        <v>498</v>
      </c>
      <c r="G244" s="384"/>
    </row>
    <row r="245">
      <c r="B245" s="424" t="s">
        <v>499</v>
      </c>
      <c r="C245" s="420" t="s">
        <v>12</v>
      </c>
      <c r="D245" s="449" t="s">
        <v>500</v>
      </c>
      <c r="E245" s="377" t="s">
        <v>162</v>
      </c>
      <c r="F245" s="382"/>
      <c r="G245" s="384"/>
    </row>
    <row r="246">
      <c r="B246" s="424" t="s">
        <v>501</v>
      </c>
      <c r="C246" s="420" t="s">
        <v>23</v>
      </c>
      <c r="D246" s="397" t="s">
        <v>502</v>
      </c>
      <c r="E246" s="377" t="s">
        <v>166</v>
      </c>
      <c r="F246" s="448" t="s">
        <v>498</v>
      </c>
      <c r="G246" s="384"/>
    </row>
    <row r="247">
      <c r="B247" s="424" t="s">
        <v>503</v>
      </c>
      <c r="C247" s="445" t="s">
        <v>437</v>
      </c>
      <c r="D247" s="397" t="s">
        <v>504</v>
      </c>
      <c r="E247" s="377" t="s">
        <v>162</v>
      </c>
      <c r="F247" s="382"/>
      <c r="G247" s="384"/>
    </row>
    <row r="248">
      <c r="A248" s="390"/>
      <c r="B248" s="446" t="s">
        <v>505</v>
      </c>
      <c r="C248" s="435" t="s">
        <v>12</v>
      </c>
      <c r="D248" s="429" t="s">
        <v>506</v>
      </c>
      <c r="E248" s="394" t="s">
        <v>162</v>
      </c>
      <c r="F248" s="450"/>
      <c r="G248" s="395"/>
    </row>
    <row r="249">
      <c r="A249" s="447" t="s">
        <v>507</v>
      </c>
      <c r="B249" s="424" t="s">
        <v>508</v>
      </c>
      <c r="C249" s="420" t="s">
        <v>12</v>
      </c>
      <c r="D249" s="397" t="s">
        <v>509</v>
      </c>
      <c r="E249" s="377" t="s">
        <v>162</v>
      </c>
      <c r="F249" s="382"/>
      <c r="G249" s="384"/>
    </row>
    <row r="250">
      <c r="B250" s="424" t="s">
        <v>510</v>
      </c>
      <c r="C250" s="445" t="s">
        <v>437</v>
      </c>
      <c r="D250" s="397" t="s">
        <v>511</v>
      </c>
      <c r="E250" s="377" t="s">
        <v>166</v>
      </c>
      <c r="F250" s="448" t="s">
        <v>498</v>
      </c>
      <c r="G250" s="384"/>
    </row>
    <row r="251">
      <c r="B251" s="424" t="s">
        <v>512</v>
      </c>
      <c r="C251" s="445" t="s">
        <v>437</v>
      </c>
      <c r="D251" s="397" t="s">
        <v>513</v>
      </c>
      <c r="E251" s="377" t="s">
        <v>166</v>
      </c>
      <c r="F251" s="448" t="s">
        <v>498</v>
      </c>
      <c r="G251" s="384"/>
    </row>
    <row r="252">
      <c r="B252" s="424" t="s">
        <v>514</v>
      </c>
      <c r="C252" s="420" t="s">
        <v>23</v>
      </c>
      <c r="D252" s="397" t="s">
        <v>515</v>
      </c>
      <c r="E252" s="377" t="s">
        <v>162</v>
      </c>
      <c r="F252" s="382"/>
      <c r="G252" s="384"/>
    </row>
    <row r="253">
      <c r="B253" s="424" t="s">
        <v>516</v>
      </c>
      <c r="C253" s="420" t="s">
        <v>23</v>
      </c>
      <c r="D253" s="397" t="s">
        <v>517</v>
      </c>
      <c r="E253" s="377" t="s">
        <v>166</v>
      </c>
      <c r="F253" s="448" t="s">
        <v>498</v>
      </c>
      <c r="G253" s="384"/>
    </row>
    <row r="254">
      <c r="B254" s="424" t="s">
        <v>518</v>
      </c>
      <c r="C254" s="420" t="s">
        <v>21</v>
      </c>
      <c r="D254" s="397" t="s">
        <v>519</v>
      </c>
      <c r="E254" s="377" t="s">
        <v>166</v>
      </c>
      <c r="F254" s="451" t="s">
        <v>520</v>
      </c>
      <c r="G254" s="384"/>
    </row>
    <row r="255">
      <c r="B255" s="424" t="s">
        <v>521</v>
      </c>
      <c r="C255" s="420" t="s">
        <v>21</v>
      </c>
      <c r="D255" s="397" t="s">
        <v>522</v>
      </c>
      <c r="E255" s="377" t="s">
        <v>162</v>
      </c>
      <c r="F255" s="382"/>
      <c r="G255" s="384"/>
    </row>
    <row r="256">
      <c r="B256" s="424" t="s">
        <v>523</v>
      </c>
      <c r="C256" s="452" t="s">
        <v>25</v>
      </c>
      <c r="D256" s="397" t="s">
        <v>524</v>
      </c>
      <c r="E256" s="377" t="s">
        <v>162</v>
      </c>
      <c r="F256" s="382"/>
      <c r="G256" s="384"/>
    </row>
    <row r="257">
      <c r="B257" s="424" t="s">
        <v>525</v>
      </c>
      <c r="C257" s="445" t="s">
        <v>437</v>
      </c>
      <c r="D257" s="423" t="str">
        <f>HYPERLINK("https://redd.it/77nabk","Motie tot Nationalisatie ProRail")</f>
        <v>Motie tot Nationalisatie ProRail</v>
      </c>
      <c r="E257" s="377" t="s">
        <v>162</v>
      </c>
      <c r="F257" s="382"/>
      <c r="G257" s="384"/>
    </row>
    <row r="258">
      <c r="B258" s="424" t="s">
        <v>526</v>
      </c>
      <c r="C258" s="445" t="s">
        <v>437</v>
      </c>
      <c r="D258" s="423" t="str">
        <f>HYPERLINK("https://redd.it/77nazi","Motie tot intrekken KB0021 (Verbod Algemeen Pardon)")</f>
        <v>Motie tot intrekken KB0021 (Verbod Algemeen Pardon)</v>
      </c>
      <c r="E258" s="377" t="s">
        <v>166</v>
      </c>
      <c r="F258" s="453" t="s">
        <v>527</v>
      </c>
      <c r="G258" s="384"/>
    </row>
    <row r="259">
      <c r="B259" s="424" t="s">
        <v>528</v>
      </c>
      <c r="C259" s="445" t="s">
        <v>437</v>
      </c>
      <c r="D259" s="397" t="s">
        <v>529</v>
      </c>
      <c r="E259" s="377" t="s">
        <v>162</v>
      </c>
      <c r="F259" s="382"/>
      <c r="G259" s="384"/>
    </row>
    <row r="260">
      <c r="B260" s="424" t="s">
        <v>530</v>
      </c>
      <c r="C260" s="443" t="s">
        <v>29</v>
      </c>
      <c r="D260" s="444" t="s">
        <v>441</v>
      </c>
      <c r="E260" s="382"/>
      <c r="F260" s="382"/>
      <c r="G260" s="384"/>
    </row>
    <row r="261">
      <c r="B261" s="424" t="s">
        <v>531</v>
      </c>
      <c r="C261" s="445" t="s">
        <v>437</v>
      </c>
      <c r="D261" s="423" t="str">
        <f>HYPERLINK("https://redd.it/79yzyh","Motie tot intrekken Artikel I KB0017")</f>
        <v>Motie tot intrekken Artikel I KB0017</v>
      </c>
      <c r="E261" s="377" t="s">
        <v>162</v>
      </c>
      <c r="F261" s="382"/>
      <c r="G261" s="384"/>
    </row>
    <row r="262">
      <c r="B262" s="424" t="s">
        <v>532</v>
      </c>
      <c r="C262" s="420" t="s">
        <v>23</v>
      </c>
      <c r="D262" s="397" t="s">
        <v>533</v>
      </c>
      <c r="E262" s="377" t="s">
        <v>162</v>
      </c>
      <c r="F262" s="382"/>
      <c r="G262" s="384"/>
    </row>
    <row r="263">
      <c r="B263" s="424" t="s">
        <v>534</v>
      </c>
      <c r="C263" s="420" t="s">
        <v>23</v>
      </c>
      <c r="D263" s="423" t="str">
        <f>HYPERLINK("https://redd.it/7b76ib","Motie tot het stopzetten van het verwijderen van de NAVO-kernwapens uit Nederland")</f>
        <v>Motie tot het stopzetten van het verwijderen van de NAVO-kernwapens uit Nederland</v>
      </c>
      <c r="E263" s="377" t="s">
        <v>162</v>
      </c>
      <c r="F263" s="382"/>
      <c r="G263" s="384"/>
    </row>
    <row r="264">
      <c r="B264" s="424" t="s">
        <v>535</v>
      </c>
      <c r="C264" s="445" t="s">
        <v>437</v>
      </c>
      <c r="D264" s="423" t="str">
        <f>HYPERLINK("https://redd.it/7bnzks","Motie tot behoud welvaart bij vereenvoudigen toeslagensysteem.")</f>
        <v>Motie tot behoud welvaart bij vereenvoudigen toeslagensysteem.</v>
      </c>
      <c r="E264" s="377" t="s">
        <v>162</v>
      </c>
      <c r="F264" s="382"/>
      <c r="G264" s="384"/>
    </row>
    <row r="265">
      <c r="B265" s="424" t="s">
        <v>536</v>
      </c>
      <c r="C265" s="445" t="s">
        <v>437</v>
      </c>
      <c r="D265" s="397" t="s">
        <v>537</v>
      </c>
      <c r="E265" s="377" t="s">
        <v>166</v>
      </c>
      <c r="F265" s="448" t="s">
        <v>498</v>
      </c>
      <c r="G265" s="384"/>
    </row>
    <row r="266">
      <c r="B266" s="424" t="s">
        <v>538</v>
      </c>
      <c r="C266" s="445" t="s">
        <v>437</v>
      </c>
      <c r="D266" s="408" t="s">
        <v>539</v>
      </c>
      <c r="E266" s="382"/>
      <c r="F266" s="382"/>
      <c r="G266" s="384" t="s">
        <v>540</v>
      </c>
    </row>
    <row r="267">
      <c r="B267" s="424" t="s">
        <v>541</v>
      </c>
      <c r="C267" s="420" t="s">
        <v>12</v>
      </c>
      <c r="D267" s="397" t="s">
        <v>542</v>
      </c>
      <c r="E267" s="377" t="s">
        <v>166</v>
      </c>
      <c r="F267" s="453" t="s">
        <v>543</v>
      </c>
      <c r="G267" s="384"/>
    </row>
    <row r="268">
      <c r="B268" s="424" t="s">
        <v>544</v>
      </c>
      <c r="C268" s="445" t="s">
        <v>437</v>
      </c>
      <c r="D268" s="397" t="s">
        <v>545</v>
      </c>
      <c r="E268" s="377" t="s">
        <v>162</v>
      </c>
      <c r="F268" s="382"/>
      <c r="G268" s="384" t="s">
        <v>540</v>
      </c>
    </row>
    <row r="269">
      <c r="B269" s="424" t="s">
        <v>546</v>
      </c>
      <c r="C269" s="420" t="s">
        <v>23</v>
      </c>
      <c r="D269" s="397" t="s">
        <v>547</v>
      </c>
      <c r="E269" s="377" t="s">
        <v>166</v>
      </c>
      <c r="F269" s="448" t="s">
        <v>498</v>
      </c>
      <c r="G269" s="384"/>
    </row>
    <row r="270">
      <c r="B270" s="424" t="s">
        <v>548</v>
      </c>
      <c r="C270" s="452" t="s">
        <v>25</v>
      </c>
      <c r="D270" s="397" t="s">
        <v>549</v>
      </c>
      <c r="E270" s="377" t="s">
        <v>166</v>
      </c>
      <c r="F270" s="448" t="s">
        <v>498</v>
      </c>
      <c r="G270" s="384"/>
    </row>
    <row r="271">
      <c r="B271" s="424" t="s">
        <v>550</v>
      </c>
      <c r="C271" s="445" t="s">
        <v>437</v>
      </c>
      <c r="D271" s="397" t="s">
        <v>551</v>
      </c>
      <c r="E271" s="377" t="s">
        <v>166</v>
      </c>
      <c r="F271" s="448" t="s">
        <v>498</v>
      </c>
      <c r="G271" s="384"/>
    </row>
    <row r="272">
      <c r="B272" s="424" t="s">
        <v>552</v>
      </c>
      <c r="C272" s="435" t="s">
        <v>12</v>
      </c>
      <c r="D272" s="397" t="s">
        <v>553</v>
      </c>
      <c r="E272" s="377" t="s">
        <v>166</v>
      </c>
      <c r="F272" s="448" t="s">
        <v>498</v>
      </c>
      <c r="G272" s="384"/>
    </row>
    <row r="273">
      <c r="A273" s="412" t="s">
        <v>554</v>
      </c>
      <c r="B273" s="437" t="s">
        <v>555</v>
      </c>
      <c r="C273" s="420" t="s">
        <v>23</v>
      </c>
      <c r="D273" s="421" t="str">
        <f>HYPERLINK("https://redd.it/7hj9ri","M0268: Motie tot het beperken subsidie windenergie")</f>
        <v>M0268: Motie tot het beperken subsidie windenergie</v>
      </c>
      <c r="E273" s="403" t="s">
        <v>162</v>
      </c>
      <c r="F273" s="398"/>
      <c r="G273" s="415"/>
    </row>
    <row r="274">
      <c r="B274" s="424" t="s">
        <v>556</v>
      </c>
      <c r="C274" s="420" t="s">
        <v>23</v>
      </c>
      <c r="D274" s="423" t="str">
        <f>HYPERLINK("https://redd.it/7i0r0f","M0269: Motie tot het snel afstoten van SNS Bank")</f>
        <v>M0269: Motie tot het snel afstoten van SNS Bank</v>
      </c>
      <c r="E274" s="377" t="s">
        <v>162</v>
      </c>
      <c r="F274" s="382"/>
      <c r="G274" s="384"/>
    </row>
    <row r="275">
      <c r="B275" s="424" t="s">
        <v>557</v>
      </c>
      <c r="C275" s="420" t="s">
        <v>23</v>
      </c>
      <c r="D275" s="423" t="str">
        <f>HYPERLINK("https://redd.it/7i0sc0","M0270: Motie tot het niet-kwalificeren van Nederland als belastingparadijs")</f>
        <v>M0270: Motie tot het niet-kwalificeren van Nederland als belastingparadijs</v>
      </c>
      <c r="E275" s="377" t="s">
        <v>166</v>
      </c>
      <c r="F275" s="448" t="s">
        <v>498</v>
      </c>
      <c r="G275" s="384"/>
    </row>
    <row r="276">
      <c r="B276" s="424" t="s">
        <v>558</v>
      </c>
      <c r="C276" s="445" t="s">
        <v>437</v>
      </c>
      <c r="D276" s="423" t="str">
        <f>HYPERLINK("https://redd.it/7ihqzy","M0271: Motie tot bouwen windmolenpark ter waarde van minimaal 2 miljard in de Noordzee")</f>
        <v>M0271: Motie tot bouwen windmolenpark ter waarde van minimaal 2 miljard in de Noordzee</v>
      </c>
      <c r="E276" s="377" t="s">
        <v>166</v>
      </c>
      <c r="F276" s="451" t="s">
        <v>520</v>
      </c>
      <c r="G276" s="384"/>
    </row>
    <row r="277">
      <c r="B277" s="424" t="s">
        <v>559</v>
      </c>
      <c r="C277" s="420" t="s">
        <v>23</v>
      </c>
      <c r="D277" s="423" t="str">
        <f>HYPERLINK("https://redd.it/7ihvrv","M0272: Motie tot het erkennen van de Golanhoogten als een onderdeel van Israel")</f>
        <v>M0272: Motie tot het erkennen van de Golanhoogten als een onderdeel van Israel</v>
      </c>
      <c r="E277" s="377" t="s">
        <v>162</v>
      </c>
      <c r="F277" s="382"/>
      <c r="G277" s="384"/>
    </row>
    <row r="278">
      <c r="B278" s="424" t="s">
        <v>560</v>
      </c>
      <c r="C278" s="434" t="s">
        <v>149</v>
      </c>
      <c r="D278" s="397" t="s">
        <v>561</v>
      </c>
      <c r="E278" s="377" t="s">
        <v>166</v>
      </c>
      <c r="F278" s="448" t="s">
        <v>498</v>
      </c>
      <c r="G278" s="384"/>
    </row>
    <row r="279">
      <c r="B279" s="424" t="s">
        <v>562</v>
      </c>
      <c r="C279" s="420" t="s">
        <v>23</v>
      </c>
      <c r="D279" s="397" t="s">
        <v>563</v>
      </c>
      <c r="E279" s="377" t="s">
        <v>166</v>
      </c>
      <c r="F279" s="448" t="s">
        <v>498</v>
      </c>
      <c r="G279" s="384"/>
    </row>
    <row r="280">
      <c r="B280" s="424" t="s">
        <v>564</v>
      </c>
      <c r="C280" s="420" t="s">
        <v>23</v>
      </c>
      <c r="D280" s="423" t="str">
        <f>HYPERLINK("https://www.reddit.com/r/RMTK/comments/7jloy8/m0275_motie_tot_versterking_koninklijke/","M0275: Motie tot versterking Koninklijke Marechaussee op Schiphol")</f>
        <v>M0275: Motie tot versterking Koninklijke Marechaussee op Schiphol</v>
      </c>
      <c r="E280" s="377" t="s">
        <v>166</v>
      </c>
      <c r="F280" s="448" t="s">
        <v>498</v>
      </c>
      <c r="G280" s="384"/>
    </row>
    <row r="281">
      <c r="B281" s="424" t="s">
        <v>565</v>
      </c>
      <c r="C281" s="420" t="s">
        <v>23</v>
      </c>
      <c r="D281" s="423" t="str">
        <f>HYPERLINK("https://www.reddit.com/r/RMTK/comments/7jlp6s/m0276_motie_tot_een_verbod_op_anime/","M0276: Motie tot een verbod op anime")</f>
        <v>M0276: Motie tot een verbod op anime</v>
      </c>
      <c r="E281" s="377" t="s">
        <v>162</v>
      </c>
      <c r="F281" s="382"/>
      <c r="G281" s="384"/>
    </row>
    <row r="282">
      <c r="B282" s="424" t="s">
        <v>566</v>
      </c>
      <c r="C282" s="452" t="s">
        <v>25</v>
      </c>
      <c r="D282" s="423" t="str">
        <f>HYPERLINK("https://www.reddit.com/r/RMTK/comments/7k1b8w/m0277_motie_tot_verlagen_marginale_druk/","M0277: Motie tot verlagen marginale druk belastingbetalers")</f>
        <v>M0277: Motie tot verlagen marginale druk belastingbetalers</v>
      </c>
      <c r="E282" s="377" t="s">
        <v>166</v>
      </c>
      <c r="F282" s="448" t="s">
        <v>498</v>
      </c>
      <c r="G282" s="384"/>
    </row>
    <row r="283">
      <c r="B283" s="424" t="s">
        <v>567</v>
      </c>
      <c r="C283" s="420" t="s">
        <v>12</v>
      </c>
      <c r="D283" s="423" t="str">
        <f>HYPERLINK("https://www.reddit.com/r/RMTK/comments/7kne1b/m0278_motie_tot_afschaffing_dividendbelasting/","M0278: Motie tot afschaffing dividendbelasting")</f>
        <v>M0278: Motie tot afschaffing dividendbelasting</v>
      </c>
      <c r="E283" s="377" t="s">
        <v>162</v>
      </c>
      <c r="F283" s="382"/>
      <c r="G283" s="384"/>
    </row>
    <row r="284">
      <c r="B284" s="424" t="s">
        <v>568</v>
      </c>
      <c r="C284" s="420" t="s">
        <v>23</v>
      </c>
      <c r="D284" s="423" t="str">
        <f>HYPERLINK("https://www.reddit.com/r/RMTK/comments/7kne77/m0279_motie_tot_het_oplossen_van_het_pensioengat/","M0279: Motie tot het oplossen van het pensioengat militairen")</f>
        <v>M0279: Motie tot het oplossen van het pensioengat militairen</v>
      </c>
      <c r="E284" s="377" t="s">
        <v>166</v>
      </c>
      <c r="F284" s="448" t="s">
        <v>498</v>
      </c>
      <c r="G284" s="384"/>
    </row>
    <row r="285">
      <c r="B285" s="424" t="s">
        <v>569</v>
      </c>
      <c r="C285" s="420" t="s">
        <v>12</v>
      </c>
      <c r="D285" s="423" t="str">
        <f>HYPERLINK("https://www.reddit.com/r/RMTK/comments/7nw2ia/m0280_motie_praktijkervaring_werken_mensen_met/","M0280: Motie Praktijkervaring werken mensen met een migratieachtergrond")</f>
        <v>M0280: Motie Praktijkervaring werken mensen met een migratieachtergrond</v>
      </c>
      <c r="E285" s="377" t="s">
        <v>166</v>
      </c>
      <c r="F285" s="448" t="s">
        <v>498</v>
      </c>
      <c r="G285" s="384"/>
    </row>
    <row r="286">
      <c r="B286" s="424" t="s">
        <v>570</v>
      </c>
      <c r="C286" s="420" t="s">
        <v>12</v>
      </c>
      <c r="D286" s="423" t="str">
        <f>HYPERLINK("https://www.reddit.com/r/RMTK/comments/7nw3c5/m0281_motie_versnelde_toelating_geneesmiddelen/","M0281: Motie Versnelde Toelating Geneesmiddelen")</f>
        <v>M0281: Motie Versnelde Toelating Geneesmiddelen</v>
      </c>
      <c r="E286" s="377" t="s">
        <v>166</v>
      </c>
      <c r="F286" s="448" t="s">
        <v>498</v>
      </c>
      <c r="G286" s="384"/>
    </row>
    <row r="287">
      <c r="B287" s="424" t="s">
        <v>571</v>
      </c>
      <c r="C287" s="420" t="s">
        <v>12</v>
      </c>
      <c r="D287" s="423" t="str">
        <f>HYPERLINK("https://www.reddit.com/r/RMTK/comments/7ods13/m0282_motie_hypotheek_aanvragen_voor_starters_met/","M0282: Motie hypotheek aanvragen voor starters met studielening")</f>
        <v>M0282: Motie hypotheek aanvragen voor starters met studielening</v>
      </c>
      <c r="E287" s="377" t="s">
        <v>166</v>
      </c>
      <c r="F287" s="448" t="s">
        <v>498</v>
      </c>
      <c r="G287" s="384"/>
    </row>
    <row r="288">
      <c r="B288" s="424" t="s">
        <v>572</v>
      </c>
      <c r="C288" s="420" t="s">
        <v>12</v>
      </c>
      <c r="D288" s="426" t="str">
        <f>HYPERLINK("https://www.reddit.com/r/RMTK/comments/7oj4aq/m0283_motie_van_treurnis_betreffende_het_debat/","M0283: Motie van Treurnis betreffende het debat over de 'aangewezen overlever'")</f>
        <v>M0283: Motie van Treurnis betreffende het debat over de 'aangewezen overlever'</v>
      </c>
      <c r="E288" s="377" t="s">
        <v>170</v>
      </c>
      <c r="F288" s="382"/>
      <c r="G288" s="384" t="s">
        <v>573</v>
      </c>
    </row>
    <row r="289">
      <c r="B289" s="446" t="s">
        <v>574</v>
      </c>
      <c r="C289" s="435" t="s">
        <v>12</v>
      </c>
      <c r="D289" s="454" t="str">
        <f>HYPERLINK("https://www.reddit.com/r/RMTK/comments/7py1si/m0284_motie_van_afkeuring_betreffende_het_debat/","M0284: Motie van Afkeuring betreffende het debat over de 'aangewezen overlever'")</f>
        <v>M0284: Motie van Afkeuring betreffende het debat over de 'aangewezen overlever'</v>
      </c>
      <c r="E289" s="394" t="s">
        <v>170</v>
      </c>
      <c r="F289" s="450"/>
      <c r="G289" s="395" t="s">
        <v>573</v>
      </c>
    </row>
    <row r="290">
      <c r="A290" s="455" t="s">
        <v>575</v>
      </c>
      <c r="B290" s="424" t="s">
        <v>576</v>
      </c>
      <c r="C290" s="420" t="s">
        <v>12</v>
      </c>
      <c r="D290" s="423" t="str">
        <f>HYPERLINK("https://www.reddit.com/r/RMTK/comments/7py2lk/m0285_motie_omtrent_het_leveren_van/","M0285: Motie omtrent het leveren van ondersteunende voeding in het parlement")</f>
        <v>M0285: Motie omtrent het leveren van ondersteunende voeding in het parlement</v>
      </c>
      <c r="E290" s="377" t="s">
        <v>166</v>
      </c>
      <c r="F290" s="453" t="s">
        <v>543</v>
      </c>
      <c r="G290" s="384"/>
    </row>
    <row r="291">
      <c r="B291" s="424" t="s">
        <v>577</v>
      </c>
      <c r="C291" s="420" t="s">
        <v>23</v>
      </c>
      <c r="D291" s="423" t="str">
        <f>HYPERLINK("https://www.reddit.com/r/RMTK/comments/7rin5n/m0286_motie_tot_ondersteuning_van_de_venezolaanse/","M0286: Motie tot ondersteuning van de Venezolaanse oppositiebewegingen")</f>
        <v>M0286: Motie tot ondersteuning van de Venezolaanse oppositiebewegingen</v>
      </c>
      <c r="E291" s="377" t="s">
        <v>162</v>
      </c>
      <c r="F291" s="382"/>
      <c r="G291" s="384"/>
    </row>
    <row r="292">
      <c r="B292" s="424" t="s">
        <v>578</v>
      </c>
      <c r="C292" s="420" t="s">
        <v>21</v>
      </c>
      <c r="D292" s="423" t="str">
        <f>HYPERLINK("https://www.reddit.com/r/RMTK/comments/7u3nun/m2087_motie_tot_het_zichtbaar_maken_van_de/","M2087: Motie tot het zichtbaar maken van de Europese vlag in het Parlement")</f>
        <v>M2087: Motie tot het zichtbaar maken van de Europese vlag in het Parlement</v>
      </c>
      <c r="E292" s="377" t="s">
        <v>166</v>
      </c>
      <c r="F292" s="453" t="s">
        <v>543</v>
      </c>
      <c r="G292" s="384"/>
    </row>
    <row r="293">
      <c r="B293" s="424" t="s">
        <v>579</v>
      </c>
      <c r="C293" s="456" t="s">
        <v>15</v>
      </c>
      <c r="D293" s="423" t="str">
        <f>HYPERLINK("https://www.reddit.com/r/RMTK/comments/7xgp8t/m0287_motie_tot_opkopen_groningse_woningen/","M0287: Motie tot opkopen Groningse woningen")</f>
        <v>M0287: Motie tot opkopen Groningse woningen</v>
      </c>
      <c r="E293" s="377" t="s">
        <v>166</v>
      </c>
      <c r="F293" s="448" t="s">
        <v>498</v>
      </c>
      <c r="G293" s="384" t="s">
        <v>580</v>
      </c>
    </row>
    <row r="294">
      <c r="B294" s="424" t="s">
        <v>581</v>
      </c>
      <c r="C294" s="456" t="s">
        <v>15</v>
      </c>
      <c r="D294" s="423" t="str">
        <f>HYPERLINK("https://www.reddit.com/r/RMTK/comments/7yxpj6/m0289_motie_tot_verbod_op_verkoop_dieselautos/","M0289: Motie tot verbod op verkoop dieselauto's")</f>
        <v>M0289: Motie tot verbod op verkoop dieselauto's</v>
      </c>
      <c r="E294" s="377" t="s">
        <v>166</v>
      </c>
      <c r="F294" s="448" t="s">
        <v>498</v>
      </c>
      <c r="G294" s="384"/>
    </row>
    <row r="295">
      <c r="B295" s="424" t="s">
        <v>582</v>
      </c>
      <c r="C295" s="434" t="s">
        <v>149</v>
      </c>
      <c r="D295" s="423" t="str">
        <f>HYPERLINK("https://www.reddit.com/r/RMTK/comments/7zn0s5/m0290_motie_tot_onderzoeken_en_beperken_negatieve/","M0290: Motie tot onderzoeken en beperken negatieve effecten felle led en xenon verlichting in het verkeer")</f>
        <v>M0290: Motie tot onderzoeken en beperken negatieve effecten felle led en xenon verlichting in het verkeer</v>
      </c>
      <c r="E295" s="377" t="s">
        <v>166</v>
      </c>
      <c r="F295" s="448" t="s">
        <v>498</v>
      </c>
      <c r="G295" s="384"/>
    </row>
    <row r="296">
      <c r="B296" s="424" t="s">
        <v>583</v>
      </c>
      <c r="C296" s="452" t="s">
        <v>25</v>
      </c>
      <c r="D296" s="423" t="str">
        <f>HYPERLINK("https://www.reddit.com/r/RMTK/comments/80zbg3/m0291_motie_tot_open_houden_lokaal_basisonderwijs/","M0291: Motie tot open houden lokaal basisonderwijs")</f>
        <v>M0291: Motie tot open houden lokaal basisonderwijs</v>
      </c>
      <c r="E296" s="377" t="s">
        <v>166</v>
      </c>
      <c r="F296" s="448" t="s">
        <v>498</v>
      </c>
      <c r="G296" s="384"/>
    </row>
    <row r="297">
      <c r="B297" s="424" t="s">
        <v>584</v>
      </c>
      <c r="C297" s="456" t="s">
        <v>15</v>
      </c>
      <c r="D297" s="423" t="str">
        <f>HYPERLINK("https://www.reddit.com/r/RMTK/comments/83fb72/m0292_motie_tot_de_mens_voor_het_geld_te_plaatsen/","M0292: Motie tot de mens voor het geld te plaatsen bij behandeling van armoede- en schuldenbeleid")</f>
        <v>M0292: Motie tot de mens voor het geld te plaatsen bij behandeling van armoede- en schuldenbeleid</v>
      </c>
      <c r="E297" s="377" t="s">
        <v>162</v>
      </c>
      <c r="F297" s="382"/>
      <c r="G297" s="384"/>
    </row>
    <row r="298">
      <c r="B298" s="424" t="s">
        <v>585</v>
      </c>
      <c r="C298" s="420" t="s">
        <v>21</v>
      </c>
      <c r="D298" s="423" t="str">
        <f>HYPERLINK("https://www.reddit.com/r/RMTK/comments/84pi0z/m0293_motie_tot_beperken_politiek_gemotiveerde/","M0293: Motie tot beperken politiek gemotiveerde onderzoeken per KB")</f>
        <v>M0293: Motie tot beperken politiek gemotiveerde onderzoeken per KB</v>
      </c>
      <c r="E298" s="377" t="s">
        <v>166</v>
      </c>
      <c r="F298" s="448" t="s">
        <v>498</v>
      </c>
      <c r="G298" s="384"/>
    </row>
    <row r="299">
      <c r="B299" s="424" t="s">
        <v>586</v>
      </c>
      <c r="C299" s="420" t="s">
        <v>21</v>
      </c>
      <c r="D299" s="423" t="str">
        <f>HYPERLINK("https://www.reddit.com/r/RMTK/comments/84pig4/m0294_motie_tot_veroordelen_turkse_regering/","M0294: Motie tot veroordelen Turkse regering ")</f>
        <v>M0294: Motie tot veroordelen Turkse regering </v>
      </c>
      <c r="E299" s="377" t="s">
        <v>166</v>
      </c>
      <c r="F299" s="448" t="s">
        <v>498</v>
      </c>
      <c r="G299" s="384"/>
    </row>
    <row r="300">
      <c r="B300" s="424" t="s">
        <v>109</v>
      </c>
      <c r="C300" s="420" t="s">
        <v>12</v>
      </c>
      <c r="D300" s="423" t="str">
        <f>HYPERLINK("https://www.reddit.com/r/RMTK/comments/87e8xo/m0295_motie_tot_het_verbieden_van_doehetzelf/","M0295: Motie tot het verbieden van doe-het-zelf koplampxenonlamp-kits voor particulieren")</f>
        <v>M0295: Motie tot het verbieden van doe-het-zelf koplampxenonlamp-kits voor particulieren</v>
      </c>
      <c r="E300" s="377" t="s">
        <v>162</v>
      </c>
      <c r="F300" s="382"/>
      <c r="G300" s="384"/>
    </row>
    <row r="301">
      <c r="B301" s="424" t="s">
        <v>110</v>
      </c>
      <c r="C301" s="420" t="s">
        <v>23</v>
      </c>
      <c r="D301" s="423" t="str">
        <f>HYPERLINK("https://www.reddit.com/r/RMTK/comments/89bxot/m0296_motie_tot_de_bouw_van_openbare_toiletten/","M0296: Motie tot de bouw van openbare toiletten")</f>
        <v>M0296: Motie tot de bouw van openbare toiletten</v>
      </c>
      <c r="E301" s="377" t="s">
        <v>162</v>
      </c>
      <c r="F301" s="382"/>
      <c r="G301" s="384"/>
    </row>
    <row r="302">
      <c r="B302" s="424" t="s">
        <v>111</v>
      </c>
      <c r="C302" s="456" t="s">
        <v>15</v>
      </c>
      <c r="D302" s="423" t="str">
        <f>HYPERLINK("https://www.reddit.com/r/RMTK/comments/89by4d/m0297_motie_tot_experimenteren_met_verduurzaming/","M0297: Motie tot experimenteren met verduurzaming bij defensie ")</f>
        <v>M0297: Motie tot experimenteren met verduurzaming bij defensie </v>
      </c>
      <c r="E302" s="377" t="s">
        <v>162</v>
      </c>
      <c r="F302" s="382"/>
      <c r="G302" s="384"/>
    </row>
    <row r="303">
      <c r="B303" s="424" t="s">
        <v>112</v>
      </c>
      <c r="C303" s="420" t="s">
        <v>23</v>
      </c>
      <c r="D303" s="423" t="str">
        <f>HYPERLINK("https://www.reddit.com/r/RMTK/comments/89sjss/m0298_motie_tot_het_schrappen_van_afghanistan_van/","M0298: Motie tot het schrappen van Afghanistan van de lijst van onveilige landen ")</f>
        <v>M0298: Motie tot het schrappen van Afghanistan van de lijst van onveilige landen </v>
      </c>
      <c r="E303" s="377" t="s">
        <v>162</v>
      </c>
      <c r="F303" s="382"/>
      <c r="G303" s="384"/>
    </row>
    <row r="304">
      <c r="B304" s="424" t="s">
        <v>113</v>
      </c>
      <c r="C304" s="457" t="s">
        <v>587</v>
      </c>
      <c r="D304" s="423" t="str">
        <f>HYPERLINK("https://www.reddit.com/r/RMTK/comments/8adglj/m0299_motie_tot_het_aanpakken_van_de_kansen_van/","M0299: Motie tot het aanpakken van de kansen van de titel European Green Capital")</f>
        <v>M0299: Motie tot het aanpakken van de kansen van de titel European Green Capital</v>
      </c>
      <c r="E304" s="377" t="s">
        <v>166</v>
      </c>
      <c r="F304" s="448" t="s">
        <v>498</v>
      </c>
      <c r="G304" s="384"/>
    </row>
    <row r="305">
      <c r="B305" s="424" t="s">
        <v>114</v>
      </c>
      <c r="C305" s="420" t="s">
        <v>12</v>
      </c>
      <c r="D305" s="423" t="str">
        <f>HYPERLINK("https://www.reddit.com/r/RMTK/comments/8adgqv/m0300_motie_tot_het_beperken_van_doorfokken/","M0300: Motie tot het beperken van doorfokken rashonden")</f>
        <v>M0300: Motie tot het beperken van doorfokken rashonden</v>
      </c>
      <c r="E305" s="377" t="s">
        <v>166</v>
      </c>
      <c r="F305" s="448" t="s">
        <v>498</v>
      </c>
      <c r="G305" s="384"/>
    </row>
    <row r="306">
      <c r="B306" s="424" t="s">
        <v>115</v>
      </c>
      <c r="C306" s="420" t="s">
        <v>12</v>
      </c>
      <c r="D306" s="423" t="str">
        <f>HYPERLINK("https://old.reddit.com/r/RMTK/comments/8iqxko/m301_motie_tot_vrijgeven_data_handelsregister/","M301: Motie tot vrijgeven data handelsregister door Kamer van Koophandel")</f>
        <v>M301: Motie tot vrijgeven data handelsregister door Kamer van Koophandel</v>
      </c>
      <c r="E306" s="377" t="s">
        <v>166</v>
      </c>
      <c r="F306" s="448" t="s">
        <v>498</v>
      </c>
      <c r="G306" s="384"/>
    </row>
    <row r="307">
      <c r="A307" s="390"/>
      <c r="B307" s="446" t="s">
        <v>116</v>
      </c>
      <c r="C307" s="435" t="s">
        <v>12</v>
      </c>
      <c r="D307" s="454" t="str">
        <f>HYPERLINK("https://old.reddit.com/r/RMTK/comments/8iqzrw/m302_motie_van_afkeuring_jegens_het_presidium/","M302: Motie van Afkeuring jegens het Presidium vanwege de gang van zaken rondom de Rijksbegroting")</f>
        <v>M302: Motie van Afkeuring jegens het Presidium vanwege de gang van zaken rondom de Rijksbegroting</v>
      </c>
      <c r="E307" s="394" t="s">
        <v>162</v>
      </c>
      <c r="F307" s="450"/>
      <c r="G307" s="395"/>
    </row>
    <row r="308">
      <c r="A308" s="458" t="s">
        <v>588</v>
      </c>
      <c r="B308" s="424" t="s">
        <v>117</v>
      </c>
      <c r="C308" s="459" t="s">
        <v>12</v>
      </c>
      <c r="D308" s="423" t="str">
        <f>HYPERLINK("https://www.reddit.com/r/RMTK/comments/8jg3yl/m303_motie_tot_aanpassen_omgang_met_gegevens_door/","M303: Motie tot aanpassen omgang met gegevens door Kamer van Koophandel")</f>
        <v>M303: Motie tot aanpassen omgang met gegevens door Kamer van Koophandel</v>
      </c>
      <c r="E308" s="377" t="s">
        <v>166</v>
      </c>
      <c r="F308" s="448" t="s">
        <v>498</v>
      </c>
      <c r="G308" s="384"/>
    </row>
    <row r="309">
      <c r="B309" s="424" t="s">
        <v>118</v>
      </c>
      <c r="C309" s="420" t="s">
        <v>21</v>
      </c>
      <c r="D309" s="423" t="str">
        <f>HYPERLINK("https://www.reddit.com/r/RMTK/comments/8jg55c/m304_motie_tot_het_bevorderen_van_de_verkoop_van/","M304: Motie tot het bevorderen van de verkoop van uitzendrechten van eigen producties van de publieke omroep aan streamingdiensten in het buitenland. ")</f>
        <v>M304: Motie tot het bevorderen van de verkoop van uitzendrechten van eigen producties van de publieke omroep aan streamingdiensten in het buitenland. </v>
      </c>
      <c r="E309" s="377" t="s">
        <v>166</v>
      </c>
      <c r="F309" s="448" t="s">
        <v>498</v>
      </c>
      <c r="G309" s="384"/>
    </row>
    <row r="310">
      <c r="B310" s="424" t="s">
        <v>119</v>
      </c>
      <c r="C310" s="420" t="s">
        <v>21</v>
      </c>
      <c r="D310" s="423" t="str">
        <f>HYPERLINK("https://www.reddit.com/r/RMTK/comments/8jwyw6/m305_motie_over_afspraken_in_het/","M305: Motie over afspraken in het bewegingsonderwijs")</f>
        <v>M305: Motie over afspraken in het bewegingsonderwijs</v>
      </c>
      <c r="E310" s="377" t="s">
        <v>166</v>
      </c>
      <c r="F310" s="448" t="s">
        <v>498</v>
      </c>
      <c r="G310" s="384"/>
    </row>
    <row r="311">
      <c r="B311" s="424" t="s">
        <v>120</v>
      </c>
      <c r="C311" s="420" t="s">
        <v>21</v>
      </c>
      <c r="D311" s="423" t="str">
        <f>HYPERLINK("https://www.reddit.com/r/RMTK/comments/8jwz9x/m306_motie_voor_intercitybusvervoer_ter/","M306: Motie voor intercitybusvervoer ter aanvulling op het hoofdspoornetwerk")</f>
        <v>M306: Motie voor intercitybusvervoer ter aanvulling op het hoofdspoornetwerk</v>
      </c>
      <c r="E311" s="377" t="s">
        <v>166</v>
      </c>
      <c r="F311" s="448" t="s">
        <v>498</v>
      </c>
      <c r="G311" s="384"/>
    </row>
    <row r="312">
      <c r="B312" s="424" t="s">
        <v>121</v>
      </c>
      <c r="C312" s="460" t="s">
        <v>18</v>
      </c>
      <c r="D312" s="423" t="str">
        <f>HYPERLINK("https://www.reddit.com/r/RMTK/comments/8kersn/m307_motie_tot_standbeeld_voor_vaderlandse_held/","M307: Motie tot standbeeld voor vaderlandse held")</f>
        <v>M307: Motie tot standbeeld voor vaderlandse held</v>
      </c>
      <c r="E312" s="377" t="s">
        <v>162</v>
      </c>
      <c r="F312" s="382"/>
      <c r="G312" s="384"/>
    </row>
    <row r="313">
      <c r="B313" s="424" t="s">
        <v>122</v>
      </c>
      <c r="C313" s="460" t="s">
        <v>18</v>
      </c>
      <c r="D313" s="423" t="str">
        <f>HYPERLINK("https://www.reddit.com/r/RMTK/comments/8kf3g3/m308_motie_tot_invoering/","M308: Motie tot invoering vermogensaanwasdelingsstelsel ")</f>
        <v>M308: Motie tot invoering vermogensaanwasdelingsstelsel </v>
      </c>
      <c r="E313" s="377" t="s">
        <v>162</v>
      </c>
      <c r="F313" s="382"/>
      <c r="G313" s="384"/>
    </row>
    <row r="314">
      <c r="B314" s="424" t="s">
        <v>124</v>
      </c>
      <c r="C314" s="460" t="s">
        <v>18</v>
      </c>
      <c r="D314" s="423" t="str">
        <f>HYPERLINK("https://www.reddit.com/r/RMTK/comments/8l39ev/m308_motie_tot_inkorting_appauitkering/","M309: Motie tot inkorting appa-uitkering")</f>
        <v>M309: Motie tot inkorting appa-uitkering</v>
      </c>
      <c r="E314" s="377" t="s">
        <v>166</v>
      </c>
      <c r="F314" s="448" t="s">
        <v>498</v>
      </c>
      <c r="G314" s="384" t="s">
        <v>589</v>
      </c>
    </row>
    <row r="315">
      <c r="B315" s="461" t="s">
        <v>125</v>
      </c>
      <c r="C315" s="420" t="s">
        <v>12</v>
      </c>
      <c r="D315" s="423" t="str">
        <f>HYPERLINK("https://www.reddit.com/r/RMTK/comments/8lm7ow/m0400_motie_tot_differentiatie_aan_brengen_in_de/","M0310: Motie tot differentiatie aan brengen in de titelatuur van bachelors op het HBO en de universiteit ")</f>
        <v>M0310: Motie tot differentiatie aan brengen in de titelatuur van bachelors op het HBO en de universiteit </v>
      </c>
      <c r="E315" s="377" t="s">
        <v>166</v>
      </c>
      <c r="F315" s="448" t="s">
        <v>498</v>
      </c>
      <c r="G315" s="384" t="s">
        <v>590</v>
      </c>
    </row>
    <row r="316">
      <c r="B316" s="461" t="s">
        <v>126</v>
      </c>
      <c r="C316" s="420" t="s">
        <v>12</v>
      </c>
      <c r="D316" s="423" t="str">
        <f>HYPERLINK("https://www.reddit.com/r/RMTK/comments/8m3sph/m0311_motie_tegen_bendelaars/","M0311: Motie tegen Bendelaars (bendebedelaarsproblematiek)")</f>
        <v>M0311: Motie tegen Bendelaars (bendebedelaarsproblematiek)</v>
      </c>
      <c r="E316" s="377" t="s">
        <v>166</v>
      </c>
      <c r="F316" s="448" t="s">
        <v>498</v>
      </c>
      <c r="G316" s="384"/>
    </row>
    <row r="317">
      <c r="B317" s="424" t="s">
        <v>127</v>
      </c>
      <c r="C317" s="420" t="s">
        <v>12</v>
      </c>
      <c r="D317" s="423" t="str">
        <f>HYPERLINK("https://www.reddit.com/r/RMTK/comments/8mqrlg/m0312_motie_tot_het_instellen_van_een/","M0312: Motie tot het instellen van een overgangsperiode van de geldigheid van identiteitspapieren na wijziging van voornamen en geslacht en andere dergelijke gevallen")</f>
        <v>M0312: Motie tot het instellen van een overgangsperiode van de geldigheid van identiteitspapieren na wijziging van voornamen en geslacht en andere dergelijke gevallen</v>
      </c>
      <c r="E317" s="433" t="s">
        <v>166</v>
      </c>
      <c r="F317" s="448" t="s">
        <v>498</v>
      </c>
      <c r="G317" s="384"/>
    </row>
    <row r="318">
      <c r="B318" s="424" t="s">
        <v>128</v>
      </c>
      <c r="C318" s="456" t="s">
        <v>15</v>
      </c>
      <c r="D318" s="423" t="str">
        <f>HYPERLINK("https://www.reddit.com/r/RMTK/comments/8na1v1/m0313_motie_tot_gelijkheid_in_het_basis_en/","M0313 Motie tot gelijkheid in het basis en middelbaar onderwijs tussen jongens en meisjes bij lichamelijke opvoeding (gym)")</f>
        <v>M0313 Motie tot gelijkheid in het basis en middelbaar onderwijs tussen jongens en meisjes bij lichamelijke opvoeding (gym)</v>
      </c>
      <c r="E318" s="433" t="s">
        <v>162</v>
      </c>
      <c r="F318" s="382"/>
      <c r="G318" s="384"/>
    </row>
    <row r="319">
      <c r="B319" s="424" t="s">
        <v>77</v>
      </c>
      <c r="C319" s="460" t="s">
        <v>18</v>
      </c>
      <c r="D319" s="423" t="str">
        <f>HYPERLINK("https://www.reddit.com/r/RMTK/comments/8ohxmp/m0314_motie_tot_gelijktrekken_minimumloon_voor/","M0314: Motie tot gelijktrekken minimumloon voor alle leeftijdscategorieën")</f>
        <v>M0314: Motie tot gelijktrekken minimumloon voor alle leeftijdscategorieën</v>
      </c>
      <c r="E319" s="433" t="s">
        <v>162</v>
      </c>
      <c r="F319" s="382"/>
      <c r="G319" s="384"/>
    </row>
    <row r="320">
      <c r="B320" s="424" t="s">
        <v>78</v>
      </c>
      <c r="C320" s="434" t="s">
        <v>149</v>
      </c>
      <c r="D320" s="423" t="str">
        <f>HYPERLINK("https://www.reddit.com/r/RMTK/comments/8oswqk/m0315_motie_tot_stimulering_mboonderwijs/","M0315: Motie Tot Stimulering MBO-Onderwijs")</f>
        <v>M0315: Motie Tot Stimulering MBO-Onderwijs</v>
      </c>
      <c r="E320" s="433" t="s">
        <v>162</v>
      </c>
      <c r="F320" s="382"/>
      <c r="G320" s="384"/>
    </row>
    <row r="321">
      <c r="B321" s="424" t="s">
        <v>79</v>
      </c>
      <c r="C321" s="420" t="s">
        <v>21</v>
      </c>
      <c r="D321" s="423" t="str">
        <f>HYPERLINK("https://www.reddit.com/r/RMTK/comments/8p3aun/m0316_motie_tot_beperking_overlast_bij/","M0316: Motie tot beperking overlast bij cruiseschepen in stedelijk gebied")</f>
        <v>M0316: Motie tot beperking overlast bij cruiseschepen in stedelijk gebied</v>
      </c>
      <c r="E321" s="433" t="s">
        <v>166</v>
      </c>
      <c r="F321" s="448" t="s">
        <v>498</v>
      </c>
      <c r="G321" s="384"/>
    </row>
    <row r="322">
      <c r="B322" s="424" t="s">
        <v>80</v>
      </c>
      <c r="C322" s="420" t="s">
        <v>21</v>
      </c>
      <c r="D322" s="426" t="str">
        <f>HYPERLINK("https://www.reddit.com/r/RMTK/comments/8p3db3/m0317_motie_van_afkeur_jegens_de_premier/","M0317: Motie van Afkeur jegens de premier")</f>
        <v>M0317: Motie van Afkeur jegens de premier</v>
      </c>
      <c r="E322" s="433" t="s">
        <v>162</v>
      </c>
      <c r="F322" s="382"/>
      <c r="G322" s="384"/>
    </row>
    <row r="323">
      <c r="B323" s="424" t="s">
        <v>81</v>
      </c>
      <c r="C323" s="456" t="s">
        <v>15</v>
      </c>
      <c r="D323" s="423" t="str">
        <f>HYPERLINK("https://www.reddit.com/r/RMTK/comments/8pmheg/m0318_motie_tot_weergeven_ingredi%C3%ABntenlijst_op/","M0318: Motie tot weergeven ingrediëntenlijst op rookwaren")</f>
        <v>M0318: Motie tot weergeven ingrediëntenlijst op rookwaren</v>
      </c>
      <c r="E323" s="433" t="s">
        <v>166</v>
      </c>
      <c r="F323" s="448" t="s">
        <v>498</v>
      </c>
      <c r="G323" s="384"/>
    </row>
    <row r="324">
      <c r="A324" s="390"/>
      <c r="B324" s="446" t="s">
        <v>82</v>
      </c>
      <c r="C324" s="462" t="s">
        <v>25</v>
      </c>
      <c r="D324" s="463" t="str">
        <f>HYPERLINK("https://www.reddit.com/r/RMTK/comments/8pmhml/m0319_motie_tot_koppelen_luchthavengelden_aan/","M0319: Motie tot koppelen luchthavengelden aan vervuiling")</f>
        <v>M0319: Motie tot koppelen luchthavengelden aan vervuiling</v>
      </c>
      <c r="E324" s="394" t="s">
        <v>166</v>
      </c>
      <c r="F324" s="464" t="s">
        <v>498</v>
      </c>
      <c r="G324" s="395"/>
    </row>
    <row r="325">
      <c r="A325" s="412" t="s">
        <v>591</v>
      </c>
      <c r="B325" s="437" t="s">
        <v>84</v>
      </c>
      <c r="C325" s="460" t="s">
        <v>18</v>
      </c>
      <c r="D325" s="423" t="str">
        <f>HYPERLINK("https://www.reddit.com/r/RMTK/comments/8qbg8n/m0320_motie_tot_een_totaalverbod_op/","M0320: Motie Tot Een Totaalverbod Op Kindermarketing Voor Ongezonde Voeding")</f>
        <v>M0320: Motie Tot Een Totaalverbod Op Kindermarketing Voor Ongezonde Voeding</v>
      </c>
      <c r="E325" s="377" t="s">
        <v>166</v>
      </c>
      <c r="F325" s="448" t="s">
        <v>498</v>
      </c>
      <c r="G325" s="384"/>
    </row>
    <row r="326">
      <c r="B326" s="461" t="s">
        <v>85</v>
      </c>
      <c r="C326" s="420" t="s">
        <v>21</v>
      </c>
      <c r="D326" s="423" t="str">
        <f>HYPERLINK("https://www.reddit.com/r/RMTK/comments/8qlhoo/m0321_motie_tot_het_loskoppelen_van_btwnummers_en/","M0321: Motie tot het loskoppelen van BTW-nummers en burgerservicenummers ")</f>
        <v>M0321: Motie tot het loskoppelen van BTW-nummers en burgerservicenummers </v>
      </c>
      <c r="E326" s="433" t="s">
        <v>166</v>
      </c>
      <c r="F326" s="448" t="s">
        <v>498</v>
      </c>
      <c r="G326" s="384"/>
    </row>
    <row r="327">
      <c r="B327" s="461" t="s">
        <v>86</v>
      </c>
      <c r="C327" s="420" t="s">
        <v>21</v>
      </c>
      <c r="D327" s="423" t="str">
        <f>HYPERLINK("https://www.reddit.com/r/RMTK/comments/8qv9eb/m0322_motie_tot_het_bevorderen_van_internationaal/","M0322: Motie tot het bevorderen van internationaal treinverkeer")</f>
        <v>M0322: Motie tot het bevorderen van internationaal treinverkeer</v>
      </c>
      <c r="E327" s="433" t="s">
        <v>166</v>
      </c>
      <c r="F327" s="448" t="s">
        <v>498</v>
      </c>
      <c r="G327" s="384"/>
    </row>
    <row r="328">
      <c r="B328" s="461" t="s">
        <v>87</v>
      </c>
      <c r="C328" s="420" t="s">
        <v>12</v>
      </c>
      <c r="D328" s="423" t="str">
        <f>HYPERLINK("https://www.reddit.com/r/RMTK/comments/8r2869/m0323_motie_tot_het_verruimen_van_de_wettelijke/","M0323: Motie tot het verruimen van de wettelijke mogelijkheden tot het inzetten van mengformules")</f>
        <v>M0323: Motie tot het verruimen van de wettelijke mogelijkheden tot het inzetten van mengformules</v>
      </c>
      <c r="E328" s="433" t="s">
        <v>166</v>
      </c>
      <c r="F328" s="448" t="s">
        <v>498</v>
      </c>
      <c r="G328" s="384"/>
    </row>
    <row r="329">
      <c r="B329" s="461" t="s">
        <v>88</v>
      </c>
      <c r="C329" s="460" t="s">
        <v>18</v>
      </c>
      <c r="D329" s="423" t="str">
        <f>HYPERLINK("https://www.reddit.com/r/RMTK/comments/8rdhox/m0324_motie_tot_onderzoek_naar_kindermishandeling/","M0324: Motie tot onderzoek naar kindermishandeling door Kamerleden")</f>
        <v>M0324: Motie tot onderzoek naar kindermishandeling door Kamerleden</v>
      </c>
      <c r="E329" s="433" t="s">
        <v>166</v>
      </c>
      <c r="F329" s="448" t="s">
        <v>498</v>
      </c>
      <c r="G329" s="384"/>
    </row>
    <row r="330">
      <c r="B330" s="424" t="s">
        <v>592</v>
      </c>
      <c r="C330" s="460" t="s">
        <v>18</v>
      </c>
      <c r="D330" s="423" t="str">
        <f>HYPERLINK("https://www.reddit.com/r/RMTK/comments/8s7h2h/m0325_motie_tot_tegengaan_van_indoctrinatie_en/","M0325: Motie tot tegengaan van indoctrinatie en persoonlijkheidsverheerlijking tijdens sportdagen")</f>
        <v>M0325: Motie tot tegengaan van indoctrinatie en persoonlijkheidsverheerlijking tijdens sportdagen</v>
      </c>
      <c r="E330" s="433" t="s">
        <v>162</v>
      </c>
      <c r="F330" s="382"/>
      <c r="G330" s="384"/>
    </row>
    <row r="331">
      <c r="B331" s="424" t="s">
        <v>90</v>
      </c>
      <c r="C331" s="420" t="s">
        <v>21</v>
      </c>
      <c r="D331" s="423" t="str">
        <f>HYPERLINK("https://www.reddit.com/r/RMTK/comments/8slbmb/m0326_motie_tot_oproep_tot_onderzoek_naar/","M0326: Motie tot oproep tot onderzoek naar correctheid beëdigingen van kamerleden")</f>
        <v>M0326: Motie tot oproep tot onderzoek naar correctheid beëdigingen van kamerleden</v>
      </c>
      <c r="E331" s="433" t="s">
        <v>166</v>
      </c>
      <c r="F331" s="448" t="s">
        <v>498</v>
      </c>
      <c r="G331" s="384"/>
    </row>
    <row r="332">
      <c r="B332" s="424" t="s">
        <v>93</v>
      </c>
      <c r="C332" s="420" t="s">
        <v>12</v>
      </c>
      <c r="D332" s="423" t="str">
        <f>HYPERLINK("https://www.reddit.com/r/RMTK/comments/8vm1az/m0237_motie_tot_aanwijzen_centrum_voor/","M0237: Motie tot aanwijzen ​​Centrum voor seksuologie en gender aan UZ Gent als deskundige transgenders")</f>
        <v>M0237: Motie tot aanwijzen ​​Centrum voor seksuologie en gender aan UZ Gent als deskundige transgenders</v>
      </c>
      <c r="E332" s="433" t="s">
        <v>166</v>
      </c>
      <c r="F332" s="448" t="s">
        <v>498</v>
      </c>
      <c r="G332" s="384" t="s">
        <v>593</v>
      </c>
    </row>
    <row r="333">
      <c r="B333" s="424" t="s">
        <v>94</v>
      </c>
      <c r="C333" s="420" t="s">
        <v>12</v>
      </c>
      <c r="D333" s="423" t="str">
        <f>HYPERLINK("https://www.reddit.com/r/RMTK/comments/8w9idb/m0238_motie_tot_het_zwaluwstaarten_van/","M0238: Motie tot het zwaluwstaarten van afgeconcludeerde probleemvelden")</f>
        <v>M0238: Motie tot het zwaluwstaarten van afgeconcludeerde probleemvelden</v>
      </c>
      <c r="E333" s="433" t="s">
        <v>166</v>
      </c>
      <c r="F333" s="448" t="s">
        <v>498</v>
      </c>
      <c r="G333" s="384" t="s">
        <v>594</v>
      </c>
    </row>
    <row r="334">
      <c r="B334" s="424" t="s">
        <v>95</v>
      </c>
      <c r="C334" s="420" t="s">
        <v>21</v>
      </c>
      <c r="D334" s="423" t="str">
        <f>HYPERLINK("https://www.reddit.com/r/RMTK/comments/8wejtb/m0239_motie_tot_meer_onderzoeksteams_bij_de/","M0239: Motie tot meer onderzoeksteams bij de politie, de fiod en de marechaussee")</f>
        <v>M0239: Motie tot meer onderzoeksteams bij de politie, de fiod en de marechaussee</v>
      </c>
      <c r="E334" s="433" t="s">
        <v>166</v>
      </c>
      <c r="F334" s="448" t="s">
        <v>498</v>
      </c>
      <c r="G334" s="384" t="s">
        <v>595</v>
      </c>
    </row>
    <row r="335">
      <c r="B335" s="424" t="s">
        <v>96</v>
      </c>
      <c r="C335" s="420" t="s">
        <v>12</v>
      </c>
      <c r="D335" s="423" t="str">
        <f>HYPERLINK("https://www.reddit.com/r/RMTK/comments/8wmi98/m0240_motie_tot_het_stimuleren_van_zelfstandige/","M0240: Motie tot het stimuleren van zelfstandige behandelcentra")</f>
        <v>M0240: Motie tot het stimuleren van zelfstandige behandelcentra</v>
      </c>
      <c r="E335" s="433" t="s">
        <v>162</v>
      </c>
      <c r="F335" s="382"/>
      <c r="G335" s="384" t="s">
        <v>596</v>
      </c>
    </row>
    <row r="336">
      <c r="B336" s="424" t="s">
        <v>97</v>
      </c>
      <c r="C336" s="420" t="s">
        <v>12</v>
      </c>
      <c r="D336" s="423" t="str">
        <f>HYPERLINK("https://www.reddit.com/r/RMTK/comments/8xsq7w/m0341_motie_tot_het_schrappen_van_de_verplichting/","M0341: Motie tot het schrappen van de verplichting om statushouders voorrang te geven bij het toewijzen van sociale huurwoningen")</f>
        <v>M0341: Motie tot het schrappen van de verplichting om statushouders voorrang te geven bij het toewijzen van sociale huurwoningen</v>
      </c>
      <c r="E336" s="433" t="s">
        <v>162</v>
      </c>
      <c r="F336" s="382"/>
      <c r="G336" s="384" t="s">
        <v>597</v>
      </c>
    </row>
    <row r="337">
      <c r="B337" s="424" t="s">
        <v>98</v>
      </c>
      <c r="C337" s="420" t="s">
        <v>23</v>
      </c>
      <c r="D337" s="423" t="str">
        <f>HYPERLINK("https://www.reddit.com/r/RMTK/comments/8ynwar/m0332_motie_tot_wegverbreding/","M0332: Motie tot wegverbreding Leidschendam-Burgerveen")</f>
        <v>M0332: Motie tot wegverbreding Leidschendam-Burgerveen</v>
      </c>
      <c r="E337" s="433" t="s">
        <v>162</v>
      </c>
      <c r="F337" s="382"/>
      <c r="G337" s="384"/>
    </row>
    <row r="338">
      <c r="A338" s="390"/>
      <c r="B338" s="446" t="s">
        <v>598</v>
      </c>
      <c r="C338" s="435" t="s">
        <v>23</v>
      </c>
      <c r="D338" s="463" t="str">
        <f>HYPERLINK("https://www.reddit.com/r/RMTK/comments/98st00/m0333_motie_tot_verbetering_verkeersveiligheid/","M0333: Motie tot verbetering verkeersveiligheid Afsluitdijk")</f>
        <v>M0333: Motie tot verbetering verkeersveiligheid Afsluitdijk</v>
      </c>
      <c r="E338" s="430" t="s">
        <v>599</v>
      </c>
      <c r="F338" s="450"/>
      <c r="G338" s="395"/>
    </row>
    <row r="339">
      <c r="A339" s="447" t="s">
        <v>600</v>
      </c>
      <c r="B339" s="424" t="s">
        <v>601</v>
      </c>
      <c r="C339" s="465"/>
      <c r="D339" s="466"/>
      <c r="E339" s="377"/>
      <c r="F339" s="377"/>
      <c r="G339" s="384"/>
    </row>
    <row r="340">
      <c r="B340" s="424" t="s">
        <v>602</v>
      </c>
      <c r="C340" s="465"/>
      <c r="D340" s="466"/>
      <c r="E340" s="377"/>
      <c r="F340" s="377"/>
      <c r="G340" s="384"/>
    </row>
    <row r="341">
      <c r="A341" s="390"/>
      <c r="B341" s="424" t="s">
        <v>603</v>
      </c>
      <c r="C341" s="465"/>
      <c r="D341" s="466"/>
      <c r="E341" s="377"/>
      <c r="F341" s="377"/>
      <c r="G341" s="384"/>
    </row>
    <row r="342">
      <c r="A342" s="447"/>
      <c r="B342" s="424" t="s">
        <v>604</v>
      </c>
      <c r="C342" s="465"/>
      <c r="D342" s="466"/>
      <c r="E342" s="377"/>
      <c r="F342" s="377"/>
      <c r="G342" s="384"/>
    </row>
    <row r="343">
      <c r="A343" s="447"/>
      <c r="B343" s="424" t="s">
        <v>605</v>
      </c>
      <c r="C343" s="465"/>
      <c r="D343" s="466"/>
      <c r="E343" s="377"/>
      <c r="F343" s="377"/>
      <c r="G343" s="384"/>
    </row>
    <row r="344">
      <c r="A344" s="447"/>
      <c r="B344" s="424" t="s">
        <v>606</v>
      </c>
      <c r="C344" s="465"/>
      <c r="D344" s="466"/>
      <c r="E344" s="377"/>
      <c r="F344" s="377"/>
      <c r="G344" s="384"/>
    </row>
    <row r="345">
      <c r="A345" s="447"/>
      <c r="B345" s="424" t="s">
        <v>607</v>
      </c>
      <c r="C345" s="465"/>
      <c r="D345" s="466"/>
      <c r="E345" s="377"/>
      <c r="F345" s="377"/>
      <c r="G345" s="384"/>
    </row>
    <row r="346">
      <c r="A346" s="447"/>
      <c r="B346" s="424"/>
      <c r="C346" s="465"/>
      <c r="D346" s="466"/>
      <c r="E346" s="377"/>
      <c r="F346" s="377"/>
      <c r="G346" s="384"/>
    </row>
    <row r="347">
      <c r="A347" s="447"/>
      <c r="B347" s="424"/>
      <c r="C347" s="465"/>
      <c r="D347" s="466"/>
      <c r="E347" s="377"/>
      <c r="F347" s="377"/>
      <c r="G347" s="384"/>
    </row>
    <row r="348">
      <c r="A348" s="447"/>
      <c r="B348" s="424"/>
      <c r="C348" s="465"/>
      <c r="D348" s="466"/>
      <c r="E348" s="377"/>
      <c r="F348" s="377"/>
      <c r="G348" s="384"/>
    </row>
    <row r="349">
      <c r="A349" s="447"/>
      <c r="B349" s="424"/>
      <c r="C349" s="465"/>
      <c r="D349" s="466"/>
      <c r="E349" s="377"/>
      <c r="F349" s="377"/>
      <c r="G349" s="384"/>
    </row>
  </sheetData>
  <mergeCells count="24">
    <mergeCell ref="A3:A23"/>
    <mergeCell ref="A24:A26"/>
    <mergeCell ref="A86:A121"/>
    <mergeCell ref="A122:A145"/>
    <mergeCell ref="A58:A85"/>
    <mergeCell ref="A27:A55"/>
    <mergeCell ref="A56:A57"/>
    <mergeCell ref="B1:B2"/>
    <mergeCell ref="C1:C2"/>
    <mergeCell ref="D1:D2"/>
    <mergeCell ref="E1:E2"/>
    <mergeCell ref="F1:F2"/>
    <mergeCell ref="G1:G2"/>
    <mergeCell ref="A1:A2"/>
    <mergeCell ref="A212:A236"/>
    <mergeCell ref="A175:A211"/>
    <mergeCell ref="A146:A174"/>
    <mergeCell ref="A325:A338"/>
    <mergeCell ref="A339:A341"/>
    <mergeCell ref="A237:A248"/>
    <mergeCell ref="A249:A272"/>
    <mergeCell ref="A290:A307"/>
    <mergeCell ref="A308:A324"/>
    <mergeCell ref="A273:A289"/>
  </mergeCells>
  <conditionalFormatting sqref="E217:F217 E233:F236 E317:E338">
    <cfRule type="cellIs" dxfId="2" priority="1" operator="equal">
      <formula>"Aangenomen"</formula>
    </cfRule>
  </conditionalFormatting>
  <conditionalFormatting sqref="E217:F217 E233:F236 E317:E338">
    <cfRule type="cellIs" dxfId="3" priority="2" operator="equal">
      <formula>"Verworpen"</formula>
    </cfRule>
  </conditionalFormatting>
  <conditionalFormatting sqref="E217:F217 E233:F236 E317:E338">
    <cfRule type="containsText" dxfId="10" priority="3" operator="containsText" text="In stemming">
      <formula>NOT(ISERROR(SEARCH(("In stemming"),(E217))))</formula>
    </cfRule>
  </conditionalFormatting>
  <conditionalFormatting sqref="E217:F217 E233:F236 E317:E338">
    <cfRule type="containsText" dxfId="10" priority="4" operator="containsText" text="stembus">
      <formula>NOT(ISERROR(SEARCH(("stembus"),(E217))))</formula>
    </cfRule>
  </conditionalFormatting>
  <conditionalFormatting sqref="E217:F217 E233:F236 E317:E338">
    <cfRule type="cellIs" dxfId="11" priority="5" operator="equal">
      <formula>"ingetrokken"</formula>
    </cfRule>
  </conditionalFormatting>
  <conditionalFormatting sqref="E217:F217 E233:F236 E317:E338">
    <cfRule type="containsText" dxfId="12" priority="6" operator="containsText" text="In afwachting">
      <formula>NOT(ISERROR(SEARCH(("In afwachting"),(E217))))</formula>
    </cfRule>
  </conditionalFormatting>
  <conditionalFormatting sqref="E217:F217 E233:F236 E317:E338">
    <cfRule type="containsText" dxfId="13" priority="7" operator="containsText" text="i.a.v. EK">
      <formula>NOT(ISERROR(SEARCH(("i.a.v. EK"),(E217))))</formula>
    </cfRule>
  </conditionalFormatting>
  <conditionalFormatting sqref="E217:F217 E233:F236 E317:E338">
    <cfRule type="cellIs" dxfId="14" priority="8" operator="equal">
      <formula>"Buiten werking"</formula>
    </cfRule>
  </conditionalFormatting>
  <conditionalFormatting sqref="C149">
    <cfRule type="containsText" dxfId="15" priority="9" operator="containsText" text="SP">
      <formula>NOT(ISERROR(SEARCH(("SP"),(C149))))</formula>
    </cfRule>
  </conditionalFormatting>
  <conditionalFormatting sqref="C145:C146 C149">
    <cfRule type="containsText" dxfId="16" priority="10" operator="containsText" text="PP">
      <formula>NOT(ISERROR(SEARCH(("PP"),(C145))))</formula>
    </cfRule>
  </conditionalFormatting>
  <conditionalFormatting sqref="C145:C146 C149">
    <cfRule type="cellIs" dxfId="17" priority="11" operator="equal">
      <formula>"Regering"</formula>
    </cfRule>
  </conditionalFormatting>
  <conditionalFormatting sqref="C145:C146 C149">
    <cfRule type="cellIs" dxfId="18" priority="12" operator="equal">
      <formula>"LPF"</formula>
    </cfRule>
  </conditionalFormatting>
  <conditionalFormatting sqref="A3">
    <cfRule type="containsText" dxfId="2" priority="13" operator="containsText" text="Ja">
      <formula>NOT(ISERROR(SEARCH(("Ja"),(A3))))</formula>
    </cfRule>
  </conditionalFormatting>
  <conditionalFormatting sqref="A3">
    <cfRule type="containsText" dxfId="3" priority="14" operator="containsText" text="Nee">
      <formula>NOT(ISERROR(SEARCH(("Nee"),(A3))))</formula>
    </cfRule>
  </conditionalFormatting>
  <conditionalFormatting sqref="E1:F349">
    <cfRule type="containsText" dxfId="2" priority="15" operator="containsText" text="Aangenomen">
      <formula>NOT(ISERROR(SEARCH(("Aangenomen"),(E1))))</formula>
    </cfRule>
  </conditionalFormatting>
  <conditionalFormatting sqref="E1:F349">
    <cfRule type="containsText" dxfId="3" priority="16" operator="containsText" text="Verworpen">
      <formula>NOT(ISERROR(SEARCH(("Verworpen"),(E1))))</formula>
    </cfRule>
  </conditionalFormatting>
  <conditionalFormatting sqref="E1:F349">
    <cfRule type="containsText" dxfId="11" priority="17" operator="containsText" text="Ingetrokken">
      <formula>NOT(ISERROR(SEARCH(("Ingetrokken"),(E1))))</formula>
    </cfRule>
  </conditionalFormatting>
  <conditionalFormatting sqref="C1:C85 C87:C183 C185:C292 C295:C296 C298:C301 C303:C311 C315:C317 C320:C322 C324 C326:C328 C331:C349">
    <cfRule type="containsText" dxfId="19" priority="18" operator="containsText" text="D66">
      <formula>NOT(ISERROR(SEARCH(("D66"),(C1))))</formula>
    </cfRule>
  </conditionalFormatting>
  <conditionalFormatting sqref="C1:C85 C87:C183 C185:C292 C295:C296 C298:C301 C303:C311 C315:C317 C320:C322 C324 C326:C328 C331:C349">
    <cfRule type="containsText" dxfId="20" priority="19" operator="containsText" text="PvdA">
      <formula>NOT(ISERROR(SEARCH(("PvdA"),(C1))))</formula>
    </cfRule>
  </conditionalFormatting>
  <conditionalFormatting sqref="C1:C85 C87:C183 C185:C292 C295:C296 C298:C301 C303:C311 C315:C317 C320:C322 C324 C326:C328 C331:C349">
    <cfRule type="containsText" dxfId="13" priority="20" operator="containsText" text="VVD">
      <formula>NOT(ISERROR(SEARCH(("VVD"),(C1))))</formula>
    </cfRule>
  </conditionalFormatting>
  <conditionalFormatting sqref="C1:C85 C87:C183 C185:C292 C295:C296 C298:C301 C303:C311 C315:C317 C320:C322 C324 C326:C328 C331:C349">
    <cfRule type="containsText" dxfId="21" priority="21" operator="containsText" text="CPN">
      <formula>NOT(ISERROR(SEARCH(("CPN"),(C1))))</formula>
    </cfRule>
  </conditionalFormatting>
  <conditionalFormatting sqref="C1:C85 C87:C183 C185:C292 C295:C296 C298:C301 C303:C311 C315:C317 C320:C322 C324 C326:C328 C331:C349">
    <cfRule type="containsText" dxfId="22" priority="22" operator="containsText" text="GL">
      <formula>NOT(ISERROR(SEARCH(("GL"),(C1))))</formula>
    </cfRule>
  </conditionalFormatting>
  <conditionalFormatting sqref="C1:C85 C87:C183 C185:C292 C295:C296 C298:C301 C303:C311 C315:C317 C320:C322 C324 C326:C328 C331:C349">
    <cfRule type="cellIs" dxfId="15" priority="23" operator="equal">
      <formula>"SP"</formula>
    </cfRule>
  </conditionalFormatting>
  <conditionalFormatting sqref="C1:C85 C87:C183 C185:C292 C295:C296 C298:C301 C303:C311 C315:C317 C320:C322 C324 C326:C328 C331:C349">
    <cfRule type="containsText" dxfId="23" priority="24" operator="containsText" text="PVV">
      <formula>NOT(ISERROR(SEARCH(("PVV"),(C1))))</formula>
    </cfRule>
  </conditionalFormatting>
  <conditionalFormatting sqref="C1:C85 C87:C183 C185:C292 C295:C296 C298:C301 C303:C311 C315:C317 C320:C322 C324 C326:C328 C331:C349">
    <cfRule type="containsText" dxfId="24" priority="25" operator="containsText" text="DNL">
      <formula>NOT(ISERROR(SEARCH(("DNL"),(C1))))</formula>
    </cfRule>
  </conditionalFormatting>
  <conditionalFormatting sqref="C1:C85 C87:C183 C185:C292 C295:C296 C298:C301 C303:C311 C315:C317 C320:C322 C324 C326:C328 C331:C349">
    <cfRule type="containsText" dxfId="25" priority="26" operator="containsText" text="CDA">
      <formula>NOT(ISERROR(SEARCH(("CDA"),(C1))))</formula>
    </cfRule>
  </conditionalFormatting>
  <conditionalFormatting sqref="C1:C85 C87:C183 C185:C292 C295:C296 C298:C301 C303:C311 C315:C317 C320:C322 C324 C326:C328 C331:C349">
    <cfRule type="beginsWith" dxfId="26" priority="27" operator="beginsWith" text="Onafh">
      <formula>LEFT((C1),LEN("Onafh"))=("Onafh")</formula>
    </cfRule>
  </conditionalFormatting>
  <conditionalFormatting sqref="E1:F349">
    <cfRule type="containsText" dxfId="13" priority="28" operator="containsText" text="In stemming">
      <formula>NOT(ISERROR(SEARCH(("In stemming"),(E1))))</formula>
    </cfRule>
  </conditionalFormatting>
  <conditionalFormatting sqref="E1:F349">
    <cfRule type="cellIs" dxfId="27" priority="29" operator="equal">
      <formula>"In afwachting"</formula>
    </cfRule>
  </conditionalFormatting>
  <conditionalFormatting sqref="C1:C292 C295:C296 C298:C301 C303:C311 C315:C317 C320:C322 C324 C326:C328 C331:C349">
    <cfRule type="cellIs" dxfId="28" priority="30" operator="equal">
      <formula>"PSP"</formula>
    </cfRule>
  </conditionalFormatting>
  <conditionalFormatting sqref="C1:C85 C87:C183 C185:C292 C295:C296 C298:C301 C303:C311 C315:C317 C320:C322 C324 C326:C328 C331:C349">
    <cfRule type="cellIs" dxfId="20" priority="31" operator="equal">
      <formula>"S&amp;V"</formula>
    </cfRule>
  </conditionalFormatting>
  <conditionalFormatting sqref="C1:C85 C87:C183 C185:C292 C295:C296 C298:C301 C303:C311 C315:C317 C320:C322 C324 C326:C328 C331:C349">
    <cfRule type="cellIs" dxfId="29" priority="32" operator="equal">
      <formula>"LPF"</formula>
    </cfRule>
  </conditionalFormatting>
  <conditionalFormatting sqref="C1:C183 C185:C292 C295:C296 C298:C301 C303:C311 C315:C317 C320:C322 C324 C326:C328 C331:C349">
    <cfRule type="cellIs" dxfId="30" priority="33" operator="equal">
      <formula>"GPN"</formula>
    </cfRule>
  </conditionalFormatting>
  <conditionalFormatting sqref="C1:C183 C185:C292 C295:C296 C298:C301 C303:C311 C315:C317 C320:C322 C324 C326:C328 C331:C349">
    <cfRule type="cellIs" dxfId="15" priority="34" operator="equal">
      <formula>"MPN"</formula>
    </cfRule>
  </conditionalFormatting>
  <conditionalFormatting sqref="C1:C183 C185:C292 C295:C296 C298:C301 C303:C311 C315:C317 C320:C322 C324 C326:C328 C331:C349">
    <cfRule type="containsText" dxfId="31" priority="35" operator="containsText" text="SVN">
      <formula>NOT(ISERROR(SEARCH(("SVN"),(C1))))</formula>
    </cfRule>
  </conditionalFormatting>
  <conditionalFormatting sqref="C1:C183 C185:C292 C295:C296 C298:C301 C303:C311 C315:C317 C320:C322 C324 C326:C328 C331:C349">
    <cfRule type="cellIs" dxfId="32" priority="36" operator="equal">
      <formula>"GROEN"</formula>
    </cfRule>
  </conditionalFormatting>
  <conditionalFormatting sqref="C1:C292 C295:C296 C298:C301 C303:C311 C315:C317 C320:C322 C324 C326:C328 C331:C349">
    <cfRule type="containsText" dxfId="16" priority="37" operator="containsText" text="FVD">
      <formula>NOT(ISERROR(SEARCH(("FVD"),(C1))))</formula>
    </cfRule>
  </conditionalFormatting>
  <conditionalFormatting sqref="C1:C292 C295:C296 C298:C301 C303:C311 C315:C317 C320:C322 C324 C326:C328 C331:C349">
    <cfRule type="containsText" dxfId="33" priority="38" operator="containsText" text="LPU">
      <formula>NOT(ISERROR(SEARCH(("LPU"),(C1))))</formula>
    </cfRule>
  </conditionalFormatting>
  <hyperlinks>
    <hyperlink r:id="rId2" ref="D64"/>
    <hyperlink r:id="rId3" ref="D65"/>
    <hyperlink r:id="rId4" ref="D68"/>
    <hyperlink r:id="rId5" ref="D69"/>
    <hyperlink r:id="rId6" ref="D70"/>
    <hyperlink r:id="rId7" ref="D71"/>
    <hyperlink r:id="rId8" ref="D72"/>
    <hyperlink r:id="rId9" ref="D73"/>
    <hyperlink r:id="rId10" ref="D74"/>
    <hyperlink r:id="rId11" ref="D75"/>
    <hyperlink r:id="rId12" ref="D139"/>
    <hyperlink r:id="rId13" ref="D140"/>
    <hyperlink r:id="rId14" ref="D141"/>
    <hyperlink r:id="rId15" ref="D142"/>
    <hyperlink r:id="rId16" ref="D143"/>
    <hyperlink r:id="rId17" ref="D194"/>
    <hyperlink r:id="rId18" ref="D211"/>
    <hyperlink r:id="rId19" ref="D212"/>
    <hyperlink r:id="rId20" ref="D218"/>
    <hyperlink r:id="rId21" ref="D219"/>
    <hyperlink r:id="rId22" ref="D220"/>
    <hyperlink r:id="rId23" ref="D221"/>
    <hyperlink r:id="rId24" ref="D222"/>
    <hyperlink r:id="rId25" ref="D223"/>
    <hyperlink r:id="rId26" ref="D224"/>
    <hyperlink r:id="rId27" ref="D225"/>
    <hyperlink r:id="rId28" ref="D226"/>
    <hyperlink r:id="rId29" ref="D227"/>
    <hyperlink r:id="rId30" ref="D228"/>
    <hyperlink r:id="rId31" ref="D229"/>
    <hyperlink r:id="rId32" ref="D230"/>
    <hyperlink r:id="rId33" ref="D231"/>
    <hyperlink r:id="rId34" ref="D232"/>
    <hyperlink r:id="rId35" ref="D233"/>
    <hyperlink r:id="rId36" ref="D234"/>
    <hyperlink r:id="rId37" ref="D235"/>
    <hyperlink r:id="rId38" ref="D236"/>
    <hyperlink r:id="rId39" ref="D237"/>
    <hyperlink r:id="rId40" ref="D238"/>
    <hyperlink r:id="rId41" ref="D239"/>
    <hyperlink r:id="rId42" ref="D240"/>
    <hyperlink r:id="rId43" ref="D241"/>
    <hyperlink r:id="rId44" ref="D242"/>
    <hyperlink r:id="rId45" ref="D243"/>
    <hyperlink r:id="rId46" ref="D244"/>
    <hyperlink r:id="rId47" ref="D245"/>
    <hyperlink r:id="rId48" ref="D246"/>
    <hyperlink r:id="rId49" ref="D247"/>
    <hyperlink r:id="rId50" ref="D248"/>
    <hyperlink r:id="rId51" ref="D249"/>
    <hyperlink r:id="rId52" ref="D250"/>
    <hyperlink r:id="rId53" ref="D251"/>
    <hyperlink r:id="rId54" ref="D252"/>
    <hyperlink r:id="rId55" ref="D253"/>
    <hyperlink r:id="rId56" ref="D254"/>
    <hyperlink r:id="rId57" ref="D255"/>
    <hyperlink r:id="rId58" ref="D256"/>
    <hyperlink r:id="rId59" ref="D259"/>
    <hyperlink r:id="rId60" ref="D262"/>
    <hyperlink r:id="rId61" ref="D265"/>
    <hyperlink r:id="rId62" ref="D266"/>
    <hyperlink r:id="rId63" ref="D267"/>
    <hyperlink r:id="rId64" ref="D268"/>
    <hyperlink r:id="rId65" ref="D269"/>
    <hyperlink r:id="rId66" ref="D270"/>
    <hyperlink r:id="rId67" ref="D271"/>
    <hyperlink r:id="rId68" ref="D272"/>
    <hyperlink r:id="rId69" ref="D278"/>
    <hyperlink r:id="rId70" ref="D279"/>
  </hyperlinks>
  <drawing r:id="rId71"/>
  <legacyDrawing r:id="rId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2.29"/>
    <col customWidth="1" min="2" max="2" width="13.0"/>
    <col customWidth="1" min="3" max="3" width="8.71"/>
    <col customWidth="1" min="4" max="4" width="85.86"/>
    <col customWidth="1" min="5" max="5" width="12.0"/>
    <col customWidth="1" min="6" max="6" width="12.71"/>
    <col customWidth="1" min="7" max="7" width="12.57"/>
    <col customWidth="1" min="8" max="8" width="11.0"/>
    <col customWidth="1" min="9" max="9" width="18.14"/>
    <col customWidth="1" min="10" max="10" width="107.43"/>
  </cols>
  <sheetData>
    <row r="1">
      <c r="A1" s="409" t="s">
        <v>152</v>
      </c>
      <c r="B1" s="431" t="s">
        <v>608</v>
      </c>
      <c r="C1" s="467" t="s">
        <v>154</v>
      </c>
      <c r="D1" s="468" t="s">
        <v>609</v>
      </c>
      <c r="E1" s="469" t="s">
        <v>610</v>
      </c>
      <c r="G1" s="469" t="s">
        <v>611</v>
      </c>
      <c r="I1" s="470" t="s">
        <v>156</v>
      </c>
      <c r="J1" s="470" t="s">
        <v>158</v>
      </c>
    </row>
    <row r="2">
      <c r="C2" s="372"/>
      <c r="E2" s="471" t="s">
        <v>612</v>
      </c>
      <c r="F2" s="471" t="s">
        <v>613</v>
      </c>
      <c r="G2" s="471" t="s">
        <v>612</v>
      </c>
      <c r="H2" s="471" t="s">
        <v>613</v>
      </c>
    </row>
    <row r="3">
      <c r="A3" s="409" t="s">
        <v>159</v>
      </c>
      <c r="B3" s="472" t="s">
        <v>614</v>
      </c>
      <c r="C3" s="473" t="s">
        <v>152</v>
      </c>
      <c r="D3" s="474" t="str">
        <f>HYPERLINK("https://www.reddit.com/r/RMTK/comments/3cbzyn/w0001_wet_tot_wijziging_van_het_wetboek_van/","Wetswijziging Wetboek van Strafrecht in verband met majesteitsschennis")</f>
        <v>Wetswijziging Wetboek van Strafrecht in verband met majesteitsschennis</v>
      </c>
      <c r="E3" s="475" t="str">
        <f>HYPERLINK("https://www.reddit.com/r/RMTK/comments/3bmxvh/w0001_wet_tot_wijziging_van_het_wetboek_van/","30-06-2015")</f>
        <v>30-06-2015</v>
      </c>
      <c r="F3" s="476" t="s">
        <v>615</v>
      </c>
      <c r="G3" s="477" t="str">
        <f>HYPERLINK("https://www.reddit.com/r/RMTK/comments/3cbzyn/w0001_wet_tot_wijziging_van_het_wetboek_van/","06-07-2015")</f>
        <v>06-07-2015</v>
      </c>
      <c r="H3" s="478">
        <v>42194.0</v>
      </c>
      <c r="I3" s="479" t="s">
        <v>166</v>
      </c>
      <c r="J3" s="480"/>
    </row>
    <row r="4">
      <c r="B4" s="472" t="s">
        <v>616</v>
      </c>
      <c r="C4" s="473" t="s">
        <v>152</v>
      </c>
      <c r="D4" s="474" t="str">
        <f>HYPERLINK("https://www.reddit.com/r/RMTK/comments/3ctrmw/w0002_wijziging_van_de_wet_toetsing/","Wetswijziging Wet toetsing levensbeëindiging op verzoek en hulp bij zelfdoding")</f>
        <v>Wetswijziging Wet toetsing levensbeëindiging op verzoek en hulp bij zelfdoding</v>
      </c>
      <c r="E4" s="475" t="str">
        <f>HYPERLINK("https://www.reddit.com/r/RMTK/comments/3ctrmw/w0002_wijziging_van_de_wet_toetsing/","10-07-2015")</f>
        <v>10-07-2015</v>
      </c>
      <c r="F4" s="476" t="s">
        <v>617</v>
      </c>
      <c r="G4" s="479"/>
      <c r="H4" s="479"/>
      <c r="I4" s="479" t="s">
        <v>166</v>
      </c>
      <c r="J4" s="481"/>
    </row>
    <row r="5">
      <c r="B5" s="472" t="s">
        <v>618</v>
      </c>
      <c r="C5" s="482" t="s">
        <v>12</v>
      </c>
      <c r="D5" s="474" t="str">
        <f>HYPERLINK("https://www.reddit.com/r/RMTK/comments/3errcj/w0003_wet_tot_intrekking_van_de_wet_op_de_vaste/","Wet tot intrekking van de wet op de vaste boekenprijs")</f>
        <v>Wet tot intrekking van de wet op de vaste boekenprijs</v>
      </c>
      <c r="E5" s="475" t="str">
        <f>HYPERLINK("https://www.reddit.com/r/RMTK/comments/3errcj/w0003_wet_tot_intrekking_van_de_wet_op_de_vaste/","27-07-2015")</f>
        <v>27-07-2015</v>
      </c>
      <c r="F5" s="476" t="s">
        <v>619</v>
      </c>
      <c r="G5" s="479"/>
      <c r="H5" s="479"/>
      <c r="I5" s="479" t="s">
        <v>162</v>
      </c>
      <c r="J5" s="480"/>
    </row>
    <row r="6">
      <c r="B6" s="472" t="s">
        <v>620</v>
      </c>
      <c r="C6" s="473" t="s">
        <v>152</v>
      </c>
      <c r="D6" s="474" t="str">
        <f>HYPERLINK("https://www.reddit.com/r/RMTK/comments/3fx5cq/w0004_wijziging_van_de_opiumwet_en_enige_andere/","Wetswijziging Opiumwet en enige andere wetten op het terrein van drugsregulering")</f>
        <v>Wetswijziging Opiumwet en enige andere wetten op het terrein van drugsregulering</v>
      </c>
      <c r="E6" s="475" t="str">
        <f>HYPERLINK("https://www.reddit.com/r/RMTK/comments/3fx5cq/w0004_wijziging_van_de_opiumwet_en_enige_andere/","05-08-2015")</f>
        <v>05-08-2015</v>
      </c>
      <c r="F6" s="476" t="s">
        <v>621</v>
      </c>
      <c r="G6" s="479"/>
      <c r="H6" s="479"/>
      <c r="I6" s="377" t="s">
        <v>622</v>
      </c>
      <c r="J6" s="481" t="s">
        <v>623</v>
      </c>
    </row>
    <row r="7">
      <c r="B7" s="472" t="s">
        <v>624</v>
      </c>
      <c r="C7" s="473" t="s">
        <v>152</v>
      </c>
      <c r="D7" s="483" t="str">
        <f>HYPERLINK("https://www.reddit.com/r/RMTK/comments/3gh0os/w0005_wijziging_van_de_grondwet_met_betrekking/","Grondwetswijziging met betrekking tot het briefgeheim")</f>
        <v>Grondwetswijziging met betrekking tot het briefgeheim</v>
      </c>
      <c r="E7" s="475" t="str">
        <f>HYPERLINK("https://www.reddit.com/r/RMTK/comments/3gh0os/w0005_wijziging_van_de_grondwet_met_betrekking/","10-08-2015")</f>
        <v>10-08-2015</v>
      </c>
      <c r="F7" s="476" t="s">
        <v>625</v>
      </c>
      <c r="G7" s="479"/>
      <c r="H7" s="479"/>
      <c r="I7" s="479" t="s">
        <v>166</v>
      </c>
      <c r="J7" s="481"/>
    </row>
    <row r="8">
      <c r="B8" s="472" t="s">
        <v>626</v>
      </c>
      <c r="C8" s="484" t="s">
        <v>177</v>
      </c>
      <c r="D8" s="483" t="str">
        <f>HYPERLINK("https://www.reddit.com/r/RMTK/comments/3hyc45/w0006_wet_tot_grondwetswijziging_met_betrekking/","Grondwetswijziging met betrekking tot wijziging nummering grondwetsartikelen")</f>
        <v>Grondwetswijziging met betrekking tot wijziging nummering grondwetsartikelen</v>
      </c>
      <c r="E8" s="475" t="str">
        <f>HYPERLINK("https://www.reddit.com/r/RMTK/comments/3hyc45/w0006_wet_tot_grondwetswijziging_met_betrekking/","12-08-2015")</f>
        <v>12-08-2015</v>
      </c>
      <c r="F8" s="476" t="s">
        <v>627</v>
      </c>
      <c r="G8" s="479"/>
      <c r="H8" s="479"/>
      <c r="I8" s="377" t="s">
        <v>622</v>
      </c>
      <c r="J8" s="485" t="s">
        <v>628</v>
      </c>
    </row>
    <row r="9">
      <c r="B9" s="472" t="s">
        <v>629</v>
      </c>
      <c r="C9" s="473" t="s">
        <v>152</v>
      </c>
      <c r="D9" s="486" t="str">
        <f>HYPERLINK("https://www.reddit.com/r/RMTK/comments/3j4ug5/w0007_wetsvoorstel_tot_automatische_toestemming/","Wetsvoorstel tot automatische toestemming voor orgaandonatie bij geen bezwaar.")</f>
        <v>Wetsvoorstel tot automatische toestemming voor orgaandonatie bij geen bezwaar.</v>
      </c>
      <c r="E9" s="479" t="s">
        <v>630</v>
      </c>
      <c r="F9" s="487">
        <v>42251.0</v>
      </c>
      <c r="G9" s="479"/>
      <c r="H9" s="479"/>
      <c r="I9" s="479" t="s">
        <v>166</v>
      </c>
      <c r="J9" s="480"/>
    </row>
    <row r="10">
      <c r="B10" s="472" t="s">
        <v>631</v>
      </c>
      <c r="C10" s="473" t="s">
        <v>152</v>
      </c>
      <c r="D10" s="474" t="str">
        <f>HYPERLINK("https://www.reddit.com/r/RMTK/comments/3l7c2e/w0008_wetsvoorstel_tot_verplichting_van_generieke/","Wetsvoorstel tot verplichting generieke verpakkingen tabaksproducten.")</f>
        <v>Wetsvoorstel tot verplichting generieke verpakkingen tabaksproducten.</v>
      </c>
      <c r="E10" s="479" t="s">
        <v>632</v>
      </c>
      <c r="F10" s="479" t="s">
        <v>633</v>
      </c>
      <c r="G10" s="479"/>
      <c r="H10" s="479"/>
      <c r="I10" s="479" t="s">
        <v>166</v>
      </c>
      <c r="J10" s="480"/>
    </row>
    <row r="11">
      <c r="A11" s="390"/>
      <c r="B11" s="488" t="s">
        <v>634</v>
      </c>
      <c r="C11" s="473" t="s">
        <v>152</v>
      </c>
      <c r="D11" s="489" t="str">
        <f>HYPERLINK("https://www.reddit.com/r/RMTK/comments/3luunl/w0009_wijziging_geneesmiddelenwet_omtrent/","Wetswijziging tot ontwarring homeopathische en getoetste geneesmiddelen.")</f>
        <v>Wetswijziging tot ontwarring homeopathische en getoetste geneesmiddelen.</v>
      </c>
      <c r="E11" s="490" t="s">
        <v>635</v>
      </c>
      <c r="F11" s="491">
        <v>42271.0</v>
      </c>
      <c r="G11" s="490"/>
      <c r="H11" s="490"/>
      <c r="I11" s="490" t="s">
        <v>166</v>
      </c>
      <c r="J11" s="492"/>
    </row>
    <row r="12">
      <c r="A12" s="447" t="s">
        <v>636</v>
      </c>
      <c r="B12" s="493"/>
      <c r="C12" s="494" t="s">
        <v>637</v>
      </c>
      <c r="D12" s="108"/>
      <c r="E12" s="108"/>
      <c r="F12" s="108"/>
      <c r="G12" s="108"/>
      <c r="H12" s="108"/>
      <c r="I12" s="495"/>
      <c r="J12" s="480"/>
    </row>
    <row r="13">
      <c r="A13" s="496" t="s">
        <v>202</v>
      </c>
      <c r="B13" s="497" t="s">
        <v>638</v>
      </c>
      <c r="C13" s="498" t="s">
        <v>21</v>
      </c>
      <c r="D13" s="499" t="str">
        <f>hyperlink("https://www.reddit.com/r/RMTK/comments/3zq56r/w0011_wet_tot_grondwetswijziging_met_betrekking/","Grondwetswijziging met betrekking tot afschaffing lijstverbindingen")</f>
        <v>Grondwetswijziging met betrekking tot afschaffing lijstverbindingen</v>
      </c>
      <c r="E13" s="500">
        <v>42375.0</v>
      </c>
      <c r="F13" s="500">
        <v>42378.0</v>
      </c>
      <c r="G13" s="501"/>
      <c r="H13" s="501"/>
      <c r="I13" s="502" t="s">
        <v>162</v>
      </c>
      <c r="J13" s="503"/>
    </row>
    <row r="14">
      <c r="B14" s="472" t="s">
        <v>639</v>
      </c>
      <c r="C14" s="473" t="s">
        <v>152</v>
      </c>
      <c r="D14" s="504" t="str">
        <f>hyperlink("https://www.reddit.com/r/RMTK/comments/40r0jd/w0011_invoering_van_een_stoplichtetiket_voor/","Invoering van een stoplichtetiket voor voedingswaarde van etenswaren")</f>
        <v>Invoering van een stoplichtetiket voor voedingswaarde van etenswaren</v>
      </c>
      <c r="E14" s="478">
        <v>42382.0</v>
      </c>
      <c r="F14" s="478">
        <v>42385.0</v>
      </c>
      <c r="G14" s="505"/>
      <c r="H14" s="505"/>
      <c r="I14" s="506" t="s">
        <v>166</v>
      </c>
      <c r="J14" s="480"/>
    </row>
    <row r="15">
      <c r="B15" s="472" t="s">
        <v>640</v>
      </c>
      <c r="C15" s="473" t="s">
        <v>215</v>
      </c>
      <c r="D15" s="504" t="str">
        <f>hyperlink("https://www.reddit.com/r/RMTK/comments/42zwka/w0012_wet_tot_herindeling_van_de_nederlandse/","Wet tot herindeling van de Nederlandse Provincies")</f>
        <v>Wet tot herindeling van de Nederlandse Provincies</v>
      </c>
      <c r="E15" s="478">
        <v>42384.0</v>
      </c>
      <c r="F15" s="478">
        <v>42387.0</v>
      </c>
      <c r="G15" s="478">
        <v>42396.0</v>
      </c>
      <c r="H15" s="505">
        <f>G15+3</f>
        <v>42399</v>
      </c>
      <c r="I15" s="506" t="s">
        <v>162</v>
      </c>
      <c r="J15" s="507" t="str">
        <f>hyperlink("https://www.reddit.com/r/RMTK/comments/413f0f/w0012_wet_tot_herindeling_van_de_nederlandse/","Link naar de eerste lezing")</f>
        <v>Link naar de eerste lezing</v>
      </c>
    </row>
    <row r="16">
      <c r="B16" s="472" t="s">
        <v>641</v>
      </c>
      <c r="C16" s="473" t="s">
        <v>152</v>
      </c>
      <c r="D16" s="508" t="str">
        <f>hyperlink("https://www.reddit.com/r/RMTK/comments/41j6ci/w0013_wet_tot_wijziging_mediawet_met_oog_op/","Wetswijziging Mediawet met oog op openbare beschikbaarheid van media")</f>
        <v>Wetswijziging Mediawet met oog op openbare beschikbaarheid van media</v>
      </c>
      <c r="E16" s="478">
        <v>42387.0</v>
      </c>
      <c r="F16" s="478">
        <v>42390.0</v>
      </c>
      <c r="G16" s="505"/>
      <c r="H16" s="505"/>
      <c r="I16" s="506" t="s">
        <v>166</v>
      </c>
      <c r="J16" s="481" t="s">
        <v>642</v>
      </c>
    </row>
    <row r="17">
      <c r="B17" s="472" t="s">
        <v>643</v>
      </c>
      <c r="C17" s="473" t="s">
        <v>200</v>
      </c>
      <c r="D17" s="509" t="str">
        <f>hyperlink("https://www.reddit.com/r/RMTK/comments/41rves/w0014_wet_tot_wijziging_rmtk_grondwet_om_zetels/","Grondwetswijziging om zetels persoonsgebonden te maken in geval van voorkeursstemmen")</f>
        <v>Grondwetswijziging om zetels persoonsgebonden te maken in geval van voorkeursstemmen</v>
      </c>
      <c r="E17" s="478">
        <v>42391.0</v>
      </c>
      <c r="F17" s="478">
        <v>42394.0</v>
      </c>
      <c r="G17" s="505"/>
      <c r="H17" s="505"/>
      <c r="I17" s="377" t="s">
        <v>622</v>
      </c>
      <c r="J17" s="481" t="s">
        <v>644</v>
      </c>
    </row>
    <row r="18">
      <c r="B18" s="472" t="s">
        <v>645</v>
      </c>
      <c r="C18" s="473" t="s">
        <v>174</v>
      </c>
      <c r="D18" s="509" t="str">
        <f>hyperlink("https://www.reddit.com/r/RMTK/comments/426r57/w0015_wet_tot_wijziging_van_de_grondwet_met/","Grondwetswijziging tot opneming van bepalingen bij het correctief referendum")</f>
        <v>Grondwetswijziging tot opneming van bepalingen bij het correctief referendum</v>
      </c>
      <c r="E18" s="478">
        <v>42391.0</v>
      </c>
      <c r="F18" s="478">
        <v>42394.0</v>
      </c>
      <c r="G18" s="505"/>
      <c r="H18" s="505"/>
      <c r="I18" s="506" t="s">
        <v>162</v>
      </c>
      <c r="J18" s="481" t="s">
        <v>646</v>
      </c>
    </row>
    <row r="19">
      <c r="B19" s="472" t="s">
        <v>647</v>
      </c>
      <c r="C19" s="473" t="s">
        <v>152</v>
      </c>
      <c r="D19" s="504" t="str">
        <f>hyperlink("https://www.reddit.com/r/RMTK/comments/43a70y/w0016_wet_tot_oprichting_gasfonds/","Wet tot oprichting gasfonds")</f>
        <v>Wet tot oprichting gasfonds</v>
      </c>
      <c r="E19" s="478">
        <v>42398.0</v>
      </c>
      <c r="F19" s="478">
        <f t="shared" ref="F19:F26" si="1">E19+3</f>
        <v>42401</v>
      </c>
      <c r="G19" s="505"/>
      <c r="H19" s="505"/>
      <c r="I19" s="506" t="s">
        <v>166</v>
      </c>
      <c r="J19" s="480"/>
    </row>
    <row r="20">
      <c r="B20" s="472" t="s">
        <v>648</v>
      </c>
      <c r="C20" s="473" t="s">
        <v>152</v>
      </c>
      <c r="D20" s="504" t="str">
        <f>hyperlink("https://www.reddit.com/r/RMTK/comments/43an4q/w0017_wet_tot_wijziging_vreemdelingenwet_2000/","Wet tot wijziging Vreemdelingenwet 2000")</f>
        <v>Wet tot wijziging Vreemdelingenwet 2000</v>
      </c>
      <c r="E20" s="478">
        <v>42398.0</v>
      </c>
      <c r="F20" s="505">
        <f t="shared" si="1"/>
        <v>42401</v>
      </c>
      <c r="G20" s="505"/>
      <c r="H20" s="505"/>
      <c r="I20" s="506" t="s">
        <v>166</v>
      </c>
      <c r="J20" s="480"/>
    </row>
    <row r="21">
      <c r="B21" s="472" t="s">
        <v>649</v>
      </c>
      <c r="C21" s="473" t="s">
        <v>152</v>
      </c>
      <c r="D21" s="504" t="str">
        <f>hyperlink("https://www.reddit.com/r/RMTK/comments/43x3xs/w0017_wetswijziging_tot_inkorting_auteursrecht/","Wetswijziging tot inkorting auteursrecht")</f>
        <v>Wetswijziging tot inkorting auteursrecht</v>
      </c>
      <c r="E21" s="478">
        <v>42403.0</v>
      </c>
      <c r="F21" s="505">
        <f t="shared" si="1"/>
        <v>42406</v>
      </c>
      <c r="G21" s="505"/>
      <c r="H21" s="505"/>
      <c r="I21" s="479" t="s">
        <v>622</v>
      </c>
      <c r="J21" s="481" t="s">
        <v>650</v>
      </c>
    </row>
    <row r="22">
      <c r="B22" s="472" t="s">
        <v>651</v>
      </c>
      <c r="C22" s="473" t="s">
        <v>152</v>
      </c>
      <c r="D22" s="504" t="str">
        <f>hyperlink("https://www.reddit.com/r/RMTK/comments/43x43q/w0019_wetswijziging_tot_afschaffing_cookiemuur/","Wetswijziging tot afschaffing cookiemuur")</f>
        <v>Wetswijziging tot afschaffing cookiemuur</v>
      </c>
      <c r="E22" s="478">
        <v>42403.0</v>
      </c>
      <c r="F22" s="505">
        <f t="shared" si="1"/>
        <v>42406</v>
      </c>
      <c r="G22" s="505"/>
      <c r="H22" s="505"/>
      <c r="I22" s="506" t="s">
        <v>166</v>
      </c>
      <c r="J22" s="480"/>
    </row>
    <row r="23">
      <c r="B23" s="472" t="s">
        <v>652</v>
      </c>
      <c r="C23" s="473" t="s">
        <v>174</v>
      </c>
      <c r="D23" s="510" t="str">
        <f>HYPERLINK("https://www.reddit.com/r/RMTK/comments/44taw2/w0020_wet_tot_de_wijziging_van_de_grondwet_met/","Wet tot de wijziging van de Grondwet met betrekking tot internationale verdragen")</f>
        <v>Wet tot de wijziging van de Grondwet met betrekking tot internationale verdragen</v>
      </c>
      <c r="E23" s="478">
        <v>42408.0</v>
      </c>
      <c r="F23" s="505">
        <f t="shared" si="1"/>
        <v>42411</v>
      </c>
      <c r="G23" s="505"/>
      <c r="H23" s="505"/>
      <c r="I23" s="506" t="s">
        <v>162</v>
      </c>
      <c r="J23" s="480"/>
    </row>
    <row r="24">
      <c r="B24" s="472" t="s">
        <v>653</v>
      </c>
      <c r="C24" s="473" t="s">
        <v>152</v>
      </c>
      <c r="D24" s="511" t="str">
        <f>HYPERLINK("https://www.reddit.com/r/RMTK/comments/4559md/w0021_vaststelling_van_de_begrotingsstaten_van/","Wet tot vaststelling begroting defensie 2016-2020")</f>
        <v>Wet tot vaststelling begroting defensie 2016-2020</v>
      </c>
      <c r="E24" s="478">
        <v>42410.0</v>
      </c>
      <c r="F24" s="505">
        <f t="shared" si="1"/>
        <v>42413</v>
      </c>
      <c r="G24" s="505"/>
      <c r="H24" s="505"/>
      <c r="I24" s="506" t="s">
        <v>170</v>
      </c>
      <c r="J24" s="481"/>
    </row>
    <row r="25">
      <c r="B25" s="472" t="s">
        <v>654</v>
      </c>
      <c r="C25" s="473" t="s">
        <v>200</v>
      </c>
      <c r="D25" s="511" t="str">
        <f>hyperlink("https://www.reddit.com/r/RMTK/comments/45hizl/w0022_wetswijziging_tot_verplichte_donatie/","Wetswijziging tot verplichte donatie weggegooid voedsel uit supermarkten")</f>
        <v>Wetswijziging tot verplichte donatie weggegooid voedsel uit supermarkten</v>
      </c>
      <c r="E25" s="478">
        <v>42412.0</v>
      </c>
      <c r="F25" s="505">
        <f t="shared" si="1"/>
        <v>42415</v>
      </c>
      <c r="G25" s="505"/>
      <c r="H25" s="505"/>
      <c r="I25" s="506" t="s">
        <v>166</v>
      </c>
      <c r="J25" s="481" t="s">
        <v>655</v>
      </c>
    </row>
    <row r="26">
      <c r="B26" s="472" t="s">
        <v>656</v>
      </c>
      <c r="C26" s="473" t="s">
        <v>233</v>
      </c>
      <c r="D26" s="511" t="str">
        <f>hyperlink("https://www.reddit.com/r/RMTK/comments/45th46/w0023_wet_tot_wijziging_financieel_statuut_van/","Wet tot wijziging financieel statuut van het Koninklijk Huis")</f>
        <v>Wet tot wijziging financieel statuut van het Koninklijk Huis</v>
      </c>
      <c r="E26" s="478">
        <v>42415.0</v>
      </c>
      <c r="F26" s="505">
        <f t="shared" si="1"/>
        <v>42418</v>
      </c>
      <c r="G26" s="505"/>
      <c r="H26" s="505"/>
      <c r="I26" s="506" t="s">
        <v>166</v>
      </c>
      <c r="J26" s="480"/>
    </row>
    <row r="27">
      <c r="B27" s="472" t="s">
        <v>657</v>
      </c>
      <c r="C27" s="473" t="s">
        <v>200</v>
      </c>
      <c r="D27" s="510" t="str">
        <f>hyperlink("https://www.reddit.com/r/RMTK/comments/46bmk3/w0024_wetswijziging_om_verduidelijking_te_geven/","Grondwetswijziging om verduidelijking te geven over Grondwetswijzigingen")</f>
        <v>Grondwetswijziging om verduidelijking te geven over Grondwetswijzigingen</v>
      </c>
      <c r="E27" s="478">
        <v>42417.0</v>
      </c>
      <c r="F27" s="478">
        <v>42055.0</v>
      </c>
      <c r="G27" s="505"/>
      <c r="H27" s="505"/>
      <c r="I27" s="506" t="s">
        <v>166</v>
      </c>
      <c r="J27" s="480"/>
    </row>
    <row r="28">
      <c r="B28" s="472" t="s">
        <v>658</v>
      </c>
      <c r="C28" s="473" t="s">
        <v>233</v>
      </c>
      <c r="D28" s="511" t="str">
        <f>hyperlink("https://www.reddit.com/r/RMTK/comments/46hitj/w0025_wetswijziging_tot_toelating_raadgevende/","Wetswijziging tot toelating raadgevende referenda over het Koninklijk Huis")</f>
        <v>Wetswijziging tot toelating raadgevende referenda over het Koninklijk Huis</v>
      </c>
      <c r="E28" s="478">
        <v>42419.0</v>
      </c>
      <c r="F28" s="478">
        <v>42057.0</v>
      </c>
      <c r="G28" s="505"/>
      <c r="H28" s="505"/>
      <c r="I28" s="377" t="s">
        <v>622</v>
      </c>
      <c r="J28" s="481" t="s">
        <v>659</v>
      </c>
    </row>
    <row r="29">
      <c r="A29" s="390"/>
      <c r="B29" s="488" t="s">
        <v>660</v>
      </c>
      <c r="C29" s="512" t="s">
        <v>174</v>
      </c>
      <c r="D29" s="397" t="str">
        <f>hyperlink("https://www.reddit.com/r/RMTK/comments/4a9ohr/w0026_wet_tot_vastleggen_nederlandse_cultuur/","Wet tot vastleggen Nederlandse Cultuur")</f>
        <v>Wet tot vastleggen Nederlandse Cultuur</v>
      </c>
      <c r="E29" s="513">
        <v>42442.0</v>
      </c>
      <c r="F29" s="513">
        <v>42445.0</v>
      </c>
      <c r="G29" s="514"/>
      <c r="H29" s="514"/>
      <c r="I29" s="430" t="s">
        <v>162</v>
      </c>
      <c r="J29" s="65"/>
    </row>
    <row r="30">
      <c r="A30" s="431" t="s">
        <v>240</v>
      </c>
      <c r="B30" s="432" t="s">
        <v>661</v>
      </c>
      <c r="C30" s="515" t="s">
        <v>200</v>
      </c>
      <c r="D30" s="440" t="str">
        <f>HYPERLINK("https://www.reddit.com/r/RMTK/comments/4e321n/w0027_grondwetswijziging_om_restzetels_te/","Grondwetswijziging om onze restzetels te verdelen volgens het systeem van grootste overschot")</f>
        <v>Grondwetswijziging om onze restzetels te verdelen volgens het systeem van grootste overschot</v>
      </c>
      <c r="E30" s="516">
        <v>42469.0</v>
      </c>
      <c r="F30" s="516">
        <v>42472.0</v>
      </c>
      <c r="G30" s="517"/>
      <c r="H30" s="517"/>
      <c r="I30" s="506" t="s">
        <v>166</v>
      </c>
    </row>
    <row r="31">
      <c r="A31" s="496" t="s">
        <v>243</v>
      </c>
      <c r="B31" s="518" t="s">
        <v>662</v>
      </c>
      <c r="C31" s="519" t="s">
        <v>187</v>
      </c>
      <c r="D31" s="520" t="str">
        <f>hyperlink("https://www.reddit.com/r/RMTK/comments/4g5j9f/w0028_wet_tot_wijziging_van_de_wet/","Wet tot wijziging van de Wet Inkomstenbelasting 2001")</f>
        <v>Wet tot wijziging van de Wet Inkomstenbelasting 2001</v>
      </c>
      <c r="E31" s="521">
        <v>42484.0</v>
      </c>
      <c r="F31" s="522">
        <f t="shared" ref="F31:F33" si="2">E31+4</f>
        <v>42488</v>
      </c>
      <c r="G31" s="522"/>
      <c r="H31" s="522"/>
      <c r="I31" s="523" t="s">
        <v>166</v>
      </c>
      <c r="J31" s="204"/>
    </row>
    <row r="32">
      <c r="B32" s="432" t="s">
        <v>663</v>
      </c>
      <c r="C32" s="515" t="s">
        <v>152</v>
      </c>
      <c r="D32" s="411" t="str">
        <f>HYPERLINK("https://www.reddit.com/r/RMTK/comments/4gd3cn/w0029_wet_afschaffing_w0017_wet_tot_wijziging/?ref=search_posts","Wet afschaffing W0017: Wet tot wijziging Vreemdelingenwet 2000")</f>
        <v>Wet afschaffing W0017: Wet tot wijziging Vreemdelingenwet 2000</v>
      </c>
      <c r="E32" s="516">
        <v>42485.0</v>
      </c>
      <c r="F32" s="517">
        <f t="shared" si="2"/>
        <v>42489</v>
      </c>
      <c r="G32" s="517"/>
      <c r="H32" s="517"/>
      <c r="I32" s="433" t="s">
        <v>162</v>
      </c>
    </row>
    <row r="33">
      <c r="B33" s="432" t="s">
        <v>664</v>
      </c>
      <c r="C33" s="515" t="s">
        <v>200</v>
      </c>
      <c r="D33" s="410" t="str">
        <f>HYPERLINK("https://www.reddit.com/r/RMTK/comments/4gd3ly/w0030_grondwetswijziging_tot_afschaffing/?ref=search_posts","Grondwetswijziging tot afschaffing dienstplicht")</f>
        <v>Grondwetswijziging tot afschaffing dienstplicht</v>
      </c>
      <c r="E33" s="516">
        <v>42485.0</v>
      </c>
      <c r="F33" s="517">
        <f t="shared" si="2"/>
        <v>42489</v>
      </c>
      <c r="G33" s="517"/>
      <c r="H33" s="517"/>
      <c r="I33" s="433" t="s">
        <v>162</v>
      </c>
    </row>
    <row r="34">
      <c r="B34" s="432" t="s">
        <v>665</v>
      </c>
      <c r="C34" s="515" t="s">
        <v>152</v>
      </c>
      <c r="D34" s="397" t="s">
        <v>666</v>
      </c>
      <c r="E34" s="516">
        <v>42487.0</v>
      </c>
      <c r="F34" s="517">
        <f t="shared" ref="F34:F39" si="3">E34+3</f>
        <v>42490</v>
      </c>
      <c r="G34" s="517"/>
      <c r="H34" s="517"/>
      <c r="I34" s="433" t="s">
        <v>166</v>
      </c>
    </row>
    <row r="35">
      <c r="B35" s="432" t="s">
        <v>667</v>
      </c>
      <c r="C35" s="524" t="s">
        <v>668</v>
      </c>
      <c r="D35" s="397" t="s">
        <v>669</v>
      </c>
      <c r="E35" s="516">
        <v>42492.0</v>
      </c>
      <c r="F35" s="517">
        <f t="shared" si="3"/>
        <v>42495</v>
      </c>
      <c r="G35" s="517"/>
      <c r="H35" s="517"/>
      <c r="I35" s="433" t="s">
        <v>166</v>
      </c>
    </row>
    <row r="36">
      <c r="B36" s="432" t="s">
        <v>670</v>
      </c>
      <c r="C36" s="515" t="s">
        <v>200</v>
      </c>
      <c r="D36" s="411" t="str">
        <f>HYPERLINK("https://www.reddit.com/r/RMTK/comments/4hwktc/w0033_wetswijziging_tot_toestaan_polyamorisch/","Wetswijziging tot toestaan polyamorisch huwelijk")</f>
        <v>Wetswijziging tot toestaan polyamorisch huwelijk</v>
      </c>
      <c r="E36" s="516">
        <v>42494.0</v>
      </c>
      <c r="F36" s="517">
        <f t="shared" si="3"/>
        <v>42497</v>
      </c>
      <c r="G36" s="517"/>
      <c r="H36" s="517"/>
      <c r="I36" s="433" t="s">
        <v>162</v>
      </c>
    </row>
    <row r="37">
      <c r="B37" s="432" t="s">
        <v>671</v>
      </c>
      <c r="C37" s="515" t="s">
        <v>174</v>
      </c>
      <c r="D37" s="411" t="str">
        <f>HYPERLINK("https://www.reddit.com/r/RMTK/comments/4ikw6m/w0034_wet_defensiefonds/","Wet Defensiefonds")</f>
        <v>Wet Defensiefonds</v>
      </c>
      <c r="E37" s="516">
        <v>42499.0</v>
      </c>
      <c r="F37" s="517">
        <f t="shared" si="3"/>
        <v>42502</v>
      </c>
      <c r="G37" s="517"/>
      <c r="H37" s="517"/>
      <c r="I37" s="433" t="s">
        <v>166</v>
      </c>
    </row>
    <row r="38">
      <c r="B38" s="432" t="s">
        <v>672</v>
      </c>
      <c r="C38" s="515" t="s">
        <v>152</v>
      </c>
      <c r="D38" s="411" t="str">
        <f>HYPERLINK("https://www.reddit.com/r/RMTK/comments/4ilzzn/w0035_wet_tot_aanpassing_sportbudget_gemeentes/","Wet tot aanpassing sportbudget gemeentes")</f>
        <v>Wet tot aanpassing sportbudget gemeentes</v>
      </c>
      <c r="E38" s="516">
        <v>42499.0</v>
      </c>
      <c r="F38" s="517">
        <f t="shared" si="3"/>
        <v>42502</v>
      </c>
      <c r="G38" s="516">
        <v>42508.0</v>
      </c>
      <c r="H38" s="516">
        <v>42511.0</v>
      </c>
      <c r="I38" s="433" t="s">
        <v>166</v>
      </c>
    </row>
    <row r="39">
      <c r="B39" s="432" t="s">
        <v>673</v>
      </c>
      <c r="C39" s="515" t="s">
        <v>177</v>
      </c>
      <c r="D39" s="411" t="str">
        <f>HYPERLINK("https://www.reddit.com/r/RMTK/comments/4jcah4/w0036_wetswijziging_tot_opzegging_lidmaatschap/","Wetswijziging tot opzegging lidmaatschap NAVO")</f>
        <v>Wetswijziging tot opzegging lidmaatschap NAVO</v>
      </c>
      <c r="E39" s="516">
        <v>42504.0</v>
      </c>
      <c r="F39" s="517">
        <f t="shared" si="3"/>
        <v>42507</v>
      </c>
      <c r="G39" s="517"/>
      <c r="H39" s="517"/>
      <c r="I39" s="433" t="s">
        <v>162</v>
      </c>
    </row>
    <row r="40">
      <c r="B40" s="427" t="s">
        <v>674</v>
      </c>
      <c r="C40" s="512" t="s">
        <v>152</v>
      </c>
      <c r="D40" s="525" t="str">
        <f>HYPERLINK("https://www.reddit.com/r/RMTK/comments/4lqtms/w0037_wetsvoorstel_uitbreiding_lijst_softdrugs/","Wetsvoorstel Uitbreiding lijst Softdrugs")</f>
        <v>Wetsvoorstel Uitbreiding lijst Softdrugs</v>
      </c>
      <c r="E40" s="526">
        <v>42521.0</v>
      </c>
      <c r="F40" s="513">
        <v>42523.0</v>
      </c>
      <c r="G40" s="514"/>
      <c r="H40" s="514"/>
      <c r="I40" s="430" t="s">
        <v>166</v>
      </c>
      <c r="J40" s="527" t="s">
        <v>675</v>
      </c>
    </row>
    <row r="41">
      <c r="A41" s="528" t="s">
        <v>288</v>
      </c>
      <c r="B41" s="432" t="s">
        <v>676</v>
      </c>
      <c r="C41" s="515" t="s">
        <v>165</v>
      </c>
      <c r="D41" s="410" t="str">
        <f>HYPERLINK("https://www.reddit.com/r/RMTK/comments/4qgqp2/w0038_voorstel_van_wijziging_van_de_grondwet/","Voorstel van wijzinging van de grondwet betreffende de verkiezingen van de Secretaris Generaal")</f>
        <v>Voorstel van wijzinging van de grondwet betreffende de verkiezingen van de Secretaris Generaal</v>
      </c>
      <c r="E41" s="516">
        <v>42550.0</v>
      </c>
      <c r="F41" s="517">
        <f t="shared" ref="F41:F43" si="4">E41+3</f>
        <v>42553</v>
      </c>
      <c r="G41" s="517"/>
      <c r="H41" s="517"/>
      <c r="I41" s="433" t="s">
        <v>170</v>
      </c>
    </row>
    <row r="42">
      <c r="B42" s="432" t="s">
        <v>677</v>
      </c>
      <c r="C42" s="515" t="s">
        <v>165</v>
      </c>
      <c r="D42" s="408" t="s">
        <v>678</v>
      </c>
      <c r="E42" s="516">
        <v>42552.0</v>
      </c>
      <c r="F42" s="517">
        <f t="shared" si="4"/>
        <v>42555</v>
      </c>
      <c r="G42" s="517"/>
      <c r="H42" s="517"/>
      <c r="I42" s="377" t="s">
        <v>622</v>
      </c>
      <c r="J42" s="406"/>
    </row>
    <row r="43">
      <c r="B43" s="432" t="s">
        <v>679</v>
      </c>
      <c r="C43" s="515" t="s">
        <v>152</v>
      </c>
      <c r="D43" s="410" t="str">
        <f>HYPERLINK("https://www.reddit.com/r/RMTK/comments/4qpuy9/w0040_rmtk_grondwetswijziging_hervorming/","Grondwetswijziging Hervorming Verkiezingen Secretaris-Generaal")</f>
        <v>Grondwetswijziging Hervorming Verkiezingen Secretaris-Generaal</v>
      </c>
      <c r="E43" s="516">
        <v>42552.0</v>
      </c>
      <c r="F43" s="517">
        <f t="shared" si="4"/>
        <v>42555</v>
      </c>
      <c r="G43" s="517"/>
      <c r="H43" s="517"/>
      <c r="I43" s="433" t="s">
        <v>162</v>
      </c>
    </row>
    <row r="44">
      <c r="B44" s="432" t="s">
        <v>680</v>
      </c>
      <c r="C44" s="515" t="s">
        <v>165</v>
      </c>
      <c r="D44" s="410" t="str">
        <f>HYPERLINK("https://www.reddit.com/r/RMTK/comments/4sc767/w0041_wijziging_van_de_rmtk_grondwet_omtrent/","Wijziging van de RMTK-grondwet omtrent RMTK-grondwetswijzigingen door de Staten-Generaal")</f>
        <v>Wijziging van de RMTK-grondwet omtrent RMTK-grondwetswijzigingen door de Staten-Generaal</v>
      </c>
      <c r="E44" s="516">
        <v>42561.0</v>
      </c>
      <c r="F44" s="516">
        <v>42565.0</v>
      </c>
      <c r="G44" s="517"/>
      <c r="H44" s="517"/>
      <c r="I44" s="433" t="s">
        <v>166</v>
      </c>
    </row>
    <row r="45">
      <c r="B45" s="432" t="s">
        <v>681</v>
      </c>
      <c r="C45" s="515" t="s">
        <v>152</v>
      </c>
      <c r="D45" s="411" t="str">
        <f>HYPERLINK("https://www.reddit.com/r/RMTK/comments/4snjjh/w0042_wetsvoorstel_wijziging_investeringseis/","Wetsvoorstel Wijziging Investeringseis Verblijfsvergunning")</f>
        <v>Wetsvoorstel Wijziging Investeringseis Verblijfsvergunning</v>
      </c>
      <c r="E45" s="516">
        <v>42564.0</v>
      </c>
      <c r="F45" s="517">
        <f>E45+3</f>
        <v>42567</v>
      </c>
      <c r="G45" s="517"/>
      <c r="H45" s="517"/>
      <c r="I45" s="433" t="s">
        <v>166</v>
      </c>
    </row>
    <row r="46">
      <c r="B46" s="432" t="s">
        <v>682</v>
      </c>
      <c r="C46" s="515" t="s">
        <v>683</v>
      </c>
      <c r="D46" s="411" t="str">
        <f>HYPERLINK("https://www.reddit.com/r/RMTK/comments/4tgw7x/w0043_wet_tot_wijziging_van_het_wetboek_van/","Wet tot wijziging van het Wetboek van Strafrecht ter variabilisering van de seksuele meerderjarigheidsgrens")</f>
        <v>Wet tot wijziging van het Wetboek van Strafrecht ter variabilisering van de seksuele meerderjarigheidsgrens</v>
      </c>
      <c r="E46" s="516">
        <v>42569.0</v>
      </c>
      <c r="F46" s="516">
        <v>42572.0</v>
      </c>
      <c r="G46" s="517"/>
      <c r="H46" s="517"/>
      <c r="I46" s="433" t="s">
        <v>166</v>
      </c>
    </row>
    <row r="47">
      <c r="B47" s="432" t="s">
        <v>684</v>
      </c>
      <c r="C47" s="515" t="s">
        <v>200</v>
      </c>
      <c r="D47" s="411" t="str">
        <f>HYPERLINK("https://www.reddit.com/r/RMTK/comments/4z1sbq/w0044_wetswijziging_tot_herinvoering/","Wetswijziging tot herinvoering kinderbijslag minderjarigen op beroepsonderwijs en hoger onderwijs")</f>
        <v>Wetswijziging tot herinvoering kinderbijslag minderjarigen op beroepsonderwijs en hoger onderwijs</v>
      </c>
      <c r="E47" s="516">
        <v>42604.0</v>
      </c>
      <c r="F47" s="516">
        <v>42607.0</v>
      </c>
      <c r="G47" s="517"/>
      <c r="H47" s="517"/>
      <c r="I47" s="433" t="s">
        <v>166</v>
      </c>
    </row>
    <row r="48">
      <c r="B48" s="432" t="s">
        <v>685</v>
      </c>
      <c r="C48" s="515" t="s">
        <v>152</v>
      </c>
      <c r="D48" s="410" t="str">
        <f>HYPERLINK("https://www.reddit.com/r/RMTK/comments/505tnt/w0045_grondwetswijziging_met_betrekking_tot/","Grondwetswijziging met betrekking tot voorkeursstemmen")</f>
        <v>Grondwetswijziging met betrekking tot voorkeursstemmen</v>
      </c>
      <c r="E48" s="516">
        <v>42611.0</v>
      </c>
      <c r="F48" s="516">
        <v>42614.0</v>
      </c>
      <c r="G48" s="517"/>
      <c r="H48" s="517"/>
      <c r="I48" s="433" t="s">
        <v>166</v>
      </c>
    </row>
    <row r="49">
      <c r="A49" s="528" t="s">
        <v>327</v>
      </c>
      <c r="B49" s="518" t="s">
        <v>686</v>
      </c>
      <c r="C49" s="529" t="s">
        <v>290</v>
      </c>
      <c r="D49" s="520" t="str">
        <f>HYPERLINK("https://www.reddit.com/r/RMTK/comments/575ip1/w0046_wetsvoorstel_tot_erkenning_suikerfeest_als/","Wetsvoorstel tot erkenning suikerfeest als nationale feestdag")</f>
        <v>Wetsvoorstel tot erkenning suikerfeest als nationale feestdag</v>
      </c>
      <c r="E49" s="521">
        <v>42655.0</v>
      </c>
      <c r="F49" s="521">
        <v>42658.0</v>
      </c>
      <c r="G49" s="522"/>
      <c r="H49" s="522"/>
      <c r="I49" s="523" t="s">
        <v>162</v>
      </c>
      <c r="J49" s="204"/>
    </row>
    <row r="50">
      <c r="B50" s="432" t="s">
        <v>687</v>
      </c>
      <c r="C50" s="515" t="s">
        <v>200</v>
      </c>
      <c r="D50" s="397" t="str">
        <f>HYPERLINK( "https://www.reddit.com/r/RMTK/comments/58bck0/w0047_wetswijziging_tot_verlaging_van_de/" , "Wetswijziging tot verlaging van de leeftijdsgrens van de huurtoeslag") </f>
        <v>Wetswijziging tot verlaging van de leeftijdsgrens van de huurtoeslag</v>
      </c>
      <c r="E50" s="516">
        <v>42662.0</v>
      </c>
      <c r="F50" s="516">
        <v>42665.0</v>
      </c>
      <c r="G50" s="517"/>
      <c r="H50" s="517"/>
      <c r="I50" s="433" t="s">
        <v>166</v>
      </c>
      <c r="J50" s="406"/>
    </row>
    <row r="51">
      <c r="B51" s="432" t="s">
        <v>688</v>
      </c>
      <c r="C51" s="515" t="s">
        <v>21</v>
      </c>
      <c r="D51" s="397" t="str">
        <f>HYPERLINK("https://www.reddit.com/r/RMTK/comments/58bcuc/w0048_vervanging_religieuze_algemeen_erkende/" , "Vervanging religieuze algemeen erkende feestdagen met speciale verlofdagen")</f>
        <v>Vervanging religieuze algemeen erkende feestdagen met speciale verlofdagen</v>
      </c>
      <c r="E51" s="516">
        <v>42662.0</v>
      </c>
      <c r="F51" s="516">
        <v>42665.0</v>
      </c>
      <c r="G51" s="517"/>
      <c r="H51" s="517"/>
      <c r="I51" s="433" t="s">
        <v>166</v>
      </c>
      <c r="J51" s="406"/>
    </row>
    <row r="52">
      <c r="B52" s="432" t="s">
        <v>689</v>
      </c>
      <c r="C52" s="515" t="s">
        <v>152</v>
      </c>
      <c r="D52" s="397" t="str">
        <f>HYPERLINK( "https://www.reddit.com/r/RMTK/comments/58nr8l/w0049_sanctieregeling_saudiarabi%C3%AB/" , "Sanctieregeling Saudi-Arabië" )</f>
        <v>Sanctieregeling Saudi-Arabië</v>
      </c>
      <c r="E52" s="516">
        <v>42664.0</v>
      </c>
      <c r="F52" s="516">
        <v>42667.0</v>
      </c>
      <c r="G52" s="517"/>
      <c r="H52" s="517"/>
      <c r="I52" s="433" t="s">
        <v>166</v>
      </c>
      <c r="J52" s="406"/>
    </row>
    <row r="53">
      <c r="B53" s="432" t="s">
        <v>690</v>
      </c>
      <c r="C53" s="515" t="s">
        <v>337</v>
      </c>
      <c r="D53" s="397" t="str">
        <f>HYPERLINK("https://www.reddit.com/r/RMTK/comments/595kw0/w0050_wetsvoorstel_tot_herinvoering_amsterdamse/","Wetsvoorstel tot herinvoering Amsterdamse Tijd")</f>
        <v>Wetsvoorstel tot herinvoering Amsterdamse Tijd</v>
      </c>
      <c r="E53" s="516">
        <v>42667.0</v>
      </c>
      <c r="F53" s="516">
        <v>42670.0</v>
      </c>
      <c r="G53" s="517"/>
      <c r="H53" s="517"/>
      <c r="I53" s="433" t="s">
        <v>162</v>
      </c>
      <c r="J53" s="406"/>
    </row>
    <row r="54">
      <c r="B54" s="432" t="s">
        <v>691</v>
      </c>
      <c r="C54" s="515" t="s">
        <v>174</v>
      </c>
      <c r="D54" s="397" t="str">
        <f>HYPERLINK("https://www.reddit.com/r/RMTK/comments/59uyxo/w0051_wet_tot_wijziging_van_de_vreemdelingenwet/" , "Wet tot Wijziging van de Vreemdelingenwet 2016 in verband met de strafbaarstelling van illegaal verblijf van vreemdelingen in Nederland")</f>
        <v>Wet tot Wijziging van de Vreemdelingenwet 2016 in verband met de strafbaarstelling van illegaal verblijf van vreemdelingen in Nederland</v>
      </c>
      <c r="E54" s="516">
        <v>42671.0</v>
      </c>
      <c r="F54" s="516">
        <v>42674.0</v>
      </c>
      <c r="G54" s="517"/>
      <c r="H54" s="517"/>
      <c r="I54" s="433" t="s">
        <v>162</v>
      </c>
    </row>
    <row r="55">
      <c r="B55" s="432" t="s">
        <v>692</v>
      </c>
      <c r="C55" s="515" t="s">
        <v>152</v>
      </c>
      <c r="D55" s="530" t="str">
        <f>HYPERLINK("https://www.reddit.com/r/RMTK/comments/5ars54/w0052_wet_tot_aanpassing_fiscale_behandeling/" , "Wet tot aanpassing fiscale behandeling eigen woning 2017")</f>
        <v>Wet tot aanpassing fiscale behandeling eigen woning 2017</v>
      </c>
      <c r="E55" s="516">
        <v>42676.0</v>
      </c>
      <c r="F55" s="516">
        <v>42679.0</v>
      </c>
      <c r="G55" s="517"/>
      <c r="H55" s="517"/>
      <c r="I55" s="433" t="s">
        <v>166</v>
      </c>
      <c r="J55" s="406"/>
    </row>
    <row r="56">
      <c r="B56" s="432" t="s">
        <v>693</v>
      </c>
      <c r="C56" s="515" t="s">
        <v>152</v>
      </c>
      <c r="D56" s="530" t="str">
        <f>HYPERLINK("https://www.reddit.com/r/RMTK/comments/5bn64h/w0053_wet_tot_fiscale_vereenvoudiging/" , "Wet tot Fiscale Vereenvoudiging")</f>
        <v>Wet tot Fiscale Vereenvoudiging</v>
      </c>
      <c r="E56" s="516">
        <v>42681.0</v>
      </c>
      <c r="F56" s="516">
        <v>42650.0</v>
      </c>
      <c r="G56" s="517"/>
      <c r="H56" s="517"/>
      <c r="I56" s="433" t="s">
        <v>162</v>
      </c>
    </row>
    <row r="57">
      <c r="B57" s="432" t="s">
        <v>694</v>
      </c>
      <c r="C57" s="515" t="s">
        <v>152</v>
      </c>
      <c r="D57" s="530" t="str">
        <f>HYPERLINK("https://www.reddit.com/r/RMTK/comments/5c374e/w0054_wet_tot_het_mogelijk_maken_van_een_bindend/" , "Wet tot het mogelijk maken van een Bindend Referendum ")</f>
        <v>Wet tot het mogelijk maken van een Bindend Referendum </v>
      </c>
      <c r="E57" s="516">
        <v>42683.0</v>
      </c>
      <c r="F57" s="516">
        <v>42686.0</v>
      </c>
      <c r="G57" s="517"/>
      <c r="H57" s="517"/>
      <c r="I57" s="433" t="s">
        <v>162</v>
      </c>
    </row>
    <row r="58">
      <c r="B58" s="432" t="s">
        <v>695</v>
      </c>
      <c r="C58" s="515" t="s">
        <v>21</v>
      </c>
      <c r="D58" s="530" t="str">
        <f>HYPERLINK("https://www.reddit.com/r/RMTK/comments/5cfthw/w0055_wet_tot_gedeeltelijke_ongedaanmaking/" , "Wet tot gedeeltelijke ongedaanmaking wetswijziging W0025")</f>
        <v>Wet tot gedeeltelijke ongedaanmaking wetswijziging W0025</v>
      </c>
      <c r="E58" s="516">
        <v>42685.0</v>
      </c>
      <c r="F58" s="516">
        <v>42688.0</v>
      </c>
      <c r="G58" s="517"/>
      <c r="H58" s="517"/>
      <c r="I58" s="433" t="s">
        <v>166</v>
      </c>
    </row>
    <row r="59">
      <c r="B59" s="432" t="s">
        <v>696</v>
      </c>
      <c r="C59" s="515" t="s">
        <v>152</v>
      </c>
      <c r="D59" s="408" t="str">
        <f>HYPERLINK("https://www.reddit.com/r/RMTK/comments/5cxk64/w0056_grondwetswijziging_strekkende_tot_het/", "Grondwetswijziging strekkende tot het opnemen van de rechtstreekse verkiezing van de burgemeester")</f>
        <v>Grondwetswijziging strekkende tot het opnemen van de rechtstreekse verkiezing van de burgemeester</v>
      </c>
      <c r="E59" s="516">
        <v>42688.0</v>
      </c>
      <c r="F59" s="516">
        <v>42691.0</v>
      </c>
      <c r="G59" s="517"/>
      <c r="H59" s="517"/>
      <c r="I59" s="433" t="s">
        <v>166</v>
      </c>
    </row>
    <row r="60">
      <c r="B60" s="432" t="s">
        <v>697</v>
      </c>
      <c r="C60" s="515" t="s">
        <v>152</v>
      </c>
      <c r="D60" s="397" t="str">
        <f>HYPERLINK("https://www.reddit.com/r/RMTK/comments/5e527f/w0057_wet_financi%C3%ABle_stimulans_vaccinaties/","Wet Financiele Stimulans Vaccinaties")</f>
        <v>Wet Financiele Stimulans Vaccinaties</v>
      </c>
      <c r="E60" s="516">
        <v>42695.0</v>
      </c>
      <c r="F60" s="516">
        <v>42698.0</v>
      </c>
      <c r="G60" s="517"/>
      <c r="H60" s="517"/>
      <c r="I60" s="433" t="s">
        <v>162</v>
      </c>
    </row>
    <row r="61">
      <c r="B61" s="432" t="s">
        <v>698</v>
      </c>
      <c r="C61" s="515" t="s">
        <v>152</v>
      </c>
      <c r="D61" s="397" t="str">
        <f>HYPERLINK("https://www.reddit.com/r/RMTK/comments/5ep4c0/w0058_defensienota_rmtk_en_wet_tot_invulling/","Defensienota RMTK en Wet tot invulling Defensiefonds in het tijdspad 2017-2021")</f>
        <v>Defensienota RMTK en Wet tot invulling Defensiefonds in het tijdspad 2017-2021</v>
      </c>
      <c r="E61" s="516">
        <v>42698.0</v>
      </c>
      <c r="F61" s="516">
        <v>42701.0</v>
      </c>
      <c r="G61" s="517"/>
      <c r="H61" s="517"/>
      <c r="I61" s="433" t="s">
        <v>166</v>
      </c>
    </row>
    <row r="62">
      <c r="A62" s="390"/>
      <c r="B62" s="427" t="s">
        <v>699</v>
      </c>
      <c r="C62" s="428" t="s">
        <v>290</v>
      </c>
      <c r="D62" s="429" t="str">
        <f>(HYPERLINK("https://www.reddit.com/r/RMTK/comments/5fdg4z/w0058_wet_ter_erkenning_van_de_nederlandse/","Wet ter Erkenning van de Nederlandse Gebarentaal"))</f>
        <v>Wet ter Erkenning van de Nederlandse Gebarentaal</v>
      </c>
      <c r="E62" s="513">
        <v>42702.0</v>
      </c>
      <c r="F62" s="513">
        <v>42705.0</v>
      </c>
      <c r="G62" s="514"/>
      <c r="H62" s="514"/>
      <c r="I62" s="430" t="s">
        <v>166</v>
      </c>
      <c r="J62" s="65"/>
    </row>
    <row r="63">
      <c r="A63" s="431" t="s">
        <v>359</v>
      </c>
      <c r="B63" s="432" t="s">
        <v>700</v>
      </c>
      <c r="C63" s="512" t="s">
        <v>165</v>
      </c>
      <c r="D63" s="408" t="str">
        <f>HYPERLINK("https://www.reddit.com/r/RMTK/comments/5h1s76/w0059_grondwetswijziging_betreffende_verkiezing/","Grondwetswijziging betreffende verkiezing via voorkeursstemmen")</f>
        <v>Grondwetswijziging betreffende verkiezing via voorkeursstemmen</v>
      </c>
      <c r="E63" s="516">
        <v>42711.0</v>
      </c>
      <c r="F63" s="516">
        <v>42714.0</v>
      </c>
      <c r="G63" s="517"/>
      <c r="H63" s="517"/>
      <c r="I63" s="433" t="s">
        <v>162</v>
      </c>
    </row>
    <row r="64">
      <c r="B64" s="432" t="s">
        <v>701</v>
      </c>
      <c r="C64" s="515" t="s">
        <v>152</v>
      </c>
      <c r="D64" s="397" t="str">
        <f>HYPERLINK("https://www.reddit.com/r/RMTK/comments/5hgrza/w0060_wet_invoering_van_optin_systeem_voor/","Wet tot invoering van opt-in systeem en mogelijkheid van vrouwen voor militaire dienst")</f>
        <v>Wet tot invoering van opt-in systeem en mogelijkheid van vrouwen voor militaire dienst</v>
      </c>
      <c r="E64" s="516">
        <v>42713.0</v>
      </c>
      <c r="F64" s="516">
        <v>42716.0</v>
      </c>
      <c r="G64" s="517"/>
      <c r="H64" s="517"/>
      <c r="I64" s="433" t="s">
        <v>162</v>
      </c>
    </row>
    <row r="65">
      <c r="B65" s="432" t="s">
        <v>702</v>
      </c>
      <c r="C65" s="515" t="s">
        <v>152</v>
      </c>
      <c r="D65" s="397" t="str">
        <f>HYPERLINK("https://www.reddit.com/r/RMTK/comments/5hgsd9/w0061_wetswijziging_tot_stemming_goedkeuring/","Wetswijziging tot stemming goedkeuring verdragen EU")</f>
        <v>Wetswijziging tot stemming goedkeuring verdragen EU</v>
      </c>
      <c r="E65" s="516">
        <v>42713.0</v>
      </c>
      <c r="F65" s="516">
        <v>42716.0</v>
      </c>
      <c r="G65" s="517"/>
      <c r="H65" s="517"/>
      <c r="I65" s="433" t="s">
        <v>162</v>
      </c>
    </row>
    <row r="66">
      <c r="B66" s="432" t="s">
        <v>703</v>
      </c>
      <c r="C66" s="512" t="s">
        <v>165</v>
      </c>
      <c r="D66" s="408" t="str">
        <f>HYPERLINK("https://www.reddit.com/r/RMTK/comments/5hypwk/w0062_grondwetswijziging_aangaande_de_motie_van/","Grondwetswijziging aangaande de Motie van Wantrouwen ")</f>
        <v>Grondwetswijziging aangaande de Motie van Wantrouwen </v>
      </c>
      <c r="E66" s="516">
        <v>42716.0</v>
      </c>
      <c r="F66" s="516">
        <v>42719.0</v>
      </c>
      <c r="G66" s="517"/>
      <c r="H66" s="517"/>
      <c r="I66" s="433" t="s">
        <v>162</v>
      </c>
    </row>
    <row r="67">
      <c r="B67" s="432" t="s">
        <v>704</v>
      </c>
      <c r="C67" s="512" t="s">
        <v>165</v>
      </c>
      <c r="D67" s="408" t="str">
        <f>HYPERLINK("https://www.reddit.com/r/RMTK/comments/5hyq6s/w0063_grondwetswijziging_betreffende_de/","Grondwetswijziging betreffende de vice-voorzitters")</f>
        <v>Grondwetswijziging betreffende de vice-voorzitters</v>
      </c>
      <c r="E67" s="516">
        <v>42716.0</v>
      </c>
      <c r="F67" s="516">
        <v>42719.0</v>
      </c>
      <c r="G67" s="517"/>
      <c r="H67" s="517"/>
      <c r="I67" s="433" t="s">
        <v>162</v>
      </c>
    </row>
    <row r="68">
      <c r="B68" s="432" t="s">
        <v>705</v>
      </c>
      <c r="C68" s="515" t="s">
        <v>174</v>
      </c>
      <c r="D68" s="408" t="str">
        <f>HYPERLINK("https://www.reddit.com/r/RMTK/comments/5iat44/w0064vrijheid_van_meningsuitingswet_2016/","Grondwetswijziging ter versteviging van de vrijheid van meningsuiting")</f>
        <v>Grondwetswijziging ter versteviging van de vrijheid van meningsuiting</v>
      </c>
      <c r="E68" s="516">
        <v>42718.0</v>
      </c>
      <c r="F68" s="516">
        <v>42721.0</v>
      </c>
      <c r="G68" s="517"/>
      <c r="H68" s="517"/>
      <c r="I68" s="433" t="s">
        <v>162</v>
      </c>
    </row>
    <row r="69">
      <c r="B69" s="432" t="s">
        <v>706</v>
      </c>
      <c r="C69" s="512" t="s">
        <v>165</v>
      </c>
      <c r="D69" s="408" t="str">
        <f>HYPERLINK("https://www.reddit.com/r/RMTK/comments/5iasos/w0065_grondwetswijziging_meerderheid_voor_motie/","Grondwetswijziging betreffende de benodigde meerderheid voor een Motie van Vertrouwen")</f>
        <v>Grondwetswijziging betreffende de benodigde meerderheid voor een Motie van Vertrouwen</v>
      </c>
      <c r="E69" s="516">
        <v>42719.0</v>
      </c>
      <c r="F69" s="516">
        <v>42721.0</v>
      </c>
      <c r="G69" s="517"/>
      <c r="H69" s="517"/>
      <c r="I69" s="433" t="s">
        <v>162</v>
      </c>
    </row>
    <row r="70">
      <c r="B70" s="432" t="s">
        <v>707</v>
      </c>
      <c r="C70" s="515" t="s">
        <v>200</v>
      </c>
      <c r="D70" s="397" t="str">
        <f>HYPERLINK("https://www.reddit.com/r/RMTK/comments/5iq1uu/w0066_wet_tot_wijziging_van_de_telecommunicatiewet/","Wet tot wijziging van de Telecommunicatiewet")</f>
        <v>Wet tot wijziging van de Telecommunicatiewet</v>
      </c>
      <c r="E70" s="516">
        <v>42720.0</v>
      </c>
      <c r="F70" s="516">
        <v>42723.0</v>
      </c>
      <c r="G70" s="517"/>
      <c r="H70" s="517"/>
      <c r="I70" s="433" t="s">
        <v>166</v>
      </c>
    </row>
    <row r="71">
      <c r="B71" s="432" t="s">
        <v>708</v>
      </c>
      <c r="C71" s="512" t="s">
        <v>165</v>
      </c>
      <c r="D71" s="408" t="str">
        <f>HYPERLINK("https://www.reddit.com/r/RMTK/comments/5iq20g/w0067_grondwetswijziging_betreffende_rmgw/","Grondwetswijziging betreffende RMGW")</f>
        <v>Grondwetswijziging betreffende RMGW</v>
      </c>
      <c r="E71" s="516">
        <v>42721.0</v>
      </c>
      <c r="F71" s="516">
        <v>42723.0</v>
      </c>
      <c r="G71" s="517"/>
      <c r="H71" s="517"/>
      <c r="I71" s="433" t="s">
        <v>162</v>
      </c>
    </row>
    <row r="72">
      <c r="B72" s="432" t="s">
        <v>709</v>
      </c>
      <c r="C72" s="512" t="s">
        <v>165</v>
      </c>
      <c r="D72" s="408" t="str">
        <f>HYPERLINK("https://www.reddit.com/r/RMTK/comments/5j7kfz/w0068_grondwetswijziging_betreffende_de_moderators/","Grondwetswijziging betreffende de Moderators")</f>
        <v>Grondwetswijziging betreffende de Moderators</v>
      </c>
      <c r="E72" s="516">
        <v>42723.0</v>
      </c>
      <c r="F72" s="516">
        <v>42726.0</v>
      </c>
      <c r="G72" s="517"/>
      <c r="H72" s="517"/>
      <c r="I72" s="433" t="s">
        <v>170</v>
      </c>
      <c r="J72" s="406"/>
    </row>
    <row r="73">
      <c r="B73" s="432" t="s">
        <v>710</v>
      </c>
      <c r="C73" s="515" t="s">
        <v>21</v>
      </c>
      <c r="D73" s="408" t="str">
        <f>HYPERLINK("https://www.reddit.com/r/RMTK/comments/5j7q5t/w0069_wetsvoorstel_tot_wijziging_van_de_grondwet/","Grondwetswijziging betreffende grondwetswjizigingen")</f>
        <v>Grondwetswijziging betreffende grondwetswjizigingen</v>
      </c>
      <c r="E73" s="516">
        <v>42724.0</v>
      </c>
      <c r="F73" s="516">
        <v>42726.0</v>
      </c>
      <c r="G73" s="517"/>
      <c r="H73" s="517"/>
      <c r="I73" s="377" t="s">
        <v>622</v>
      </c>
      <c r="J73" s="406" t="s">
        <v>711</v>
      </c>
    </row>
    <row r="74">
      <c r="B74" s="432" t="s">
        <v>712</v>
      </c>
      <c r="C74" s="515" t="s">
        <v>152</v>
      </c>
      <c r="D74" s="397" t="str">
        <f>HYPERLINK("https://www.reddit.com/r/RMTK/comments/5jls9k/w0070_wet_op_de_landwaardebelasting_en_wijziging/","Wet op de Landwaardebelasting")</f>
        <v>Wet op de Landwaardebelasting</v>
      </c>
      <c r="E74" s="516">
        <v>42725.0</v>
      </c>
      <c r="F74" s="516">
        <v>42728.0</v>
      </c>
      <c r="G74" s="517"/>
      <c r="H74" s="517"/>
      <c r="I74" s="433" t="s">
        <v>166</v>
      </c>
    </row>
    <row r="75">
      <c r="B75" s="432" t="s">
        <v>713</v>
      </c>
      <c r="C75" s="512" t="s">
        <v>165</v>
      </c>
      <c r="D75" s="408" t="str">
        <f>HYPERLINK("https://www.reddit.com/r/RMTK/comments/5jlsig/w0071_wetsvoorstel_ter_grondwetswijziging/","Grondwetswijziging Zetelverdeling")</f>
        <v>Grondwetswijziging Zetelverdeling</v>
      </c>
      <c r="E75" s="516">
        <v>42726.0</v>
      </c>
      <c r="F75" s="516">
        <v>42728.0</v>
      </c>
      <c r="G75" s="517"/>
      <c r="H75" s="517"/>
      <c r="I75" s="433" t="s">
        <v>170</v>
      </c>
    </row>
    <row r="76">
      <c r="B76" s="432" t="s">
        <v>714</v>
      </c>
      <c r="C76" s="512" t="s">
        <v>165</v>
      </c>
      <c r="D76" s="408" t="str">
        <f>HYPERLINK("https://www.reddit.com/r/RMTK/comments/5jyjrl/w0072_wetsvoorstel_ter_wijziging_van_de_grondwet/","Grondwetswijziging betreffende het aantekenen van beroep tegen acties van het moderatorteam")</f>
        <v>Grondwetswijziging betreffende het aantekenen van beroep tegen acties van het moderatorteam</v>
      </c>
      <c r="E76" s="516">
        <v>42729.0</v>
      </c>
      <c r="F76" s="516">
        <v>42732.0</v>
      </c>
      <c r="G76" s="517"/>
      <c r="H76" s="517"/>
      <c r="I76" s="433" t="s">
        <v>162</v>
      </c>
      <c r="J76" s="406"/>
    </row>
    <row r="77">
      <c r="B77" s="432" t="s">
        <v>715</v>
      </c>
      <c r="C77" s="515" t="s">
        <v>12</v>
      </c>
      <c r="D77" s="397" t="str">
        <f>HYPERLINK("https://www.reddit.com/r/RMTK/comments/5jyk3i/w0073_wetsvoorstel_ter_hervorming_grondwet/","Grondwetswijziging Hoofdstuk Rechtspraak")</f>
        <v>Grondwetswijziging Hoofdstuk Rechtspraak</v>
      </c>
      <c r="E77" s="516">
        <v>42730.0</v>
      </c>
      <c r="F77" s="516">
        <v>42732.0</v>
      </c>
      <c r="G77" s="517"/>
      <c r="H77" s="517"/>
      <c r="I77" s="531" t="s">
        <v>162</v>
      </c>
    </row>
    <row r="78">
      <c r="B78" s="432" t="s">
        <v>716</v>
      </c>
      <c r="C78" s="515" t="s">
        <v>152</v>
      </c>
      <c r="D78" s="397" t="str">
        <f>HYPERLINK("https://www.reddit.com/r/RMTK/comments/5n09zv/w0074_wijziging_van_de_wet_op_de/","Wijziging van de Wet op de Vennootschapsbelasting 1969")</f>
        <v>Wijziging van de Wet op de Vennootschapsbelasting 1969</v>
      </c>
      <c r="E78" s="516">
        <v>42744.0</v>
      </c>
      <c r="F78" s="516">
        <v>42747.0</v>
      </c>
      <c r="G78" s="517"/>
      <c r="H78" s="517"/>
      <c r="I78" s="433" t="s">
        <v>166</v>
      </c>
    </row>
    <row r="79">
      <c r="B79" s="432" t="s">
        <v>717</v>
      </c>
      <c r="C79" s="515" t="s">
        <v>152</v>
      </c>
      <c r="D79" s="397" t="str">
        <f>HYPERLINK("https://www.reddit.com/r/RMTK/comments/5oh5am/w0075_wet_tot_oprichting_luchtvaartfonds/","Wet tot oprichting Luchtvaartfonds")</f>
        <v>Wet tot oprichting Luchtvaartfonds</v>
      </c>
      <c r="E79" s="516">
        <v>42752.0</v>
      </c>
      <c r="F79" s="516">
        <v>42755.0</v>
      </c>
      <c r="G79" s="517"/>
      <c r="H79" s="517"/>
      <c r="I79" s="433" t="s">
        <v>166</v>
      </c>
    </row>
    <row r="80">
      <c r="B80" s="432" t="s">
        <v>718</v>
      </c>
      <c r="C80" s="515" t="s">
        <v>152</v>
      </c>
      <c r="D80" s="397" t="str">
        <f>HYPERLINK("https://www.reddit.com/r/RMTK/comments/5oqzys/w0076_wet_invoeren_staatscurriculum/","Wet invoeren Staatscurriculum")</f>
        <v>Wet invoeren Staatscurriculum</v>
      </c>
      <c r="E80" s="516">
        <v>42753.0</v>
      </c>
      <c r="F80" s="516">
        <v>42756.0</v>
      </c>
      <c r="G80" s="517"/>
      <c r="H80" s="517"/>
      <c r="I80" s="377" t="s">
        <v>170</v>
      </c>
      <c r="J80" s="532" t="s">
        <v>719</v>
      </c>
    </row>
    <row r="81">
      <c r="B81" s="432" t="s">
        <v>720</v>
      </c>
      <c r="C81" s="515" t="s">
        <v>152</v>
      </c>
      <c r="D81" s="397" t="str">
        <f>HYPERLINK("https://www.reddit.com/r/RMTK/comments/5or0pe/w0077_invoering_staatscurriculum_voortgezet/","Wet Invoering Staatscurriculum voortgezet onderwijs")</f>
        <v>Wet Invoering Staatscurriculum voortgezet onderwijs</v>
      </c>
      <c r="E81" s="516">
        <v>42754.0</v>
      </c>
      <c r="F81" s="516">
        <v>42757.0</v>
      </c>
      <c r="G81" s="517"/>
      <c r="H81" s="517"/>
      <c r="I81" s="377" t="s">
        <v>170</v>
      </c>
      <c r="J81" s="532" t="s">
        <v>719</v>
      </c>
    </row>
    <row r="82">
      <c r="B82" s="432" t="s">
        <v>721</v>
      </c>
      <c r="C82" s="515" t="s">
        <v>152</v>
      </c>
      <c r="D82" s="397" t="str">
        <f>HYPERLINK("https://www.reddit.com/r/RMTK/comments/5pq48m/w0078_vrijstelling_octrooien_van_universiteiten/","Vrijstelling octrooien van universiteiten")</f>
        <v>Vrijstelling octrooien van universiteiten</v>
      </c>
      <c r="E82" s="516">
        <v>42758.0</v>
      </c>
      <c r="F82" s="516">
        <v>42761.0</v>
      </c>
      <c r="G82" s="517"/>
      <c r="H82" s="517"/>
      <c r="I82" s="433" t="s">
        <v>166</v>
      </c>
    </row>
    <row r="83">
      <c r="B83" s="432" t="s">
        <v>722</v>
      </c>
      <c r="C83" s="515" t="s">
        <v>152</v>
      </c>
      <c r="D83" s="397" t="str">
        <f>HYPERLINK("https://www.reddit.com/r/RMTK/comments/5qbizg/w0079_ratificatie_vncharter/","Ratificatie VN-Charter")</f>
        <v>Ratificatie VN-Charter</v>
      </c>
      <c r="E83" s="516">
        <v>42761.0</v>
      </c>
      <c r="F83" s="516">
        <v>42764.0</v>
      </c>
      <c r="G83" s="517"/>
      <c r="H83" s="517"/>
      <c r="I83" s="433" t="s">
        <v>170</v>
      </c>
    </row>
    <row r="84">
      <c r="B84" s="432" t="s">
        <v>723</v>
      </c>
      <c r="C84" s="515" t="s">
        <v>290</v>
      </c>
      <c r="D84" s="397" t="str">
        <f>HYPERLINK("https://www.reddit.com/r/RMTK/comments/5u01ca/w0080_wet_ter_ontwikkeling_beleid_tot_het/","Wet ter ontwikkeling beleid tot het onomkeerbaar terugdringen emissies")</f>
        <v>Wet ter ontwikkeling beleid tot het onomkeerbaar terugdringen emissies</v>
      </c>
      <c r="E84" s="516">
        <v>42780.0</v>
      </c>
      <c r="F84" s="516">
        <v>42783.0</v>
      </c>
      <c r="G84" s="517"/>
      <c r="H84" s="517"/>
      <c r="I84" s="433" t="s">
        <v>166</v>
      </c>
    </row>
    <row r="85">
      <c r="B85" s="432" t="s">
        <v>724</v>
      </c>
      <c r="C85" s="515" t="s">
        <v>152</v>
      </c>
      <c r="D85" s="408" t="str">
        <f>HYPERLINK("https://www.reddit.com/r/RMTK/comments/5w0187/w0081_begrotingswet_2017/","Begrotingswet 2017")</f>
        <v>Begrotingswet 2017</v>
      </c>
      <c r="E85" s="516">
        <v>42790.0</v>
      </c>
      <c r="F85" s="516">
        <v>42793.0</v>
      </c>
      <c r="G85" s="517"/>
      <c r="H85" s="517"/>
      <c r="I85" s="433" t="s">
        <v>166</v>
      </c>
    </row>
    <row r="86">
      <c r="A86" s="533"/>
      <c r="B86" s="427" t="s">
        <v>725</v>
      </c>
      <c r="C86" s="515" t="s">
        <v>152</v>
      </c>
      <c r="D86" s="397" t="str">
        <f>hyperlink("https://www.reddit.com/r/RMTK/comments/639r5j/w0082_wet_tot_het_in_stand_brengen_van_een/","Wet tot het in stand brengen van een systeem voor het privaat sponsoren van asielzoekers")</f>
        <v>Wet tot het in stand brengen van een systeem voor het privaat sponsoren van asielzoekers</v>
      </c>
      <c r="E86" s="513">
        <v>42828.0</v>
      </c>
      <c r="F86" s="513">
        <f>E86+3</f>
        <v>42831</v>
      </c>
      <c r="G86" s="514"/>
      <c r="H86" s="514"/>
      <c r="I86" s="430" t="s">
        <v>170</v>
      </c>
    </row>
    <row r="87">
      <c r="A87" s="431" t="s">
        <v>389</v>
      </c>
      <c r="B87" s="432" t="s">
        <v>726</v>
      </c>
      <c r="C87" s="534" t="s">
        <v>21</v>
      </c>
      <c r="D87" s="535" t="str">
        <f>HYPERLINK("https://www.reddit.com/r/RMTK/comments/639uwq/w0083_wet_intrekking_wet_inburgering_2013/","Wet Intrekking Wet Inburgering 2013")</f>
        <v>Wet Intrekking Wet Inburgering 2013</v>
      </c>
      <c r="E87" s="516">
        <v>42828.0</v>
      </c>
      <c r="F87" s="517">
        <f t="shared" ref="F87:F93" si="5">E87+4</f>
        <v>42832</v>
      </c>
      <c r="G87" s="517"/>
      <c r="H87" s="517"/>
      <c r="I87" s="433" t="s">
        <v>166</v>
      </c>
      <c r="J87" s="204"/>
    </row>
    <row r="88">
      <c r="B88" s="432" t="s">
        <v>727</v>
      </c>
      <c r="C88" s="515" t="s">
        <v>21</v>
      </c>
      <c r="D88" s="411" t="str">
        <f>HYPERLINK("https://www.reddit.com/r/RMTK/comments/64mobq/w0084_wet_schrapping_wettelijke_grondslag/","Wet schrapping wettelijke grondslag diagnostische toets")</f>
        <v>Wet schrapping wettelijke grondslag diagnostische toets</v>
      </c>
      <c r="E88" s="516">
        <v>42835.0</v>
      </c>
      <c r="F88" s="517">
        <f t="shared" si="5"/>
        <v>42839</v>
      </c>
      <c r="I88" s="433" t="s">
        <v>166</v>
      </c>
      <c r="J88" s="406" t="s">
        <v>728</v>
      </c>
    </row>
    <row r="89">
      <c r="B89" s="432" t="s">
        <v>729</v>
      </c>
      <c r="C89" s="406" t="s">
        <v>152</v>
      </c>
      <c r="D89" s="411" t="str">
        <f>HYPERLINK("https://www.reddit.com/r/RMTK/comments/66ocas/w0085_wet_studentenov/","Wet Studenten-OV")</f>
        <v>Wet Studenten-OV</v>
      </c>
      <c r="E89" s="516">
        <v>42846.0</v>
      </c>
      <c r="F89" s="517">
        <f t="shared" si="5"/>
        <v>42850</v>
      </c>
      <c r="G89" s="516">
        <v>42863.0</v>
      </c>
      <c r="H89" s="536">
        <f>G89+4</f>
        <v>42867</v>
      </c>
      <c r="I89" s="433" t="s">
        <v>166</v>
      </c>
      <c r="J89" s="406"/>
    </row>
    <row r="90">
      <c r="B90" s="432" t="s">
        <v>730</v>
      </c>
      <c r="C90" s="515" t="s">
        <v>152</v>
      </c>
      <c r="D90" s="411" t="str">
        <f>HYPERLINK("https://www.reddit.com/r/RMTK/comments/67a3ql/w0086_wet_tot_wijziging_duur_arbeidscontracten/","Wet Tot Wijziging Duur Arbeidscontracten")</f>
        <v>Wet Tot Wijziging Duur Arbeidscontracten</v>
      </c>
      <c r="E90" s="516">
        <v>42849.0</v>
      </c>
      <c r="F90" s="517">
        <f t="shared" si="5"/>
        <v>42853</v>
      </c>
      <c r="G90" s="517"/>
      <c r="H90" s="517"/>
      <c r="I90" s="433" t="s">
        <v>166</v>
      </c>
    </row>
    <row r="91">
      <c r="B91" s="432" t="s">
        <v>731</v>
      </c>
      <c r="C91" s="515" t="s">
        <v>152</v>
      </c>
      <c r="D91" s="411" t="str">
        <f>HYPERLINK("https://www.reddit.com/r/RMTK/comments/6884zn/w0087_wet_wraakporno/","Wet Wraakporno")</f>
        <v>Wet Wraakporno</v>
      </c>
      <c r="E91" s="516">
        <v>42851.0</v>
      </c>
      <c r="F91" s="517">
        <f t="shared" si="5"/>
        <v>42855</v>
      </c>
      <c r="G91" s="517"/>
      <c r="H91" s="517"/>
      <c r="I91" s="433" t="s">
        <v>166</v>
      </c>
      <c r="J91" s="406"/>
    </row>
    <row r="92">
      <c r="B92" s="432" t="s">
        <v>732</v>
      </c>
      <c r="C92" s="515" t="s">
        <v>152</v>
      </c>
      <c r="D92" s="411" t="str">
        <f>HYPERLINK("https://www.reddit.com/r/RMTK/comments/68nmpw/w0088_wijziging_van_de_gemeentewet_ter/","Wet tot wijziging van de Gemeentewet ter bescherming van de privacy bij cameratoezicht")</f>
        <v>Wet tot wijziging van de Gemeentewet ter bescherming van de privacy bij cameratoezicht</v>
      </c>
      <c r="E92" s="516">
        <v>42856.0</v>
      </c>
      <c r="F92" s="517">
        <f t="shared" si="5"/>
        <v>42860</v>
      </c>
      <c r="G92" s="517"/>
      <c r="H92" s="517"/>
      <c r="I92" s="433" t="s">
        <v>166</v>
      </c>
    </row>
    <row r="93">
      <c r="B93" s="432" t="s">
        <v>733</v>
      </c>
      <c r="C93" s="515" t="s">
        <v>152</v>
      </c>
      <c r="D93" s="411" t="str">
        <f>HYPERLINK("https://www.reddit.com/r/RMTK/comments/691xi8/w0089_wetsvoorstel_herziening_levenslange/","Wetsvoorstel Herziening Levenslange Gevangenisstraf")</f>
        <v>Wetsvoorstel Herziening Levenslange Gevangenisstraf</v>
      </c>
      <c r="E93" s="516">
        <v>42858.0</v>
      </c>
      <c r="F93" s="517">
        <f t="shared" si="5"/>
        <v>42862</v>
      </c>
      <c r="G93" s="517"/>
      <c r="H93" s="517"/>
      <c r="I93" s="433" t="s">
        <v>166</v>
      </c>
    </row>
    <row r="94">
      <c r="B94" s="432" t="s">
        <v>734</v>
      </c>
      <c r="C94" s="515" t="s">
        <v>152</v>
      </c>
      <c r="D94" s="397" t="str">
        <f>HYPERLINK("https://www.reddit.com/r/RMTK/comments/6axuh6/w0090_wet_tot_het_intrekken_van_de_wetdba_2017/","Wet tot het intrekken van de Wet-DBA 2017")</f>
        <v>Wet tot het intrekken van de Wet-DBA 2017</v>
      </c>
      <c r="E94" s="516">
        <v>42868.0</v>
      </c>
      <c r="F94" s="516">
        <v>42871.0</v>
      </c>
      <c r="G94" s="517"/>
      <c r="H94" s="517"/>
      <c r="I94" s="433" t="s">
        <v>166</v>
      </c>
      <c r="J94" s="406"/>
    </row>
    <row r="95">
      <c r="A95" s="390"/>
      <c r="B95" s="427" t="s">
        <v>735</v>
      </c>
      <c r="C95" s="428" t="s">
        <v>23</v>
      </c>
      <c r="D95" s="525" t="str">
        <f>HYPERLINK("https://www.reddit.com/r/RMTK/comments/6c5ags/w0091_wet_transparantie_publieke_omroep_2017/","Wet transparantie publieke omroep 2017")</f>
        <v>Wet transparantie publieke omroep 2017</v>
      </c>
      <c r="E95" s="513">
        <v>42874.0</v>
      </c>
      <c r="F95" s="514">
        <f t="shared" ref="F95:F101" si="6">E95+4</f>
        <v>42878</v>
      </c>
      <c r="G95" s="514"/>
      <c r="H95" s="514"/>
      <c r="I95" s="430" t="s">
        <v>162</v>
      </c>
      <c r="J95" s="527"/>
    </row>
    <row r="96">
      <c r="A96" s="409" t="s">
        <v>432</v>
      </c>
      <c r="B96" s="432" t="s">
        <v>736</v>
      </c>
      <c r="C96" s="515" t="s">
        <v>152</v>
      </c>
      <c r="D96" s="397" t="s">
        <v>737</v>
      </c>
      <c r="E96" s="516">
        <v>42891.0</v>
      </c>
      <c r="F96" s="517">
        <f t="shared" si="6"/>
        <v>42895</v>
      </c>
      <c r="G96" s="517"/>
      <c r="H96" s="517"/>
      <c r="I96" s="433" t="s">
        <v>170</v>
      </c>
      <c r="J96" s="406" t="s">
        <v>738</v>
      </c>
    </row>
    <row r="97">
      <c r="B97" s="432" t="s">
        <v>739</v>
      </c>
      <c r="C97" s="515" t="s">
        <v>152</v>
      </c>
      <c r="D97" s="397" t="s">
        <v>740</v>
      </c>
      <c r="E97" s="516">
        <v>42893.0</v>
      </c>
      <c r="F97" s="517">
        <f t="shared" si="6"/>
        <v>42897</v>
      </c>
      <c r="G97" s="517"/>
      <c r="H97" s="517"/>
      <c r="I97" s="433" t="s">
        <v>170</v>
      </c>
      <c r="J97" s="406" t="s">
        <v>738</v>
      </c>
    </row>
    <row r="98">
      <c r="B98" s="432" t="s">
        <v>741</v>
      </c>
      <c r="C98" s="515" t="s">
        <v>152</v>
      </c>
      <c r="D98" s="397" t="s">
        <v>742</v>
      </c>
      <c r="E98" s="516">
        <v>42895.0</v>
      </c>
      <c r="F98" s="517">
        <f t="shared" si="6"/>
        <v>42899</v>
      </c>
      <c r="G98" s="517"/>
      <c r="H98" s="517"/>
      <c r="I98" s="433" t="s">
        <v>166</v>
      </c>
    </row>
    <row r="99">
      <c r="B99" s="432" t="s">
        <v>743</v>
      </c>
      <c r="C99" s="515" t="s">
        <v>152</v>
      </c>
      <c r="D99" s="397" t="s">
        <v>740</v>
      </c>
      <c r="E99" s="516">
        <v>42898.0</v>
      </c>
      <c r="F99" s="517">
        <f t="shared" si="6"/>
        <v>42902</v>
      </c>
      <c r="G99" s="517"/>
      <c r="H99" s="517"/>
      <c r="I99" s="433" t="s">
        <v>162</v>
      </c>
    </row>
    <row r="100">
      <c r="B100" s="432" t="s">
        <v>744</v>
      </c>
      <c r="C100" s="515" t="s">
        <v>152</v>
      </c>
      <c r="D100" s="397" t="s">
        <v>745</v>
      </c>
      <c r="E100" s="516">
        <v>42909.0</v>
      </c>
      <c r="F100" s="517">
        <f t="shared" si="6"/>
        <v>42913</v>
      </c>
      <c r="G100" s="517"/>
      <c r="H100" s="517"/>
      <c r="I100" s="433" t="s">
        <v>166</v>
      </c>
    </row>
    <row r="101">
      <c r="B101" s="432" t="s">
        <v>746</v>
      </c>
      <c r="C101" s="515" t="s">
        <v>12</v>
      </c>
      <c r="D101" s="397" t="s">
        <v>747</v>
      </c>
      <c r="E101" s="516">
        <v>42916.0</v>
      </c>
      <c r="F101" s="517">
        <f t="shared" si="6"/>
        <v>42920</v>
      </c>
      <c r="G101" s="517"/>
      <c r="H101" s="517"/>
      <c r="I101" s="433" t="s">
        <v>162</v>
      </c>
      <c r="J101" s="406" t="s">
        <v>748</v>
      </c>
    </row>
    <row r="102">
      <c r="B102" s="432" t="s">
        <v>749</v>
      </c>
      <c r="C102" s="515" t="s">
        <v>23</v>
      </c>
      <c r="D102" s="397" t="s">
        <v>750</v>
      </c>
      <c r="E102" s="516">
        <v>42937.0</v>
      </c>
      <c r="F102" s="516">
        <v>42940.0</v>
      </c>
      <c r="G102" s="517"/>
      <c r="H102" s="517"/>
      <c r="I102" s="433" t="s">
        <v>162</v>
      </c>
    </row>
    <row r="103">
      <c r="B103" s="432" t="s">
        <v>751</v>
      </c>
      <c r="C103" s="515" t="s">
        <v>152</v>
      </c>
      <c r="D103" s="397" t="s">
        <v>752</v>
      </c>
      <c r="E103" s="516">
        <v>42959.0</v>
      </c>
      <c r="F103" s="516">
        <v>42962.0</v>
      </c>
      <c r="G103" s="517"/>
      <c r="H103" s="517"/>
      <c r="I103" s="377" t="s">
        <v>166</v>
      </c>
    </row>
    <row r="104">
      <c r="A104" s="390"/>
      <c r="B104" s="427" t="s">
        <v>753</v>
      </c>
      <c r="C104" s="515" t="s">
        <v>152</v>
      </c>
      <c r="D104" s="397" t="s">
        <v>754</v>
      </c>
      <c r="E104" s="516">
        <v>42959.0</v>
      </c>
      <c r="F104" s="516">
        <v>42962.0</v>
      </c>
      <c r="G104" s="517"/>
      <c r="H104" s="517"/>
      <c r="I104" s="377" t="s">
        <v>166</v>
      </c>
    </row>
    <row r="105">
      <c r="A105" s="431" t="s">
        <v>481</v>
      </c>
      <c r="B105" s="432" t="s">
        <v>755</v>
      </c>
      <c r="C105" s="519" t="s">
        <v>152</v>
      </c>
      <c r="D105" s="537" t="s">
        <v>756</v>
      </c>
      <c r="E105" s="521">
        <v>42962.0</v>
      </c>
      <c r="F105" s="521">
        <v>42965.0</v>
      </c>
      <c r="G105" s="522"/>
      <c r="H105" s="522"/>
      <c r="I105" s="403" t="s">
        <v>162</v>
      </c>
      <c r="J105" s="538"/>
    </row>
    <row r="106">
      <c r="B106" s="432" t="s">
        <v>757</v>
      </c>
      <c r="C106" s="515" t="s">
        <v>152</v>
      </c>
      <c r="D106" s="539" t="s">
        <v>758</v>
      </c>
      <c r="E106" s="516">
        <v>42976.0</v>
      </c>
      <c r="F106" s="516">
        <v>42979.0</v>
      </c>
      <c r="G106" s="517"/>
      <c r="H106" s="517"/>
      <c r="I106" s="433" t="s">
        <v>166</v>
      </c>
      <c r="J106" s="71"/>
    </row>
    <row r="107">
      <c r="B107" s="432" t="s">
        <v>759</v>
      </c>
      <c r="C107" s="515" t="s">
        <v>152</v>
      </c>
      <c r="D107" s="539" t="s">
        <v>760</v>
      </c>
      <c r="E107" s="516">
        <v>42977.0</v>
      </c>
      <c r="F107" s="516">
        <v>42980.0</v>
      </c>
      <c r="G107" s="517"/>
      <c r="H107" s="517"/>
      <c r="I107" s="433" t="s">
        <v>162</v>
      </c>
      <c r="J107" s="71"/>
    </row>
    <row r="108">
      <c r="B108" s="432" t="s">
        <v>761</v>
      </c>
      <c r="C108" s="515" t="s">
        <v>12</v>
      </c>
      <c r="D108" s="540" t="s">
        <v>762</v>
      </c>
      <c r="E108" s="513">
        <v>42989.0</v>
      </c>
      <c r="F108" s="513">
        <v>42992.0</v>
      </c>
      <c r="G108" s="514"/>
      <c r="H108" s="514"/>
      <c r="I108" s="394" t="s">
        <v>162</v>
      </c>
      <c r="J108" s="66"/>
    </row>
    <row r="109">
      <c r="A109" s="528" t="s">
        <v>507</v>
      </c>
      <c r="B109" s="518" t="s">
        <v>763</v>
      </c>
      <c r="C109" s="541" t="s">
        <v>437</v>
      </c>
      <c r="D109" s="397" t="s">
        <v>764</v>
      </c>
      <c r="E109" s="516">
        <v>43021.0</v>
      </c>
      <c r="F109" s="516">
        <v>43024.0</v>
      </c>
      <c r="G109" s="377"/>
      <c r="H109" s="377"/>
      <c r="I109" s="433" t="s">
        <v>765</v>
      </c>
    </row>
    <row r="110">
      <c r="B110" s="432" t="s">
        <v>766</v>
      </c>
      <c r="C110" s="465" t="s">
        <v>437</v>
      </c>
      <c r="D110" s="397" t="s">
        <v>767</v>
      </c>
      <c r="E110" s="516">
        <v>43019.0</v>
      </c>
      <c r="F110" s="517">
        <f t="shared" ref="F110:F111" si="7">E110+4</f>
        <v>43023</v>
      </c>
      <c r="G110" s="542">
        <v>43056.0</v>
      </c>
      <c r="H110" s="542">
        <v>43059.0</v>
      </c>
      <c r="I110" s="433" t="s">
        <v>162</v>
      </c>
    </row>
    <row r="111">
      <c r="B111" s="432" t="s">
        <v>768</v>
      </c>
      <c r="C111" s="515" t="s">
        <v>152</v>
      </c>
      <c r="D111" s="397" t="s">
        <v>769</v>
      </c>
      <c r="E111" s="516">
        <v>43019.0</v>
      </c>
      <c r="F111" s="517">
        <f t="shared" si="7"/>
        <v>43023</v>
      </c>
      <c r="G111" s="377"/>
      <c r="H111" s="377"/>
      <c r="I111" s="433" t="s">
        <v>166</v>
      </c>
    </row>
    <row r="112">
      <c r="B112" s="432" t="s">
        <v>770</v>
      </c>
      <c r="C112" s="465" t="s">
        <v>437</v>
      </c>
      <c r="D112" s="397" t="s">
        <v>771</v>
      </c>
      <c r="E112" s="516">
        <v>43024.0</v>
      </c>
      <c r="F112" s="516">
        <v>43027.0</v>
      </c>
      <c r="G112" s="542">
        <v>43066.0</v>
      </c>
      <c r="H112" s="542">
        <v>43069.0</v>
      </c>
      <c r="I112" s="433" t="s">
        <v>162</v>
      </c>
    </row>
    <row r="113">
      <c r="B113" s="432" t="s">
        <v>772</v>
      </c>
      <c r="C113" s="515" t="s">
        <v>152</v>
      </c>
      <c r="D113" s="397" t="s">
        <v>773</v>
      </c>
      <c r="E113" s="516">
        <v>43031.0</v>
      </c>
      <c r="F113" s="516">
        <v>43034.0</v>
      </c>
      <c r="G113" s="517"/>
      <c r="H113" s="517"/>
      <c r="I113" s="433" t="s">
        <v>166</v>
      </c>
    </row>
    <row r="114">
      <c r="B114" s="432" t="s">
        <v>774</v>
      </c>
      <c r="C114" s="465" t="s">
        <v>437</v>
      </c>
      <c r="D114" s="397" t="s">
        <v>775</v>
      </c>
      <c r="E114" s="516">
        <v>43039.0</v>
      </c>
      <c r="F114" s="517">
        <f t="shared" ref="F114:F115" si="8">E114+4</f>
        <v>43043</v>
      </c>
      <c r="G114" s="517"/>
      <c r="H114" s="517"/>
      <c r="I114" s="433" t="s">
        <v>162</v>
      </c>
    </row>
    <row r="115">
      <c r="B115" s="432" t="s">
        <v>776</v>
      </c>
      <c r="C115" s="515" t="s">
        <v>152</v>
      </c>
      <c r="D115" s="397" t="s">
        <v>777</v>
      </c>
      <c r="E115" s="516">
        <v>43033.0</v>
      </c>
      <c r="F115" s="517">
        <f t="shared" si="8"/>
        <v>43037</v>
      </c>
      <c r="G115" s="517"/>
      <c r="H115" s="517"/>
      <c r="I115" s="433" t="s">
        <v>599</v>
      </c>
    </row>
    <row r="116">
      <c r="B116" s="432" t="s">
        <v>778</v>
      </c>
      <c r="C116" s="515" t="s">
        <v>152</v>
      </c>
      <c r="D116" s="397" t="s">
        <v>779</v>
      </c>
      <c r="E116" s="516">
        <v>43040.0</v>
      </c>
      <c r="F116" s="516">
        <v>43043.0</v>
      </c>
      <c r="G116" s="517"/>
      <c r="H116" s="517"/>
      <c r="I116" s="433" t="s">
        <v>166</v>
      </c>
    </row>
    <row r="117">
      <c r="B117" s="432" t="s">
        <v>780</v>
      </c>
      <c r="C117" s="515" t="s">
        <v>23</v>
      </c>
      <c r="D117" s="397" t="s">
        <v>781</v>
      </c>
      <c r="E117" s="516">
        <v>43052.0</v>
      </c>
      <c r="F117" s="516">
        <v>43055.0</v>
      </c>
      <c r="G117" s="517"/>
      <c r="H117" s="517"/>
      <c r="I117" s="433" t="s">
        <v>166</v>
      </c>
    </row>
    <row r="118">
      <c r="B118" s="432" t="s">
        <v>782</v>
      </c>
      <c r="C118" s="543" t="s">
        <v>25</v>
      </c>
      <c r="D118" s="397" t="s">
        <v>783</v>
      </c>
      <c r="E118" s="516">
        <v>43033.0</v>
      </c>
      <c r="F118" s="517">
        <f t="shared" ref="F118:F120" si="9">E118+4</f>
        <v>43037</v>
      </c>
      <c r="G118" s="517"/>
      <c r="H118" s="517"/>
      <c r="I118" s="433" t="s">
        <v>166</v>
      </c>
    </row>
    <row r="119">
      <c r="B119" s="432" t="s">
        <v>784</v>
      </c>
      <c r="C119" s="515" t="s">
        <v>152</v>
      </c>
      <c r="D119" s="397" t="s">
        <v>785</v>
      </c>
      <c r="E119" s="516">
        <v>43045.0</v>
      </c>
      <c r="F119" s="517">
        <f t="shared" si="9"/>
        <v>43049</v>
      </c>
      <c r="G119" s="517"/>
      <c r="H119" s="517"/>
      <c r="I119" s="433" t="s">
        <v>166</v>
      </c>
    </row>
    <row r="120">
      <c r="B120" s="432" t="s">
        <v>786</v>
      </c>
      <c r="C120" s="515" t="s">
        <v>152</v>
      </c>
      <c r="D120" s="397" t="s">
        <v>787</v>
      </c>
      <c r="E120" s="516">
        <v>43047.0</v>
      </c>
      <c r="F120" s="517">
        <f t="shared" si="9"/>
        <v>43051</v>
      </c>
      <c r="G120" s="517"/>
      <c r="H120" s="517"/>
      <c r="I120" s="433" t="s">
        <v>162</v>
      </c>
    </row>
    <row r="121">
      <c r="A121" s="528" t="s">
        <v>554</v>
      </c>
      <c r="B121" s="544" t="s">
        <v>788</v>
      </c>
      <c r="C121" s="544" t="s">
        <v>789</v>
      </c>
      <c r="D121" s="545" t="s">
        <v>790</v>
      </c>
      <c r="E121" s="546" t="s">
        <v>791</v>
      </c>
      <c r="F121" s="524" t="s">
        <v>792</v>
      </c>
      <c r="H121" s="547"/>
      <c r="I121" s="548"/>
      <c r="J121" s="549"/>
    </row>
    <row r="122">
      <c r="F122" s="524" t="s">
        <v>793</v>
      </c>
      <c r="G122" s="524" t="s">
        <v>794</v>
      </c>
      <c r="H122" s="550" t="s">
        <v>795</v>
      </c>
    </row>
    <row r="123">
      <c r="A123" s="390"/>
      <c r="B123" s="427" t="s">
        <v>796</v>
      </c>
      <c r="C123" s="551" t="s">
        <v>152</v>
      </c>
      <c r="D123" s="410" t="str">
        <f>HYPERLINK("https://www.reddit.com/r/RMTK/comments/7ods60/w0117_grondwetswijziging_tot_een_expliciet_verbod/","W0117: Grondwetswijziging tot een expliciet verbod op LHBTI-discriminatie")</f>
        <v>W0117: Grondwetswijziging tot een expliciet verbod op LHBTI-discriminatie</v>
      </c>
      <c r="E123" s="377" t="s">
        <v>29</v>
      </c>
      <c r="F123" s="430" t="s">
        <v>162</v>
      </c>
      <c r="G123" s="552" t="s">
        <v>101</v>
      </c>
      <c r="H123" s="532"/>
    </row>
    <row r="124">
      <c r="A124" s="431" t="s">
        <v>575</v>
      </c>
      <c r="B124" s="432" t="s">
        <v>797</v>
      </c>
      <c r="C124" s="515" t="s">
        <v>12</v>
      </c>
      <c r="D124" s="535" t="str">
        <f>HYPERLINK("https://www.reddit.com/r/RMTK/comments/7qkczv/w0118_wet_op_het_onderwijstoezicht_2018/","W0118: Onderwijswet 2018")</f>
        <v>W0118: Onderwijswet 2018</v>
      </c>
      <c r="E124" s="403" t="s">
        <v>29</v>
      </c>
      <c r="F124" s="433" t="s">
        <v>162</v>
      </c>
      <c r="G124" s="553" t="s">
        <v>101</v>
      </c>
      <c r="H124" s="522"/>
      <c r="I124" s="204"/>
      <c r="J124" s="204"/>
    </row>
    <row r="125">
      <c r="B125" s="432" t="s">
        <v>798</v>
      </c>
      <c r="C125" s="515" t="s">
        <v>12</v>
      </c>
      <c r="D125" s="411" t="str">
        <f>HYPERLINK("https://www.reddit.com/r/RMTK/comments/7xgour/w0119_wet_tot_intrekking_van_de_intrekkingswet/","W0119: Wet tot intrekking van de Intrekkingswet Zondagswet")</f>
        <v>W0119: Wet tot intrekking van de Intrekkingswet Zondagswet</v>
      </c>
      <c r="E125" s="377" t="s">
        <v>29</v>
      </c>
      <c r="F125" s="433" t="s">
        <v>162</v>
      </c>
      <c r="G125" s="553" t="s">
        <v>101</v>
      </c>
      <c r="H125" s="517"/>
    </row>
    <row r="126">
      <c r="B126" s="432" t="s">
        <v>799</v>
      </c>
      <c r="C126" s="515" t="s">
        <v>12</v>
      </c>
      <c r="D126" s="411" t="str">
        <f>HYPERLINK("https://www.reddit.com/r/RMTK/comments/7xyr3g/w0120_wijziging_van_de_wet_op_het_hoger_onderwijs/","W0120: Wijziging van de Wet op het hoger onderwijs en wetenschappelijk onderzoek betreffende de herindeling van de bachelor-graad")</f>
        <v>W0120: Wijziging van de Wet op het hoger onderwijs en wetenschappelijk onderzoek betreffende de herindeling van de bachelor-graad</v>
      </c>
      <c r="E126" s="377" t="s">
        <v>29</v>
      </c>
      <c r="F126" s="433" t="s">
        <v>170</v>
      </c>
      <c r="G126" s="553" t="s">
        <v>101</v>
      </c>
      <c r="H126" s="517"/>
    </row>
    <row r="127">
      <c r="B127" s="432" t="s">
        <v>800</v>
      </c>
      <c r="C127" s="515" t="s">
        <v>23</v>
      </c>
      <c r="D127" s="411" t="str">
        <f>HYPERLINK("https://www.reddit.com/r/RMTK/comments/7xyr7g/w0121_rijkswet_voor_de_schuldrem/","W0121: Rijkswet voor de schuldrem")</f>
        <v>W0121: Rijkswet voor de schuldrem</v>
      </c>
      <c r="E127" s="377" t="s">
        <v>29</v>
      </c>
      <c r="F127" s="433" t="s">
        <v>162</v>
      </c>
      <c r="G127" s="553" t="s">
        <v>101</v>
      </c>
      <c r="H127" s="517"/>
    </row>
    <row r="128">
      <c r="B128" s="432" t="s">
        <v>801</v>
      </c>
      <c r="C128" s="515" t="s">
        <v>152</v>
      </c>
      <c r="D128" s="411" t="str">
        <f>HYPERLINK("https://www.reddit.com/r/RMTK/comments/80zbxx/w0122_spoedwet_overname_openbaar_bestuur_st/","W0122: Spoedwet overname openbaar bestuur St. Eustatius")</f>
        <v>W0122: Spoedwet overname openbaar bestuur St. Eustatius</v>
      </c>
      <c r="E128" s="377" t="s">
        <v>29</v>
      </c>
      <c r="F128" s="433" t="s">
        <v>166</v>
      </c>
      <c r="G128" s="433" t="s">
        <v>166</v>
      </c>
      <c r="H128" s="517"/>
    </row>
    <row r="129">
      <c r="B129" s="432" t="s">
        <v>802</v>
      </c>
      <c r="C129" s="515" t="s">
        <v>152</v>
      </c>
      <c r="D129" s="411" t="str">
        <f>HYPERLINK("https://www.reddit.com/r/RMTK/comments/82rk1r/w0123_klimaatwet_2018/","W0123: Klimaatwet 2018")</f>
        <v>W0123: Klimaatwet 2018</v>
      </c>
      <c r="E129" s="377" t="s">
        <v>29</v>
      </c>
      <c r="F129" s="433" t="s">
        <v>166</v>
      </c>
      <c r="G129" s="433" t="s">
        <v>166</v>
      </c>
      <c r="H129" s="517"/>
    </row>
    <row r="130">
      <c r="A130" s="390"/>
      <c r="B130" s="427" t="s">
        <v>123</v>
      </c>
      <c r="C130" s="515" t="s">
        <v>152</v>
      </c>
      <c r="D130" s="554" t="str">
        <f>HYPERLINK("https://www.reddit.com/r/RMTK/comments/89sie2/w0124_begrotingswet_2018/","W0124: Begrotingswet 2018")</f>
        <v>W0124: Begrotingswet 2018</v>
      </c>
      <c r="E130" s="394" t="s">
        <v>29</v>
      </c>
      <c r="F130" s="430" t="s">
        <v>166</v>
      </c>
      <c r="G130" s="430" t="s">
        <v>166</v>
      </c>
      <c r="H130" s="514"/>
      <c r="I130" s="65"/>
      <c r="J130" s="65"/>
    </row>
    <row r="131">
      <c r="A131" s="431" t="s">
        <v>588</v>
      </c>
      <c r="B131" s="432" t="s">
        <v>92</v>
      </c>
      <c r="C131" s="534" t="s">
        <v>152</v>
      </c>
      <c r="D131" s="411" t="str">
        <f>HYPERLINK("https://www.reddit.com/r/RMTK/comments/8m3wbs/w0125_wetsvoorstel_sluiting_kolencentrales/","W0125: Wetsvoorstel sluiting kolencentrales")</f>
        <v>W0125: Wetsvoorstel sluiting kolencentrales</v>
      </c>
      <c r="E131" s="377" t="s">
        <v>29</v>
      </c>
      <c r="F131" s="433" t="s">
        <v>599</v>
      </c>
      <c r="G131" s="553" t="s">
        <v>101</v>
      </c>
      <c r="H131" s="517"/>
    </row>
    <row r="132">
      <c r="B132" s="432" t="s">
        <v>130</v>
      </c>
      <c r="C132" s="515" t="s">
        <v>152</v>
      </c>
      <c r="D132" s="411" t="str">
        <f>HYPERLINK("https://www.reddit.com/r/RMTK/comments/8nunit/w0126_wet_tot_goedkeuring_noordatlantisch_verdrag/","W0126: Wet tot goedkeuring Noord-Atlantisch Verdrag (2018)")</f>
        <v>W0126: Wet tot goedkeuring Noord-Atlantisch Verdrag (2018)</v>
      </c>
      <c r="E132" s="377" t="s">
        <v>29</v>
      </c>
      <c r="F132" s="433" t="s">
        <v>166</v>
      </c>
      <c r="G132" s="433" t="s">
        <v>166</v>
      </c>
      <c r="H132" s="517"/>
    </row>
    <row r="133">
      <c r="A133" s="390"/>
      <c r="B133" s="432" t="s">
        <v>83</v>
      </c>
      <c r="C133" s="515" t="s">
        <v>152</v>
      </c>
      <c r="D133" s="411" t="str">
        <f>HYPERLINK("https://www.reddit.com/r/RMTK/comments/8ohxdy/w0126_wet_gelijkstelling_kraken_aan_diefstal/","W0127: Wet gelijkstelling kraken aan diefstal")</f>
        <v>W0127: Wet gelijkstelling kraken aan diefstal</v>
      </c>
      <c r="E133" s="377" t="s">
        <v>29</v>
      </c>
      <c r="F133" s="430" t="s">
        <v>166</v>
      </c>
      <c r="G133" s="430" t="s">
        <v>166</v>
      </c>
      <c r="H133" s="532" t="s">
        <v>803</v>
      </c>
    </row>
    <row r="134">
      <c r="A134" s="431" t="s">
        <v>591</v>
      </c>
      <c r="B134" s="518" t="s">
        <v>91</v>
      </c>
      <c r="C134" s="534" t="s">
        <v>21</v>
      </c>
      <c r="D134" s="535" t="str">
        <f>HYPERLINK("https://www.reddit.com/r/RMTK/comments/8sb0b9/w0128_wet_tot_bevordering_toegang_tot_geschriften/","W0128: Wet tot bevordering toegang tot geschriften voor leesgehandicapten")</f>
        <v>W0128: Wet tot bevordering toegang tot geschriften voor leesgehandicapten</v>
      </c>
      <c r="E134" s="403" t="s">
        <v>29</v>
      </c>
      <c r="F134" s="433" t="s">
        <v>166</v>
      </c>
      <c r="G134" s="433" t="s">
        <v>166</v>
      </c>
      <c r="H134" s="522"/>
      <c r="I134" s="204"/>
      <c r="J134" s="204"/>
    </row>
    <row r="135">
      <c r="A135" s="390"/>
      <c r="B135" s="427" t="s">
        <v>804</v>
      </c>
      <c r="C135" s="551" t="s">
        <v>152</v>
      </c>
      <c r="D135" s="411" t="str">
        <f>HYPERLINK("https://www.reddit.com/r/RMTK/comments/8xg8py/w0129_wet_regulering_mengformules/","W0129: Wet regulering mengformules")</f>
        <v>W0129: Wet regulering mengformules</v>
      </c>
      <c r="E135" s="377" t="s">
        <v>29</v>
      </c>
      <c r="F135" s="433" t="s">
        <v>166</v>
      </c>
      <c r="G135" s="433" t="s">
        <v>599</v>
      </c>
      <c r="H135" s="517"/>
    </row>
    <row r="136">
      <c r="A136" s="431" t="s">
        <v>805</v>
      </c>
      <c r="B136" s="432" t="s">
        <v>806</v>
      </c>
      <c r="C136" s="515" t="s">
        <v>23</v>
      </c>
      <c r="D136" s="535" t="str">
        <f>HYPERLINK("https://www.reddit.com/r/RMTK/comments/9bc3ni/w0130_wet_continu%C3%AFteit_bedrijfsactiviteiten_2018/","W0130: Wet continuïteit bedrijfsactiviteiten 2018 ")</f>
        <v>W0130: Wet continuïteit bedrijfsactiviteiten 2018 </v>
      </c>
      <c r="E136" s="403" t="s">
        <v>29</v>
      </c>
      <c r="F136" s="523" t="s">
        <v>599</v>
      </c>
      <c r="G136" s="555" t="s">
        <v>101</v>
      </c>
      <c r="H136" s="522"/>
      <c r="I136" s="204"/>
      <c r="J136" s="204"/>
    </row>
    <row r="137">
      <c r="A137" s="431"/>
      <c r="B137" s="432" t="s">
        <v>807</v>
      </c>
      <c r="C137" s="515"/>
      <c r="D137" s="406"/>
      <c r="E137" s="516"/>
      <c r="F137" s="517"/>
      <c r="G137" s="517"/>
      <c r="H137" s="517"/>
    </row>
    <row r="138">
      <c r="A138" s="431"/>
      <c r="B138" s="432" t="s">
        <v>808</v>
      </c>
      <c r="C138" s="515"/>
      <c r="D138" s="406"/>
      <c r="E138" s="516"/>
      <c r="F138" s="517"/>
      <c r="G138" s="517"/>
      <c r="H138" s="517"/>
    </row>
    <row r="139">
      <c r="A139" s="431"/>
      <c r="B139" s="472" t="s">
        <v>809</v>
      </c>
      <c r="C139" s="515"/>
      <c r="D139" s="406"/>
      <c r="E139" s="516"/>
      <c r="F139" s="517"/>
      <c r="G139" s="517"/>
      <c r="H139" s="517"/>
    </row>
    <row r="140">
      <c r="A140" s="431"/>
      <c r="B140" s="432" t="s">
        <v>810</v>
      </c>
      <c r="C140" s="515"/>
      <c r="D140" s="406"/>
      <c r="E140" s="516"/>
      <c r="F140" s="517"/>
      <c r="G140" s="517"/>
      <c r="H140" s="517"/>
    </row>
    <row r="141">
      <c r="A141" s="431"/>
      <c r="B141" s="432" t="s">
        <v>811</v>
      </c>
      <c r="C141" s="515"/>
      <c r="D141" s="406"/>
      <c r="E141" s="516"/>
      <c r="F141" s="517"/>
      <c r="G141" s="517"/>
      <c r="H141" s="517"/>
    </row>
    <row r="142">
      <c r="A142" s="431"/>
      <c r="B142" s="432" t="s">
        <v>812</v>
      </c>
      <c r="C142" s="515"/>
      <c r="D142" s="406"/>
      <c r="E142" s="516"/>
      <c r="F142" s="517"/>
      <c r="G142" s="517"/>
      <c r="H142" s="517"/>
    </row>
    <row r="143">
      <c r="A143" s="431"/>
      <c r="B143" s="432" t="s">
        <v>813</v>
      </c>
      <c r="C143" s="515"/>
      <c r="D143" s="406"/>
      <c r="E143" s="516"/>
      <c r="F143" s="517"/>
      <c r="G143" s="517"/>
      <c r="H143" s="517"/>
    </row>
    <row r="144">
      <c r="A144" s="431"/>
      <c r="B144" s="432" t="s">
        <v>814</v>
      </c>
      <c r="C144" s="515"/>
      <c r="D144" s="406"/>
      <c r="E144" s="516"/>
      <c r="F144" s="517"/>
      <c r="G144" s="517"/>
      <c r="H144" s="517"/>
    </row>
    <row r="145">
      <c r="A145" s="431"/>
      <c r="B145" s="432" t="s">
        <v>815</v>
      </c>
      <c r="C145" s="515"/>
      <c r="D145" s="406"/>
      <c r="E145" s="516"/>
      <c r="F145" s="517"/>
      <c r="G145" s="517"/>
      <c r="H145" s="517"/>
    </row>
    <row r="146">
      <c r="A146" s="431"/>
      <c r="B146" s="432" t="s">
        <v>816</v>
      </c>
      <c r="C146" s="515"/>
      <c r="D146" s="406"/>
      <c r="E146" s="516"/>
      <c r="F146" s="517"/>
      <c r="G146" s="517"/>
      <c r="H146" s="517"/>
    </row>
  </sheetData>
  <mergeCells count="53">
    <mergeCell ref="H131:J131"/>
    <mergeCell ref="H132:J132"/>
    <mergeCell ref="A124:A130"/>
    <mergeCell ref="A131:A133"/>
    <mergeCell ref="A134:A135"/>
    <mergeCell ref="H126:J126"/>
    <mergeCell ref="H125:J125"/>
    <mergeCell ref="H124:J124"/>
    <mergeCell ref="H123:J123"/>
    <mergeCell ref="H141:J141"/>
    <mergeCell ref="H142:J142"/>
    <mergeCell ref="H143:J143"/>
    <mergeCell ref="H144:J144"/>
    <mergeCell ref="H135:J135"/>
    <mergeCell ref="H136:J136"/>
    <mergeCell ref="H145:J145"/>
    <mergeCell ref="H146:J146"/>
    <mergeCell ref="H138:J138"/>
    <mergeCell ref="H137:J137"/>
    <mergeCell ref="H140:J140"/>
    <mergeCell ref="H139:J139"/>
    <mergeCell ref="A109:A120"/>
    <mergeCell ref="A105:A108"/>
    <mergeCell ref="A87:A95"/>
    <mergeCell ref="A31:A40"/>
    <mergeCell ref="A49:A62"/>
    <mergeCell ref="A41:A48"/>
    <mergeCell ref="A63:A85"/>
    <mergeCell ref="A96:A104"/>
    <mergeCell ref="A121:A123"/>
    <mergeCell ref="A13:A29"/>
    <mergeCell ref="H128:J128"/>
    <mergeCell ref="H127:J127"/>
    <mergeCell ref="F121:G121"/>
    <mergeCell ref="E121:E122"/>
    <mergeCell ref="B121:B122"/>
    <mergeCell ref="D121:D122"/>
    <mergeCell ref="C121:C122"/>
    <mergeCell ref="H122:J122"/>
    <mergeCell ref="H133:J133"/>
    <mergeCell ref="H134:J134"/>
    <mergeCell ref="H130:J130"/>
    <mergeCell ref="H129:J129"/>
    <mergeCell ref="G1:H1"/>
    <mergeCell ref="E1:F1"/>
    <mergeCell ref="J1:J2"/>
    <mergeCell ref="I1:I2"/>
    <mergeCell ref="A1:A2"/>
    <mergeCell ref="C1:C2"/>
    <mergeCell ref="D1:D2"/>
    <mergeCell ref="B1:B2"/>
    <mergeCell ref="C12:H12"/>
    <mergeCell ref="A3:A11"/>
  </mergeCells>
  <conditionalFormatting sqref="C12">
    <cfRule type="cellIs" dxfId="9" priority="1" operator="equal">
      <formula>"LPU"</formula>
    </cfRule>
  </conditionalFormatting>
  <conditionalFormatting sqref="C12">
    <cfRule type="cellIs" dxfId="34" priority="2" operator="equal">
      <formula>"GROEN"</formula>
    </cfRule>
  </conditionalFormatting>
  <conditionalFormatting sqref="C109:C114">
    <cfRule type="cellIs" dxfId="32" priority="3" operator="equal">
      <formula>"GROEN"</formula>
    </cfRule>
  </conditionalFormatting>
  <conditionalFormatting sqref="C109:C114">
    <cfRule type="containsText" dxfId="33" priority="4" operator="containsText" text="LPU">
      <formula>NOT(ISERROR(SEARCH(("LPU"),(C109))))</formula>
    </cfRule>
  </conditionalFormatting>
  <conditionalFormatting sqref="I103:I105 I108">
    <cfRule type="containsText" dxfId="2" priority="5" operator="containsText" text="Aangenomen">
      <formula>NOT(ISERROR(SEARCH(("Aangenomen"),(I103))))</formula>
    </cfRule>
  </conditionalFormatting>
  <conditionalFormatting sqref="I103:I105 I108">
    <cfRule type="containsText" dxfId="3" priority="6" operator="containsText" text="Verworpen">
      <formula>NOT(ISERROR(SEARCH(("Verworpen"),(I103))))</formula>
    </cfRule>
  </conditionalFormatting>
  <conditionalFormatting sqref="I103:I105 I108">
    <cfRule type="containsText" dxfId="11" priority="7" operator="containsText" text="Ingetrokken">
      <formula>NOT(ISERROR(SEARCH(("Ingetrokken"),(I103))))</formula>
    </cfRule>
  </conditionalFormatting>
  <conditionalFormatting sqref="I103:I105 I108">
    <cfRule type="containsText" dxfId="13" priority="8" operator="containsText" text="In stemming">
      <formula>NOT(ISERROR(SEARCH(("In stemming"),(I103))))</formula>
    </cfRule>
  </conditionalFormatting>
  <conditionalFormatting sqref="I103:I105 I108">
    <cfRule type="cellIs" dxfId="27" priority="9" operator="equal">
      <formula>"In afwachting"</formula>
    </cfRule>
  </conditionalFormatting>
  <conditionalFormatting sqref="C12 C63 C66:C67 C69 C71:C72 C75:C76">
    <cfRule type="containsText" dxfId="15" priority="10" operator="containsText" text="SP">
      <formula>NOT(ISERROR(SEARCH(("SP"),(C12))))</formula>
    </cfRule>
  </conditionalFormatting>
  <conditionalFormatting sqref="C1 C12 C36:C88 C90:C120 C123:C146">
    <cfRule type="containsText" dxfId="20" priority="11" operator="containsText" text="PvdA">
      <formula>NOT(ISERROR(SEARCH(("PvdA"),(C1))))</formula>
    </cfRule>
  </conditionalFormatting>
  <conditionalFormatting sqref="C1 C12 C36:C88 C90:C120 C123:C146">
    <cfRule type="cellIs" dxfId="15" priority="12" operator="equal">
      <formula>"SP"</formula>
    </cfRule>
  </conditionalFormatting>
  <conditionalFormatting sqref="C1 C12 C36:C88 C90:C120 C123:C146">
    <cfRule type="containsText" dxfId="24" priority="13" operator="containsText" text="DNL">
      <formula>NOT(ISERROR(SEARCH(("DNL"),(C1))))</formula>
    </cfRule>
  </conditionalFormatting>
  <conditionalFormatting sqref="C1 C12 C36:C88 C90:C120 C123:C146">
    <cfRule type="cellIs" dxfId="28" priority="14" operator="equal">
      <formula>"PSP"</formula>
    </cfRule>
  </conditionalFormatting>
  <conditionalFormatting sqref="C1 C12 C36:C88 C90:C120 C123:C146">
    <cfRule type="cellIs" dxfId="29" priority="15" operator="equal">
      <formula>"LPF"</formula>
    </cfRule>
  </conditionalFormatting>
  <conditionalFormatting sqref="C1 C12 C36:C88 C90:C120 C123:C146">
    <cfRule type="cellIs" dxfId="30" priority="16" operator="equal">
      <formula>"GPN"</formula>
    </cfRule>
  </conditionalFormatting>
  <conditionalFormatting sqref="C1:C88 C90:C120 C123:C146">
    <cfRule type="containsText" dxfId="22" priority="17" operator="containsText" text="GL">
      <formula>NOT(ISERROR(SEARCH(("GL"),(C1))))</formula>
    </cfRule>
  </conditionalFormatting>
  <conditionalFormatting sqref="C1:C88 C90:C120 C123:C146">
    <cfRule type="containsText" dxfId="16" priority="18" operator="containsText" text="PP">
      <formula>NOT(ISERROR(SEARCH(("PP"),(C1))))</formula>
    </cfRule>
  </conditionalFormatting>
  <conditionalFormatting sqref="C1:C88 C90:C120 C123:C146">
    <cfRule type="beginsWith" dxfId="26" priority="19" operator="beginsWith" text="Onafh">
      <formula>LEFT((C1),LEN("Onafh"))=("Onafh")</formula>
    </cfRule>
  </conditionalFormatting>
  <conditionalFormatting sqref="I1:I121 F123:F136 G128:G130 G132:G135">
    <cfRule type="cellIs" dxfId="2" priority="20" operator="equal">
      <formula>"Aangenomen"</formula>
    </cfRule>
  </conditionalFormatting>
  <conditionalFormatting sqref="I1:I121 F123:F136 G128:G130 G132:G135">
    <cfRule type="cellIs" dxfId="3" priority="21" operator="equal">
      <formula>"Verworpen"</formula>
    </cfRule>
  </conditionalFormatting>
  <conditionalFormatting sqref="C1:C88 C90:C120 C123:C146">
    <cfRule type="containsText" dxfId="19" priority="22" operator="containsText" text="D66">
      <formula>NOT(ISERROR(SEARCH(("D66"),(C1))))</formula>
    </cfRule>
  </conditionalFormatting>
  <conditionalFormatting sqref="C1:C88 C90:C120 C123:C146">
    <cfRule type="containsText" dxfId="13" priority="23" operator="containsText" text="VVD">
      <formula>NOT(ISERROR(SEARCH(("VVD"),(C1))))</formula>
    </cfRule>
  </conditionalFormatting>
  <conditionalFormatting sqref="C1:C88 C90:C120 C123:C146">
    <cfRule type="containsText" dxfId="21" priority="24" operator="containsText" text="CPN">
      <formula>NOT(ISERROR(SEARCH(("CPN"),(C1))))</formula>
    </cfRule>
  </conditionalFormatting>
  <conditionalFormatting sqref="C1:C88 C90:C120 C123:C146">
    <cfRule type="containsText" dxfId="23" priority="25" operator="containsText" text="PVV">
      <formula>NOT(ISERROR(SEARCH(("PVV"),(C1))))</formula>
    </cfRule>
  </conditionalFormatting>
  <conditionalFormatting sqref="C1:C88 C90:C120 C123:C146">
    <cfRule type="containsText" dxfId="25" priority="26" operator="containsText" text="CDA">
      <formula>NOT(ISERROR(SEARCH(("CDA"),(C1))))</formula>
    </cfRule>
  </conditionalFormatting>
  <conditionalFormatting sqref="I1:I121 F123:F136 G128:G130 G132:G135">
    <cfRule type="containsText" dxfId="10" priority="27" operator="containsText" text="In stemming">
      <formula>NOT(ISERROR(SEARCH(("In stemming"),(I1))))</formula>
    </cfRule>
  </conditionalFormatting>
  <conditionalFormatting sqref="I1:I121 F123:F136 G128:G130 G132:G135">
    <cfRule type="containsText" dxfId="10" priority="28" operator="containsText" text="stembus">
      <formula>NOT(ISERROR(SEARCH(("stembus"),(I1))))</formula>
    </cfRule>
  </conditionalFormatting>
  <conditionalFormatting sqref="I1:I121 F123:F136 G128:G130 G132:G135">
    <cfRule type="cellIs" dxfId="11" priority="29" operator="equal">
      <formula>"ingetrokken"</formula>
    </cfRule>
  </conditionalFormatting>
  <conditionalFormatting sqref="I1:I121 F123:F136 G128:G130 G132:G135">
    <cfRule type="containsText" dxfId="12" priority="30" operator="containsText" text="In afwachting">
      <formula>NOT(ISERROR(SEARCH(("In afwachting"),(I1))))</formula>
    </cfRule>
  </conditionalFormatting>
  <conditionalFormatting sqref="C1:C88 C90:C120 C123:C146">
    <cfRule type="cellIs" dxfId="15" priority="31" operator="equal">
      <formula>"MPN"</formula>
    </cfRule>
  </conditionalFormatting>
  <conditionalFormatting sqref="C1 C12 C16 C36:C88 C90:C120 C123:C146">
    <cfRule type="cellIs" dxfId="20" priority="32" operator="equal">
      <formula>"S&amp;V"</formula>
    </cfRule>
  </conditionalFormatting>
  <conditionalFormatting sqref="C1:C120 C123:C146">
    <cfRule type="cellIs" dxfId="17" priority="33" operator="equal">
      <formula>"Regering"</formula>
    </cfRule>
  </conditionalFormatting>
  <conditionalFormatting sqref="C1:C88 C90:C120 C123:C146">
    <cfRule type="cellIs" dxfId="18" priority="34" operator="equal">
      <formula>"LPF"</formula>
    </cfRule>
  </conditionalFormatting>
  <conditionalFormatting sqref="I1:I121 F123:F136 G128:G130 G132:G135">
    <cfRule type="containsText" dxfId="13" priority="35" operator="containsText" text="i.a.v. EK">
      <formula>NOT(ISERROR(SEARCH(("i.a.v. EK"),(I1))))</formula>
    </cfRule>
  </conditionalFormatting>
  <conditionalFormatting sqref="C1:C88 C90:C120 C123:C146">
    <cfRule type="containsText" dxfId="31" priority="36" operator="containsText" text="SVN">
      <formula>NOT(ISERROR(SEARCH(("SVN"),(C1))))</formula>
    </cfRule>
  </conditionalFormatting>
  <conditionalFormatting sqref="I1:I121 F123:F136 G128:G130 G132:G135">
    <cfRule type="cellIs" dxfId="14" priority="37" operator="equal">
      <formula>"Buiten werking"</formula>
    </cfRule>
  </conditionalFormatting>
  <conditionalFormatting sqref="C1:C120 C123:C146">
    <cfRule type="containsText" dxfId="16" priority="38" operator="containsText" text="FVD">
      <formula>NOT(ISERROR(SEARCH(("FVD"),(C1))))</formula>
    </cfRule>
  </conditionalFormatting>
  <hyperlinks>
    <hyperlink r:id="rId2" ref="D34"/>
    <hyperlink r:id="rId3" ref="D35"/>
    <hyperlink r:id="rId4" ref="D42"/>
    <hyperlink r:id="rId5" ref="D96"/>
    <hyperlink r:id="rId6" ref="D97"/>
    <hyperlink r:id="rId7" ref="D98"/>
    <hyperlink r:id="rId8" ref="D99"/>
    <hyperlink r:id="rId9" ref="D100"/>
    <hyperlink r:id="rId10" ref="D101"/>
    <hyperlink r:id="rId11" ref="D102"/>
    <hyperlink r:id="rId12" ref="D103"/>
    <hyperlink r:id="rId13" ref="D104"/>
    <hyperlink r:id="rId14" ref="D105"/>
    <hyperlink r:id="rId15" ref="D106"/>
    <hyperlink r:id="rId16" ref="D107"/>
    <hyperlink r:id="rId17" ref="D108"/>
    <hyperlink r:id="rId18" ref="D109"/>
    <hyperlink r:id="rId19" ref="D110"/>
    <hyperlink r:id="rId20" ref="D111"/>
    <hyperlink r:id="rId21" ref="D112"/>
    <hyperlink r:id="rId22" ref="D113"/>
    <hyperlink r:id="rId23" ref="D114"/>
    <hyperlink r:id="rId24" ref="D115"/>
    <hyperlink r:id="rId25" ref="D116"/>
    <hyperlink r:id="rId26" ref="D117"/>
    <hyperlink r:id="rId27" ref="D118"/>
    <hyperlink r:id="rId28" ref="D119"/>
    <hyperlink r:id="rId29" ref="D120"/>
  </hyperlinks>
  <drawing r:id="rId30"/>
  <legacyDrawing r:id="rId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3.71"/>
    <col customWidth="1" min="2" max="2" width="12.71"/>
    <col customWidth="1" min="3" max="3" width="13.29"/>
    <col customWidth="1" min="4" max="4" width="8.43"/>
    <col customWidth="1" min="5" max="5" width="86.71"/>
    <col customWidth="1" min="6" max="6" width="10.29"/>
    <col customWidth="1" min="7" max="7" width="11.86"/>
    <col customWidth="1" min="9" max="9" width="30.0"/>
  </cols>
  <sheetData>
    <row r="1">
      <c r="A1" s="366" t="s">
        <v>152</v>
      </c>
      <c r="B1" s="367" t="s">
        <v>608</v>
      </c>
      <c r="C1" s="367" t="s">
        <v>817</v>
      </c>
      <c r="D1" s="467" t="s">
        <v>154</v>
      </c>
      <c r="E1" s="556" t="s">
        <v>818</v>
      </c>
      <c r="F1" s="557" t="s">
        <v>610</v>
      </c>
      <c r="H1" s="370" t="s">
        <v>156</v>
      </c>
      <c r="I1" s="370" t="s">
        <v>158</v>
      </c>
    </row>
    <row r="2">
      <c r="D2" s="372"/>
      <c r="F2" s="558" t="s">
        <v>612</v>
      </c>
      <c r="G2" s="558" t="s">
        <v>613</v>
      </c>
    </row>
    <row r="3">
      <c r="A3" s="559" t="s">
        <v>202</v>
      </c>
      <c r="B3" s="518" t="s">
        <v>641</v>
      </c>
      <c r="C3" s="518"/>
      <c r="D3" s="515" t="s">
        <v>152</v>
      </c>
      <c r="E3" s="560" t="str">
        <f>hyperlink("https://www.reddit.com/r/RMTK/comments/41j6ci/w0013_wet_tot_wijziging_mediawet_met_oog_op/","Wetswijziging Mediawet met oog op openbare beschikbaarheid van media")</f>
        <v>Wetswijziging Mediawet met oog op openbare beschikbaarheid van media</v>
      </c>
      <c r="F3" s="561">
        <v>42387.0</v>
      </c>
      <c r="G3" s="561">
        <v>42390.0</v>
      </c>
      <c r="H3" s="433" t="s">
        <v>166</v>
      </c>
      <c r="I3" s="406"/>
    </row>
    <row r="4">
      <c r="B4" s="432"/>
      <c r="C4" s="432">
        <v>1.0</v>
      </c>
      <c r="D4" s="515" t="s">
        <v>21</v>
      </c>
      <c r="E4" s="560" t="str">
        <f>hyperlink("https://www.reddit.com/r/RMTK/comments/428n84/w0013_1_programmas_van_de_npo_onmiddellijk/","Programma's van de NPO onmiddellijk publiek domein maken")</f>
        <v>Programma's van de NPO onmiddellijk publiek domein maken</v>
      </c>
      <c r="F4" s="561">
        <v>42391.0</v>
      </c>
      <c r="G4" s="561">
        <v>42394.0</v>
      </c>
      <c r="H4" s="433" t="s">
        <v>166</v>
      </c>
    </row>
    <row r="5">
      <c r="B5" s="432" t="s">
        <v>645</v>
      </c>
      <c r="C5" s="432"/>
      <c r="D5" s="515" t="s">
        <v>174</v>
      </c>
      <c r="E5" s="562" t="str">
        <f>hyperlink("https://www.reddit.com/r/RMTK/comments/426r57/w0015_wet_tot_wijziging_van_de_grondwet_met/","Grondwetswijziging tot opneming van bepalingen bij het correctief referendum")</f>
        <v>Grondwetswijziging tot opneming van bepalingen bij het correctief referendum</v>
      </c>
      <c r="F5" s="561">
        <v>42391.0</v>
      </c>
      <c r="G5" s="561">
        <v>42394.0</v>
      </c>
      <c r="H5" s="433" t="s">
        <v>162</v>
      </c>
    </row>
    <row r="6">
      <c r="B6" s="432"/>
      <c r="C6" s="432">
        <v>1.0</v>
      </c>
      <c r="D6" s="515" t="s">
        <v>21</v>
      </c>
      <c r="E6" s="562" t="str">
        <f>hyperlink("https://www.reddit.com/r/RMTK/comments/428nl9/w0015_1_toelaten_referendum_koningshuis/","Toelaten referendum koningshuis")</f>
        <v>Toelaten referendum koningshuis</v>
      </c>
      <c r="F6" s="561">
        <v>42391.0</v>
      </c>
      <c r="G6" s="561">
        <v>42394.0</v>
      </c>
      <c r="H6" s="433" t="s">
        <v>162</v>
      </c>
    </row>
    <row r="7">
      <c r="B7" s="432" t="s">
        <v>654</v>
      </c>
      <c r="C7" s="432"/>
      <c r="D7" s="515" t="s">
        <v>200</v>
      </c>
      <c r="E7" s="563" t="str">
        <f>hyperlink("https://www.reddit.com/r/RMTK/comments/45hizl/w0022_wetswijziging_tot_verplichte_donatie/","Wetswijziging tot verplichte donatie weggegooid voedsel uit supermarkten")</f>
        <v>Wetswijziging tot verplichte donatie weggegooid voedsel uit supermarkten</v>
      </c>
      <c r="F7" s="561">
        <v>42412.0</v>
      </c>
      <c r="G7" s="561">
        <v>42415.0</v>
      </c>
      <c r="H7" s="433" t="s">
        <v>166</v>
      </c>
    </row>
    <row r="8">
      <c r="B8" s="564"/>
      <c r="C8" s="432">
        <v>1.0</v>
      </c>
      <c r="D8" s="565" t="s">
        <v>21</v>
      </c>
      <c r="E8" s="566" t="str">
        <f>hyperlink("https://www.reddit.com/r/RMTK/comments/46gv2f/w00221_ontzien_van_kleine_ondernemingen/","Ontzien van kleine ondernemingen")</f>
        <v>Ontzien van kleine ondernemingen</v>
      </c>
      <c r="F8" s="561">
        <v>42418.0</v>
      </c>
      <c r="G8" s="561">
        <v>42421.0</v>
      </c>
      <c r="H8" s="433" t="s">
        <v>166</v>
      </c>
    </row>
    <row r="9">
      <c r="A9" s="567" t="s">
        <v>197</v>
      </c>
      <c r="B9" s="568"/>
      <c r="C9" s="518"/>
      <c r="D9" s="569" t="s">
        <v>819</v>
      </c>
      <c r="E9" s="204"/>
      <c r="F9" s="204"/>
      <c r="G9" s="204"/>
      <c r="H9" s="204"/>
      <c r="I9" s="204"/>
    </row>
    <row r="10">
      <c r="A10" s="436" t="s">
        <v>240</v>
      </c>
      <c r="B10" s="518"/>
      <c r="C10" s="568"/>
      <c r="D10" s="569" t="s">
        <v>819</v>
      </c>
      <c r="E10" s="204"/>
      <c r="F10" s="204"/>
      <c r="G10" s="204"/>
      <c r="H10" s="204"/>
      <c r="I10" s="204"/>
    </row>
    <row r="11">
      <c r="A11" s="436" t="s">
        <v>243</v>
      </c>
      <c r="B11" s="518" t="s">
        <v>671</v>
      </c>
      <c r="C11" s="432"/>
      <c r="D11" s="519" t="s">
        <v>174</v>
      </c>
      <c r="E11" s="570" t="str">
        <f>HYPERLINK("https://www.reddit.com/r/RMTK/comments/4ikw6m/w0034_wet_defensiefonds/","Wet Defensiefonds")</f>
        <v>Wet Defensiefonds</v>
      </c>
      <c r="F11" s="571"/>
      <c r="G11" s="571"/>
      <c r="H11" s="523" t="s">
        <v>166</v>
      </c>
      <c r="I11" s="204"/>
    </row>
    <row r="12">
      <c r="B12" s="564"/>
      <c r="C12" s="432">
        <v>1.0</v>
      </c>
      <c r="D12" s="515" t="s">
        <v>174</v>
      </c>
      <c r="E12" s="572" t="str">
        <f>HYPERLINK("https://www.reddit.com/r/RMTK/comments/4kw70d/w00341_het_toevoegen_van_twee_nullen/","Het toevoegen van twee nullen")</f>
        <v>Het toevoegen van twee nullen</v>
      </c>
      <c r="F12" s="573"/>
      <c r="G12" s="573"/>
      <c r="H12" s="433" t="s">
        <v>166</v>
      </c>
    </row>
    <row r="13">
      <c r="B13" s="432" t="s">
        <v>674</v>
      </c>
      <c r="C13" s="432"/>
      <c r="D13" s="515" t="s">
        <v>152</v>
      </c>
      <c r="E13" s="572" t="str">
        <f>HYPERLINK("https://www.reddit.com/r/RMTK/comments/4lqtms/w0037_wetsvoorstel_uitbreiding_lijst_softdrugs/","Wetsvoorstel Uitbreiding lijst Softdrugs")</f>
        <v>Wetsvoorstel Uitbreiding lijst Softdrugs</v>
      </c>
      <c r="F13" s="573"/>
      <c r="G13" s="573"/>
      <c r="H13" s="433" t="s">
        <v>166</v>
      </c>
    </row>
    <row r="14">
      <c r="A14" s="390"/>
      <c r="B14" s="574"/>
      <c r="C14" s="427">
        <v>1.0</v>
      </c>
      <c r="D14" s="551" t="s">
        <v>165</v>
      </c>
      <c r="E14" s="575" t="str">
        <f>HYPERLINK("https://www.reddit.com/r/RMTK/comments/4m7ud8/w00371_amendement_om_al_legale_middelen_niet/","Amendement om al legale middelen niet nogmaals te verplaatsen naar Lijst II")</f>
        <v>Amendement om al legale middelen niet nogmaals te verplaatsen naar Lijst II</v>
      </c>
      <c r="F14" s="576"/>
      <c r="G14" s="576"/>
      <c r="H14" s="430" t="s">
        <v>166</v>
      </c>
      <c r="I14" s="65"/>
    </row>
    <row r="15">
      <c r="A15" s="367" t="s">
        <v>288</v>
      </c>
      <c r="B15" s="432" t="s">
        <v>676</v>
      </c>
      <c r="C15" s="432"/>
      <c r="D15" s="565" t="s">
        <v>165</v>
      </c>
      <c r="E15" s="577" t="str">
        <f>HYPERLINK("https://www.reddit.com/r/RMTK/comments/4qgqp2/w0038_voorstel_van_wijziging_van_de_grondwet/","Voorstel van wijziging van de grondwet betreffende de verkiezingen van de Secretaris-Generaal")</f>
        <v>Voorstel van wijziging van de grondwet betreffende de verkiezingen van de Secretaris-Generaal</v>
      </c>
      <c r="F15" s="573"/>
      <c r="G15" s="573"/>
      <c r="H15" s="433" t="s">
        <v>170</v>
      </c>
    </row>
    <row r="16">
      <c r="B16" s="432"/>
      <c r="C16" s="432">
        <v>1.0</v>
      </c>
      <c r="D16" s="578" t="s">
        <v>165</v>
      </c>
      <c r="E16" s="577" t="str">
        <f>HYPERLINK("https://www.reddit.com/r/RMTK/comments/4qh5v7/w00381_amendement_nieuw_lid_8/","Amendement nieuw lid 8")</f>
        <v>Amendement nieuw lid 8</v>
      </c>
      <c r="F16" s="573"/>
      <c r="G16" s="573"/>
      <c r="H16" s="433" t="s">
        <v>170</v>
      </c>
    </row>
    <row r="17">
      <c r="A17" s="436" t="s">
        <v>327</v>
      </c>
      <c r="B17" s="518" t="s">
        <v>686</v>
      </c>
      <c r="C17" s="518"/>
      <c r="D17" s="579" t="s">
        <v>290</v>
      </c>
      <c r="E17" s="580" t="str">
        <f>HYPERLINK("https://www.reddit.com/r/RMTK/comments/575ip1/w0046_wetsvoorstel_tot_erkenning_suikerfeest_als/","Wetsvoorstel tot erkenning suikerfeest als nationale feestdag")</f>
        <v>Wetsvoorstel tot erkenning suikerfeest als nationale feestdag</v>
      </c>
      <c r="F17" s="581">
        <v>42655.0</v>
      </c>
      <c r="G17" s="581">
        <v>42658.0</v>
      </c>
      <c r="H17" s="523" t="s">
        <v>162</v>
      </c>
      <c r="I17" s="204"/>
    </row>
    <row r="18">
      <c r="B18" s="432"/>
      <c r="C18" s="432">
        <v>1.0</v>
      </c>
      <c r="D18" s="565" t="s">
        <v>290</v>
      </c>
      <c r="E18" s="566" t="str">
        <f>HYPERLINK("https://www.reddit.com/r/RMTK/comments/57yjs6/w0046_1_erkenning_offerfeest_als_erkende_feestdag/","Erkenning Offerfeest als erkende feestdag ")</f>
        <v>Erkenning Offerfeest als erkende feestdag </v>
      </c>
      <c r="F18" s="561">
        <v>42660.0</v>
      </c>
      <c r="G18" s="561">
        <v>42663.0</v>
      </c>
      <c r="H18" s="433" t="s">
        <v>162</v>
      </c>
    </row>
    <row r="19">
      <c r="B19" s="432" t="s">
        <v>694</v>
      </c>
      <c r="C19" s="432"/>
      <c r="D19" s="515" t="s">
        <v>152</v>
      </c>
      <c r="E19" s="530" t="str">
        <f>HYPERLINK("https://www.reddit.com/r/RMTK/comments/5c374e/w0054_wet_tot_het_mogelijk_maken_van_een_bindend/" , "Wet tot het mogelijk maken van een Bindend Referendum ")</f>
        <v>Wet tot het mogelijk maken van een Bindend Referendum </v>
      </c>
      <c r="F19" s="561">
        <v>42683.0</v>
      </c>
      <c r="G19" s="561">
        <v>42686.0</v>
      </c>
      <c r="H19" s="433" t="s">
        <v>162</v>
      </c>
    </row>
    <row r="20">
      <c r="A20" s="390"/>
      <c r="B20" s="427"/>
      <c r="C20" s="427">
        <v>1.0</v>
      </c>
      <c r="D20" s="578" t="s">
        <v>21</v>
      </c>
      <c r="E20" s="582" t="str">
        <f>HYPERLINK("https://www.reddit.com/r/RMTK/comments/5cxkll/w0054_1_amendement_omtrend_informatievoorziening/","Amendement op de Wet tot het mogelijk maken van een Bindend Referendum")</f>
        <v>Amendement op de Wet tot het mogelijk maken van een Bindend Referendum</v>
      </c>
      <c r="F20" s="583">
        <v>42688.0</v>
      </c>
      <c r="G20" s="583">
        <v>42691.0</v>
      </c>
      <c r="H20" s="430" t="s">
        <v>162</v>
      </c>
      <c r="I20" s="65"/>
    </row>
    <row r="21">
      <c r="A21" s="436" t="s">
        <v>359</v>
      </c>
      <c r="B21" s="432" t="s">
        <v>710</v>
      </c>
      <c r="C21" s="432"/>
      <c r="D21" s="515" t="s">
        <v>21</v>
      </c>
      <c r="E21" s="584" t="str">
        <f>HYPERLINK("https://www.reddit.com/r/RMTK/comments/5j7q5t/w0069_wetsvoorstel_tot_wijziging_van_de_grondwet/","Grondwetswijziging betreffende grondwetswjizigingen")</f>
        <v>Grondwetswijziging betreffende grondwetswjizigingen</v>
      </c>
      <c r="F21" s="561">
        <v>42724.0</v>
      </c>
      <c r="G21" s="561">
        <v>42726.0</v>
      </c>
      <c r="H21" s="433" t="s">
        <v>166</v>
      </c>
    </row>
    <row r="22">
      <c r="B22" s="432"/>
      <c r="C22" s="432">
        <v>1.0</v>
      </c>
      <c r="D22" s="551" t="s">
        <v>165</v>
      </c>
      <c r="E22" s="585" t="str">
        <f>HYPERLINK("https://www.reddit.com/r/RMTK/comments/5m0mvx/w0069i_amendement_betreffende_de_eisen_voor_een/?utm_content=title&amp;utm_medium=hot&amp;utm_source=reddit&amp;utm_name=RMTK","Amendement betreffende de Eisen voor een Grondwetswijziging")</f>
        <v>Amendement betreffende de Eisen voor een Grondwetswijziging</v>
      </c>
      <c r="F22" s="561">
        <v>42739.0</v>
      </c>
      <c r="G22" s="561">
        <v>42742.0</v>
      </c>
      <c r="H22" s="433" t="s">
        <v>166</v>
      </c>
    </row>
    <row r="23">
      <c r="A23" s="436" t="s">
        <v>389</v>
      </c>
      <c r="B23" s="437" t="s">
        <v>725</v>
      </c>
      <c r="C23" s="437"/>
      <c r="D23" s="512" t="s">
        <v>152</v>
      </c>
      <c r="E23" s="566" t="str">
        <f>hyperlink("https://www.reddit.com/r/RMTK/comments/639r5j/w0082_wet_tot_het_in_stand_brengen_van_een/","Wet tot het in stand brengen van een systeem voor het privaat sponsoren van asielzoekers")</f>
        <v>Wet tot het in stand brengen van een systeem voor het privaat sponsoren van asielzoekers</v>
      </c>
      <c r="F23" s="586">
        <v>42828.0</v>
      </c>
      <c r="G23" s="581">
        <v>42831.0</v>
      </c>
      <c r="H23" s="523" t="s">
        <v>170</v>
      </c>
      <c r="I23" s="204"/>
    </row>
    <row r="24">
      <c r="B24" s="424"/>
      <c r="C24" s="424">
        <v>1.0</v>
      </c>
      <c r="D24" s="587" t="s">
        <v>410</v>
      </c>
      <c r="E24" s="572" t="str">
        <f>HYPERLINK("https://www.reddit.com/r/RMTK/comments/640hed/w0082i_amendement_betreffende_de_lijst_onveilige/","Amendement betreffende de Lijst Onveilige Landen en het jaarlijks plafond.")</f>
        <v>Amendement betreffende de Lijst Onveilige Landen en het jaarlijks plafond.</v>
      </c>
      <c r="F24" s="588">
        <v>42832.0</v>
      </c>
      <c r="G24" s="561">
        <v>42835.0</v>
      </c>
      <c r="H24" s="433" t="s">
        <v>166</v>
      </c>
    </row>
    <row r="25">
      <c r="B25" s="432" t="s">
        <v>731</v>
      </c>
      <c r="C25" s="432"/>
      <c r="D25" s="515" t="s">
        <v>152</v>
      </c>
      <c r="E25" s="411" t="str">
        <f>HYPERLINK("https://www.reddit.com/r/RMTK/comments/6884zn/w0087_wet_wraakporno/","Wet Wraakporno")</f>
        <v>Wet Wraakporno</v>
      </c>
      <c r="F25" s="516">
        <v>42851.0</v>
      </c>
      <c r="G25" s="517">
        <f>F25+4</f>
        <v>42855</v>
      </c>
      <c r="H25" s="433" t="s">
        <v>166</v>
      </c>
    </row>
    <row r="26">
      <c r="A26" s="390"/>
      <c r="B26" s="427"/>
      <c r="C26" s="427">
        <v>1.0</v>
      </c>
      <c r="D26" s="589" t="s">
        <v>21</v>
      </c>
      <c r="E26" s="590" t="str">
        <f>HYPERLINK("https://www.reddit.com/r/RMTK/comments/6adu4n/w0087i_amendement_wet_wraakporno_betreffende/","Amendement Wet Wraakporno betreffende opzettelijkheid ")</f>
        <v>Amendement Wet Wraakporno betreffende opzettelijkheid </v>
      </c>
      <c r="F26" s="583">
        <v>42865.0</v>
      </c>
      <c r="G26" s="583">
        <v>42869.0</v>
      </c>
      <c r="H26" s="430" t="s">
        <v>166</v>
      </c>
      <c r="I26" s="65"/>
    </row>
    <row r="27">
      <c r="A27" s="367" t="s">
        <v>432</v>
      </c>
      <c r="B27" s="432" t="s">
        <v>746</v>
      </c>
      <c r="C27" s="432"/>
      <c r="D27" s="565" t="s">
        <v>12</v>
      </c>
      <c r="E27" s="572" t="s">
        <v>747</v>
      </c>
      <c r="F27" s="561">
        <v>42916.0</v>
      </c>
      <c r="G27" s="561">
        <v>42920.0</v>
      </c>
      <c r="H27" s="433" t="s">
        <v>162</v>
      </c>
    </row>
    <row r="28">
      <c r="B28" s="432"/>
      <c r="C28" s="432">
        <v>1.0</v>
      </c>
      <c r="D28" s="565" t="s">
        <v>437</v>
      </c>
      <c r="E28" s="572" t="str">
        <f>HYPERLINK("https://www.reddit.com/r/RMTK/comments/6mus5o/w0097i_amendement_betreffende_de_hoogte_van/","Amendement betreffende de hoogte van Beloning - 1%")</f>
        <v>Amendement betreffende de hoogte van Beloning - 1%</v>
      </c>
      <c r="F28" s="561">
        <v>42928.0</v>
      </c>
      <c r="G28" s="561">
        <v>42931.0</v>
      </c>
      <c r="H28" s="433" t="s">
        <v>162</v>
      </c>
    </row>
    <row r="29">
      <c r="A29" s="390"/>
      <c r="B29" s="432"/>
      <c r="C29" s="432">
        <v>2.0</v>
      </c>
      <c r="D29" s="589" t="s">
        <v>107</v>
      </c>
      <c r="E29" s="572" t="str">
        <f>HYPERLINK("https://www.reddit.com/r/RMTK/comments/6n98te/w0097ii_amendement_betreffende_de_hoogte_van/","Amendement betreffende de hoogte van Beloning - 50%")</f>
        <v>Amendement betreffende de hoogte van Beloning - 50%</v>
      </c>
      <c r="F29" s="561">
        <v>42930.0</v>
      </c>
      <c r="G29" s="561">
        <v>42933.0</v>
      </c>
      <c r="H29" s="433" t="s">
        <v>162</v>
      </c>
      <c r="I29" s="65"/>
    </row>
    <row r="30">
      <c r="A30" s="436" t="s">
        <v>481</v>
      </c>
      <c r="B30" s="568"/>
      <c r="C30" s="568"/>
      <c r="D30" s="494" t="s">
        <v>819</v>
      </c>
      <c r="E30" s="108"/>
      <c r="F30" s="108"/>
      <c r="G30" s="108"/>
      <c r="H30" s="108"/>
      <c r="I30" s="108"/>
    </row>
    <row r="31">
      <c r="A31" s="436" t="s">
        <v>507</v>
      </c>
      <c r="B31" s="432" t="s">
        <v>776</v>
      </c>
      <c r="C31" s="432"/>
      <c r="D31" s="515" t="s">
        <v>152</v>
      </c>
      <c r="E31" s="397" t="s">
        <v>777</v>
      </c>
      <c r="F31" s="516">
        <v>43033.0</v>
      </c>
      <c r="G31" s="517">
        <f>F31+4</f>
        <v>43037</v>
      </c>
      <c r="H31" s="433" t="s">
        <v>162</v>
      </c>
    </row>
    <row r="32">
      <c r="B32" s="432"/>
      <c r="C32" s="432">
        <v>1.0</v>
      </c>
      <c r="D32" s="565" t="s">
        <v>437</v>
      </c>
      <c r="E32" s="397" t="s">
        <v>820</v>
      </c>
      <c r="F32" s="516">
        <v>43045.0</v>
      </c>
      <c r="G32" s="516">
        <v>43048.0</v>
      </c>
      <c r="H32" s="433" t="s">
        <v>162</v>
      </c>
    </row>
    <row r="33">
      <c r="A33" s="591" t="s">
        <v>554</v>
      </c>
      <c r="B33" s="592"/>
      <c r="C33" s="592"/>
      <c r="D33" s="593" t="s">
        <v>821</v>
      </c>
      <c r="E33" s="108"/>
      <c r="F33" s="108"/>
      <c r="G33" s="108"/>
      <c r="H33" s="108"/>
      <c r="I33" s="109"/>
    </row>
    <row r="34">
      <c r="A34" s="594"/>
      <c r="B34" s="427"/>
      <c r="C34" s="427"/>
      <c r="D34" s="595" t="s">
        <v>822</v>
      </c>
      <c r="E34" s="432" t="s">
        <v>790</v>
      </c>
      <c r="F34" s="524" t="s">
        <v>823</v>
      </c>
      <c r="G34" s="596" t="s">
        <v>156</v>
      </c>
      <c r="H34" s="597" t="s">
        <v>158</v>
      </c>
      <c r="I34" s="65"/>
    </row>
    <row r="35">
      <c r="A35" s="367" t="s">
        <v>575</v>
      </c>
      <c r="B35" s="432" t="s">
        <v>123</v>
      </c>
      <c r="C35" s="432"/>
      <c r="D35" s="515" t="s">
        <v>152</v>
      </c>
      <c r="E35" s="572" t="str">
        <f>HYPERLINK("https://www.reddit.com/r/RMTK/comments/8b6nkk/w0124i_amendement_op_de_begrotingswet_2018/","W0124-I: Amendement op de Begrotingswet 2018 aangaande Wonen en Rijksdienst ")</f>
        <v>W0124-I: Amendement op de Begrotingswet 2018 aangaande Wonen en Rijksdienst </v>
      </c>
      <c r="F35" s="377">
        <v>1.0</v>
      </c>
      <c r="G35" s="433" t="s">
        <v>166</v>
      </c>
      <c r="H35" s="433"/>
    </row>
    <row r="36">
      <c r="A36" s="390"/>
      <c r="B36" s="427"/>
      <c r="C36" s="427"/>
      <c r="D36" s="512" t="s">
        <v>152</v>
      </c>
      <c r="E36" s="590" t="str">
        <f>HYPERLINK("https://www.reddit.com/r/RMTK/comments/8b6nc3/w0124ii_amendement_op_de_wet_rijksbegroting_2018/","W0124-II: Amendement op de Wet Rijksbegroting 2018 aangaande onderwijs ")</f>
        <v>W0124-II: Amendement op de Wet Rijksbegroting 2018 aangaande onderwijs </v>
      </c>
      <c r="F36" s="394">
        <v>1.0</v>
      </c>
      <c r="G36" s="430" t="s">
        <v>166</v>
      </c>
      <c r="H36" s="430"/>
      <c r="I36" s="65"/>
    </row>
    <row r="37">
      <c r="A37" s="598" t="s">
        <v>588</v>
      </c>
      <c r="B37" s="427" t="s">
        <v>92</v>
      </c>
      <c r="C37" s="427"/>
      <c r="D37" s="599" t="s">
        <v>15</v>
      </c>
      <c r="E37" s="600" t="s">
        <v>824</v>
      </c>
      <c r="F37" s="394">
        <v>1.0</v>
      </c>
      <c r="G37" s="430" t="s">
        <v>162</v>
      </c>
      <c r="H37" s="430"/>
      <c r="I37" s="65"/>
    </row>
    <row r="38">
      <c r="A38" s="598" t="s">
        <v>591</v>
      </c>
      <c r="B38" s="427"/>
      <c r="C38" s="427"/>
      <c r="D38" s="593" t="s">
        <v>821</v>
      </c>
      <c r="E38" s="108"/>
      <c r="F38" s="108"/>
      <c r="G38" s="108"/>
      <c r="H38" s="108"/>
      <c r="I38" s="109"/>
    </row>
    <row r="39">
      <c r="A39" s="367" t="s">
        <v>805</v>
      </c>
      <c r="B39" s="432"/>
      <c r="C39" s="432"/>
      <c r="D39" s="565"/>
      <c r="E39" s="601"/>
      <c r="F39" s="573"/>
      <c r="G39" s="573"/>
      <c r="H39" s="433"/>
    </row>
    <row r="40">
      <c r="A40" s="367"/>
      <c r="B40" s="432"/>
      <c r="C40" s="432"/>
      <c r="D40" s="565"/>
      <c r="E40" s="601"/>
      <c r="F40" s="573"/>
      <c r="G40" s="573"/>
      <c r="H40" s="433"/>
    </row>
    <row r="41">
      <c r="A41" s="367"/>
      <c r="B41" s="432"/>
      <c r="C41" s="432"/>
      <c r="D41" s="565"/>
      <c r="E41" s="601"/>
      <c r="F41" s="573"/>
      <c r="G41" s="573"/>
      <c r="H41" s="433"/>
    </row>
    <row r="42">
      <c r="A42" s="367"/>
      <c r="B42" s="432"/>
      <c r="C42" s="432"/>
      <c r="D42" s="565"/>
      <c r="E42" s="601"/>
      <c r="F42" s="573"/>
      <c r="G42" s="573"/>
      <c r="H42" s="433"/>
    </row>
    <row r="43">
      <c r="A43" s="367"/>
      <c r="B43" s="432"/>
      <c r="C43" s="432"/>
      <c r="D43" s="565"/>
      <c r="E43" s="601"/>
      <c r="F43" s="573"/>
      <c r="G43" s="573"/>
      <c r="H43" s="433"/>
    </row>
    <row r="44">
      <c r="A44" s="367"/>
      <c r="B44" s="432"/>
      <c r="C44" s="432"/>
      <c r="D44" s="565"/>
      <c r="E44" s="601"/>
      <c r="F44" s="573"/>
      <c r="G44" s="573"/>
      <c r="H44" s="433"/>
    </row>
    <row r="45">
      <c r="A45" s="367"/>
      <c r="B45" s="432"/>
      <c r="C45" s="432"/>
      <c r="D45" s="565"/>
      <c r="E45" s="601"/>
      <c r="F45" s="573"/>
      <c r="G45" s="573"/>
      <c r="H45" s="433"/>
    </row>
    <row r="46">
      <c r="A46" s="367"/>
      <c r="B46" s="432"/>
      <c r="C46" s="432"/>
      <c r="D46" s="565"/>
      <c r="E46" s="601"/>
      <c r="F46" s="573"/>
      <c r="G46" s="573"/>
      <c r="H46" s="433"/>
    </row>
    <row r="47">
      <c r="A47" s="367"/>
      <c r="B47" s="432"/>
      <c r="C47" s="432"/>
      <c r="D47" s="565"/>
      <c r="E47" s="601"/>
      <c r="F47" s="573"/>
      <c r="G47" s="573"/>
      <c r="H47" s="433"/>
    </row>
    <row r="48">
      <c r="A48" s="367"/>
      <c r="B48" s="432"/>
      <c r="C48" s="432"/>
      <c r="D48" s="565"/>
      <c r="E48" s="601"/>
      <c r="F48" s="573"/>
      <c r="G48" s="573"/>
      <c r="H48" s="433"/>
    </row>
    <row r="49">
      <c r="A49" s="367"/>
      <c r="B49" s="432"/>
      <c r="C49" s="432"/>
      <c r="D49" s="565"/>
      <c r="E49" s="601"/>
      <c r="F49" s="573"/>
      <c r="G49" s="573"/>
      <c r="H49" s="433"/>
    </row>
    <row r="50">
      <c r="A50" s="367"/>
      <c r="B50" s="432"/>
      <c r="C50" s="432"/>
      <c r="D50" s="565"/>
      <c r="E50" s="601"/>
      <c r="F50" s="573"/>
      <c r="G50" s="573"/>
      <c r="H50" s="433"/>
    </row>
    <row r="51">
      <c r="A51" s="367"/>
      <c r="B51" s="432"/>
      <c r="C51" s="432"/>
      <c r="D51" s="565"/>
      <c r="E51" s="601"/>
      <c r="F51" s="573"/>
      <c r="G51" s="573"/>
      <c r="H51" s="433"/>
    </row>
    <row r="52">
      <c r="A52" s="367"/>
      <c r="B52" s="432"/>
      <c r="C52" s="432"/>
      <c r="D52" s="565"/>
      <c r="E52" s="601"/>
      <c r="F52" s="573"/>
      <c r="G52" s="573"/>
      <c r="H52" s="433"/>
    </row>
    <row r="53">
      <c r="A53" s="367"/>
      <c r="B53" s="432"/>
      <c r="C53" s="432"/>
      <c r="D53" s="565"/>
      <c r="E53" s="601"/>
      <c r="F53" s="573"/>
      <c r="G53" s="573"/>
      <c r="H53" s="433"/>
    </row>
    <row r="54">
      <c r="A54" s="367"/>
      <c r="B54" s="432"/>
      <c r="C54" s="432"/>
      <c r="D54" s="565"/>
      <c r="E54" s="601"/>
      <c r="F54" s="573"/>
      <c r="G54" s="573"/>
      <c r="H54" s="433"/>
    </row>
    <row r="55">
      <c r="A55" s="367"/>
      <c r="B55" s="432"/>
      <c r="C55" s="432"/>
      <c r="D55" s="565"/>
      <c r="E55" s="601"/>
      <c r="F55" s="573"/>
      <c r="G55" s="573"/>
      <c r="H55" s="433"/>
    </row>
    <row r="56">
      <c r="A56" s="367"/>
      <c r="B56" s="432"/>
      <c r="C56" s="432"/>
      <c r="D56" s="565"/>
      <c r="E56" s="601"/>
      <c r="F56" s="573"/>
      <c r="G56" s="573"/>
      <c r="H56" s="433"/>
    </row>
    <row r="57">
      <c r="A57" s="367"/>
      <c r="B57" s="432"/>
      <c r="C57" s="432"/>
      <c r="D57" s="565"/>
      <c r="E57" s="601"/>
      <c r="F57" s="573"/>
      <c r="G57" s="573"/>
      <c r="H57" s="433"/>
    </row>
    <row r="58">
      <c r="A58" s="367"/>
      <c r="B58" s="432"/>
      <c r="C58" s="432"/>
      <c r="D58" s="565"/>
      <c r="E58" s="601"/>
      <c r="F58" s="573"/>
      <c r="G58" s="573"/>
      <c r="H58" s="433"/>
    </row>
    <row r="59">
      <c r="A59" s="367"/>
      <c r="B59" s="432"/>
      <c r="C59" s="432"/>
      <c r="D59" s="565"/>
      <c r="E59" s="601"/>
      <c r="F59" s="573"/>
      <c r="G59" s="573"/>
      <c r="H59" s="433"/>
    </row>
    <row r="60">
      <c r="A60" s="367"/>
      <c r="B60" s="432"/>
      <c r="C60" s="432"/>
      <c r="D60" s="565"/>
      <c r="E60" s="601"/>
      <c r="F60" s="573"/>
      <c r="G60" s="573"/>
      <c r="H60" s="433"/>
    </row>
    <row r="61">
      <c r="A61" s="367"/>
      <c r="B61" s="432"/>
      <c r="C61" s="432"/>
      <c r="D61" s="565"/>
      <c r="E61" s="601"/>
      <c r="F61" s="573"/>
      <c r="G61" s="573"/>
      <c r="H61" s="433"/>
    </row>
    <row r="62">
      <c r="A62" s="367"/>
      <c r="B62" s="432"/>
      <c r="C62" s="432"/>
      <c r="D62" s="565"/>
      <c r="E62" s="601"/>
      <c r="F62" s="573"/>
      <c r="G62" s="573"/>
      <c r="H62" s="433"/>
    </row>
    <row r="63">
      <c r="A63" s="367"/>
      <c r="B63" s="432"/>
      <c r="C63" s="432"/>
      <c r="D63" s="565"/>
      <c r="E63" s="601"/>
      <c r="F63" s="573"/>
      <c r="G63" s="573"/>
      <c r="H63" s="433"/>
    </row>
    <row r="64">
      <c r="A64" s="367"/>
      <c r="B64" s="432"/>
      <c r="C64" s="432"/>
      <c r="D64" s="565"/>
      <c r="E64" s="601"/>
      <c r="F64" s="573"/>
      <c r="G64" s="573"/>
      <c r="H64" s="433"/>
    </row>
    <row r="65">
      <c r="A65" s="367"/>
      <c r="B65" s="432"/>
      <c r="C65" s="432"/>
      <c r="D65" s="565"/>
      <c r="E65" s="601"/>
      <c r="F65" s="573"/>
      <c r="G65" s="573"/>
      <c r="H65" s="433"/>
    </row>
    <row r="66">
      <c r="A66" s="367"/>
      <c r="B66" s="432"/>
      <c r="C66" s="432"/>
      <c r="D66" s="565"/>
      <c r="E66" s="601"/>
      <c r="F66" s="573"/>
      <c r="G66" s="573"/>
      <c r="H66" s="433"/>
    </row>
    <row r="67">
      <c r="A67" s="367"/>
      <c r="B67" s="432"/>
      <c r="C67" s="432"/>
      <c r="D67" s="565"/>
      <c r="E67" s="601"/>
      <c r="F67" s="573"/>
      <c r="G67" s="573"/>
      <c r="H67" s="433"/>
    </row>
    <row r="68">
      <c r="A68" s="367"/>
      <c r="B68" s="432"/>
      <c r="C68" s="432"/>
      <c r="D68" s="565"/>
      <c r="E68" s="601"/>
      <c r="F68" s="573"/>
      <c r="G68" s="573"/>
      <c r="H68" s="433"/>
    </row>
    <row r="69">
      <c r="A69" s="367"/>
      <c r="B69" s="432"/>
      <c r="C69" s="432"/>
      <c r="D69" s="565"/>
      <c r="E69" s="601"/>
      <c r="F69" s="573"/>
      <c r="G69" s="573"/>
      <c r="H69" s="433"/>
    </row>
    <row r="70">
      <c r="A70" s="367"/>
      <c r="B70" s="432"/>
      <c r="C70" s="432"/>
      <c r="D70" s="565"/>
      <c r="E70" s="601"/>
      <c r="F70" s="573"/>
      <c r="G70" s="573"/>
      <c r="H70" s="433"/>
    </row>
    <row r="71">
      <c r="A71" s="367"/>
      <c r="B71" s="432"/>
      <c r="C71" s="432"/>
      <c r="D71" s="565"/>
      <c r="E71" s="601"/>
      <c r="F71" s="573"/>
      <c r="G71" s="573"/>
      <c r="H71" s="433"/>
    </row>
    <row r="72">
      <c r="A72" s="367"/>
      <c r="B72" s="432"/>
      <c r="C72" s="432"/>
      <c r="D72" s="565"/>
      <c r="E72" s="601"/>
      <c r="F72" s="573"/>
      <c r="G72" s="573"/>
      <c r="H72" s="433"/>
    </row>
    <row r="73">
      <c r="A73" s="367"/>
      <c r="B73" s="432"/>
      <c r="C73" s="432"/>
      <c r="D73" s="565"/>
      <c r="E73" s="601"/>
      <c r="F73" s="573"/>
      <c r="G73" s="573"/>
      <c r="H73" s="433"/>
    </row>
    <row r="74">
      <c r="A74" s="367"/>
      <c r="B74" s="432"/>
      <c r="C74" s="432"/>
      <c r="D74" s="565"/>
      <c r="E74" s="601"/>
      <c r="F74" s="573"/>
      <c r="G74" s="573"/>
      <c r="H74" s="433"/>
    </row>
    <row r="75">
      <c r="A75" s="367"/>
      <c r="B75" s="432"/>
      <c r="C75" s="432"/>
      <c r="D75" s="565"/>
      <c r="E75" s="601"/>
      <c r="F75" s="573"/>
      <c r="G75" s="573"/>
      <c r="H75" s="433"/>
    </row>
    <row r="76">
      <c r="A76" s="367"/>
      <c r="B76" s="432"/>
      <c r="C76" s="432"/>
      <c r="D76" s="565"/>
      <c r="E76" s="601"/>
      <c r="F76" s="573"/>
      <c r="G76" s="573"/>
      <c r="H76" s="433"/>
    </row>
    <row r="77">
      <c r="A77" s="367"/>
      <c r="B77" s="432"/>
      <c r="C77" s="432"/>
      <c r="D77" s="565"/>
      <c r="E77" s="601"/>
      <c r="F77" s="573"/>
      <c r="G77" s="573"/>
      <c r="H77" s="433"/>
    </row>
    <row r="78">
      <c r="A78" s="367"/>
      <c r="B78" s="432"/>
      <c r="C78" s="432"/>
      <c r="D78" s="565"/>
      <c r="E78" s="601"/>
      <c r="F78" s="573"/>
      <c r="G78" s="573"/>
      <c r="H78" s="433"/>
    </row>
    <row r="79">
      <c r="A79" s="367"/>
      <c r="B79" s="432"/>
      <c r="C79" s="432"/>
      <c r="D79" s="565"/>
      <c r="E79" s="601"/>
      <c r="F79" s="573"/>
      <c r="G79" s="573"/>
      <c r="H79" s="433"/>
    </row>
    <row r="80">
      <c r="A80" s="367"/>
      <c r="B80" s="432"/>
      <c r="C80" s="432"/>
      <c r="D80" s="565"/>
      <c r="E80" s="601"/>
      <c r="F80" s="573"/>
      <c r="G80" s="573"/>
      <c r="H80" s="433"/>
    </row>
    <row r="81">
      <c r="A81" s="367"/>
      <c r="B81" s="432"/>
      <c r="C81" s="432"/>
      <c r="D81" s="565"/>
      <c r="E81" s="601"/>
      <c r="F81" s="573"/>
      <c r="G81" s="573"/>
      <c r="H81" s="433"/>
    </row>
    <row r="82">
      <c r="A82" s="367"/>
      <c r="B82" s="432"/>
      <c r="C82" s="432"/>
      <c r="D82" s="565"/>
      <c r="E82" s="601"/>
      <c r="F82" s="573"/>
      <c r="G82" s="573"/>
      <c r="H82" s="433"/>
    </row>
    <row r="83">
      <c r="A83" s="367"/>
      <c r="B83" s="432"/>
      <c r="C83" s="432"/>
      <c r="D83" s="565"/>
      <c r="E83" s="601"/>
      <c r="F83" s="573"/>
      <c r="G83" s="573"/>
      <c r="H83" s="433"/>
    </row>
    <row r="84">
      <c r="A84" s="367"/>
      <c r="B84" s="432"/>
      <c r="C84" s="432"/>
      <c r="D84" s="565"/>
      <c r="E84" s="601"/>
      <c r="F84" s="573"/>
      <c r="G84" s="573"/>
      <c r="H84" s="433"/>
    </row>
    <row r="85">
      <c r="A85" s="367"/>
      <c r="B85" s="432"/>
      <c r="C85" s="432"/>
      <c r="D85" s="565"/>
      <c r="E85" s="601"/>
      <c r="F85" s="573"/>
      <c r="G85" s="573"/>
      <c r="H85" s="433"/>
    </row>
    <row r="86">
      <c r="A86" s="367"/>
      <c r="B86" s="432"/>
      <c r="C86" s="432"/>
      <c r="D86" s="565"/>
      <c r="E86" s="601"/>
      <c r="F86" s="573"/>
      <c r="G86" s="573"/>
      <c r="H86" s="433"/>
    </row>
    <row r="87">
      <c r="A87" s="367"/>
      <c r="B87" s="432"/>
      <c r="C87" s="432"/>
      <c r="D87" s="565"/>
      <c r="E87" s="601"/>
      <c r="F87" s="573"/>
      <c r="G87" s="573"/>
      <c r="H87" s="433"/>
    </row>
    <row r="88">
      <c r="A88" s="367"/>
      <c r="B88" s="432"/>
      <c r="C88" s="432"/>
      <c r="D88" s="565"/>
      <c r="E88" s="601"/>
      <c r="F88" s="573"/>
      <c r="G88" s="573"/>
      <c r="H88" s="433"/>
    </row>
    <row r="89">
      <c r="A89" s="367"/>
      <c r="B89" s="432"/>
      <c r="C89" s="432"/>
      <c r="D89" s="565"/>
      <c r="E89" s="601"/>
      <c r="F89" s="573"/>
      <c r="G89" s="573"/>
      <c r="H89" s="433"/>
    </row>
    <row r="90">
      <c r="A90" s="367"/>
      <c r="B90" s="432"/>
      <c r="C90" s="432"/>
      <c r="D90" s="565"/>
      <c r="E90" s="601"/>
      <c r="F90" s="573"/>
      <c r="G90" s="573"/>
      <c r="H90" s="433"/>
    </row>
    <row r="91">
      <c r="A91" s="367"/>
      <c r="B91" s="432"/>
      <c r="C91" s="432"/>
      <c r="D91" s="565"/>
      <c r="E91" s="601"/>
      <c r="F91" s="573"/>
      <c r="G91" s="573"/>
      <c r="H91" s="433"/>
    </row>
    <row r="92">
      <c r="A92" s="367"/>
      <c r="B92" s="432"/>
      <c r="C92" s="432"/>
      <c r="D92" s="565"/>
      <c r="E92" s="601"/>
      <c r="F92" s="573"/>
      <c r="G92" s="573"/>
      <c r="H92" s="433"/>
    </row>
    <row r="93">
      <c r="A93" s="367"/>
      <c r="B93" s="432"/>
      <c r="C93" s="432"/>
      <c r="D93" s="565"/>
      <c r="E93" s="601"/>
      <c r="F93" s="573"/>
      <c r="G93" s="573"/>
      <c r="H93" s="433"/>
    </row>
    <row r="94">
      <c r="A94" s="367"/>
      <c r="B94" s="432"/>
      <c r="C94" s="432"/>
      <c r="D94" s="565"/>
      <c r="E94" s="601"/>
      <c r="F94" s="573"/>
      <c r="G94" s="573"/>
      <c r="H94" s="433"/>
    </row>
    <row r="95">
      <c r="A95" s="367"/>
      <c r="B95" s="432"/>
      <c r="C95" s="432"/>
      <c r="D95" s="565"/>
      <c r="E95" s="601"/>
      <c r="F95" s="573"/>
      <c r="G95" s="573"/>
      <c r="H95" s="433"/>
    </row>
    <row r="96">
      <c r="A96" s="367"/>
      <c r="B96" s="432"/>
      <c r="C96" s="432"/>
      <c r="D96" s="565"/>
      <c r="E96" s="601"/>
      <c r="F96" s="573"/>
      <c r="G96" s="573"/>
      <c r="H96" s="433"/>
    </row>
    <row r="97">
      <c r="A97" s="367"/>
      <c r="B97" s="432"/>
      <c r="C97" s="432"/>
      <c r="D97" s="565"/>
      <c r="E97" s="601"/>
      <c r="F97" s="573"/>
      <c r="G97" s="573"/>
      <c r="H97" s="433"/>
    </row>
    <row r="98">
      <c r="A98" s="367"/>
      <c r="B98" s="432"/>
      <c r="C98" s="432"/>
      <c r="D98" s="565"/>
      <c r="E98" s="601"/>
      <c r="F98" s="573"/>
      <c r="G98" s="573"/>
      <c r="H98" s="433"/>
    </row>
    <row r="99">
      <c r="A99" s="367"/>
      <c r="B99" s="432"/>
      <c r="C99" s="432"/>
      <c r="D99" s="565"/>
      <c r="E99" s="601"/>
      <c r="F99" s="573"/>
      <c r="G99" s="573"/>
      <c r="H99" s="433"/>
    </row>
    <row r="100">
      <c r="A100" s="367"/>
      <c r="B100" s="432"/>
      <c r="C100" s="432"/>
      <c r="D100" s="565"/>
      <c r="E100" s="601"/>
      <c r="F100" s="573"/>
      <c r="G100" s="573"/>
      <c r="H100" s="433"/>
    </row>
    <row r="101">
      <c r="A101" s="367"/>
      <c r="B101" s="432"/>
      <c r="C101" s="432"/>
      <c r="D101" s="565"/>
      <c r="E101" s="601"/>
      <c r="F101" s="573"/>
      <c r="G101" s="573"/>
      <c r="H101" s="433"/>
    </row>
    <row r="102">
      <c r="A102" s="367"/>
      <c r="B102" s="432"/>
      <c r="C102" s="432"/>
      <c r="D102" s="565"/>
      <c r="E102" s="601"/>
      <c r="F102" s="573"/>
      <c r="G102" s="573"/>
      <c r="H102" s="433"/>
    </row>
    <row r="103">
      <c r="A103" s="367"/>
      <c r="B103" s="432"/>
      <c r="C103" s="432"/>
      <c r="D103" s="565"/>
      <c r="E103" s="601"/>
      <c r="F103" s="573"/>
      <c r="G103" s="573"/>
      <c r="H103" s="433"/>
    </row>
    <row r="104">
      <c r="A104" s="367"/>
      <c r="B104" s="432"/>
      <c r="C104" s="432"/>
      <c r="D104" s="565"/>
      <c r="E104" s="601"/>
      <c r="F104" s="573"/>
      <c r="G104" s="573"/>
      <c r="H104" s="433"/>
    </row>
    <row r="105">
      <c r="A105" s="367"/>
      <c r="B105" s="432"/>
      <c r="C105" s="432"/>
      <c r="D105" s="565"/>
      <c r="E105" s="601"/>
      <c r="F105" s="573"/>
      <c r="G105" s="573"/>
      <c r="H105" s="433"/>
    </row>
    <row r="106">
      <c r="A106" s="367"/>
      <c r="B106" s="432"/>
      <c r="C106" s="432"/>
      <c r="D106" s="565"/>
      <c r="E106" s="601"/>
      <c r="F106" s="573"/>
      <c r="G106" s="573"/>
      <c r="H106" s="433"/>
    </row>
    <row r="107">
      <c r="A107" s="367"/>
      <c r="B107" s="432"/>
      <c r="C107" s="432"/>
      <c r="D107" s="565"/>
      <c r="E107" s="601"/>
      <c r="F107" s="573"/>
      <c r="G107" s="573"/>
      <c r="H107" s="433"/>
    </row>
    <row r="108">
      <c r="A108" s="367"/>
      <c r="B108" s="432"/>
      <c r="C108" s="432"/>
      <c r="D108" s="565"/>
      <c r="E108" s="601"/>
      <c r="F108" s="573"/>
      <c r="G108" s="573"/>
      <c r="H108" s="433"/>
    </row>
    <row r="109">
      <c r="A109" s="367"/>
      <c r="B109" s="432"/>
      <c r="C109" s="432"/>
      <c r="D109" s="565"/>
      <c r="E109" s="601"/>
      <c r="F109" s="573"/>
      <c r="G109" s="573"/>
      <c r="H109" s="433"/>
    </row>
    <row r="110">
      <c r="A110" s="367"/>
      <c r="B110" s="432"/>
      <c r="C110" s="432"/>
      <c r="D110" s="565"/>
      <c r="E110" s="601"/>
      <c r="F110" s="573"/>
      <c r="G110" s="573"/>
      <c r="H110" s="433"/>
    </row>
    <row r="111">
      <c r="A111" s="367"/>
      <c r="B111" s="432"/>
      <c r="C111" s="432"/>
      <c r="D111" s="565"/>
      <c r="E111" s="601"/>
      <c r="F111" s="573"/>
      <c r="G111" s="573"/>
      <c r="H111" s="433"/>
    </row>
    <row r="112">
      <c r="A112" s="367"/>
      <c r="B112" s="432"/>
      <c r="C112" s="432"/>
      <c r="D112" s="565"/>
      <c r="E112" s="601"/>
      <c r="F112" s="573"/>
      <c r="G112" s="573"/>
      <c r="H112" s="433"/>
    </row>
    <row r="113">
      <c r="A113" s="367"/>
      <c r="B113" s="432"/>
      <c r="C113" s="432"/>
      <c r="D113" s="565"/>
      <c r="E113" s="601"/>
      <c r="F113" s="573"/>
      <c r="G113" s="573"/>
      <c r="H113" s="433"/>
    </row>
    <row r="114">
      <c r="A114" s="367"/>
      <c r="B114" s="432"/>
      <c r="C114" s="432"/>
      <c r="D114" s="565"/>
      <c r="E114" s="601"/>
      <c r="F114" s="573"/>
      <c r="G114" s="573"/>
      <c r="H114" s="433"/>
    </row>
    <row r="115">
      <c r="A115" s="367"/>
      <c r="B115" s="432"/>
      <c r="C115" s="432"/>
      <c r="D115" s="565"/>
      <c r="E115" s="601"/>
      <c r="F115" s="573"/>
      <c r="G115" s="573"/>
      <c r="H115" s="433"/>
    </row>
    <row r="116">
      <c r="A116" s="367"/>
      <c r="B116" s="432"/>
      <c r="C116" s="432"/>
      <c r="D116" s="565"/>
      <c r="E116" s="601"/>
      <c r="F116" s="573"/>
      <c r="G116" s="573"/>
      <c r="H116" s="433"/>
    </row>
    <row r="117">
      <c r="A117" s="367"/>
      <c r="B117" s="432"/>
      <c r="C117" s="432"/>
      <c r="D117" s="565"/>
      <c r="E117" s="601"/>
      <c r="F117" s="573"/>
      <c r="G117" s="573"/>
      <c r="H117" s="433"/>
    </row>
    <row r="118">
      <c r="A118" s="367"/>
      <c r="B118" s="432"/>
      <c r="C118" s="432"/>
      <c r="D118" s="565"/>
      <c r="E118" s="601"/>
      <c r="F118" s="573"/>
      <c r="G118" s="573"/>
      <c r="H118" s="433"/>
    </row>
    <row r="119">
      <c r="A119" s="367"/>
      <c r="B119" s="432"/>
      <c r="C119" s="432"/>
      <c r="D119" s="565"/>
      <c r="E119" s="601"/>
      <c r="F119" s="573"/>
      <c r="G119" s="573"/>
      <c r="H119" s="433"/>
    </row>
    <row r="120">
      <c r="A120" s="367"/>
      <c r="B120" s="432"/>
      <c r="C120" s="432"/>
      <c r="D120" s="565"/>
      <c r="E120" s="601"/>
      <c r="F120" s="573"/>
      <c r="G120" s="573"/>
      <c r="H120" s="433"/>
    </row>
    <row r="121">
      <c r="A121" s="367"/>
      <c r="B121" s="432"/>
      <c r="C121" s="432"/>
      <c r="D121" s="565"/>
      <c r="E121" s="601"/>
      <c r="F121" s="573"/>
      <c r="G121" s="573"/>
      <c r="H121" s="433"/>
    </row>
    <row r="122">
      <c r="A122" s="367"/>
      <c r="B122" s="432"/>
      <c r="C122" s="432"/>
      <c r="D122" s="565"/>
      <c r="E122" s="601"/>
      <c r="F122" s="573"/>
      <c r="G122" s="573"/>
      <c r="H122" s="433"/>
    </row>
    <row r="123">
      <c r="A123" s="367"/>
      <c r="B123" s="432"/>
      <c r="C123" s="432"/>
      <c r="D123" s="565"/>
      <c r="E123" s="601"/>
      <c r="F123" s="573"/>
      <c r="G123" s="573"/>
      <c r="H123" s="433"/>
    </row>
    <row r="124">
      <c r="A124" s="367"/>
      <c r="B124" s="432"/>
      <c r="C124" s="432"/>
      <c r="D124" s="565"/>
      <c r="E124" s="601"/>
      <c r="F124" s="573"/>
      <c r="G124" s="573"/>
      <c r="H124" s="433"/>
    </row>
    <row r="125">
      <c r="A125" s="367"/>
      <c r="B125" s="432"/>
      <c r="C125" s="432"/>
      <c r="D125" s="565"/>
      <c r="E125" s="601"/>
      <c r="F125" s="573"/>
      <c r="G125" s="573"/>
      <c r="H125" s="433"/>
    </row>
    <row r="126">
      <c r="A126" s="367"/>
      <c r="B126" s="432"/>
      <c r="C126" s="432"/>
      <c r="D126" s="565"/>
      <c r="E126" s="601"/>
      <c r="F126" s="573"/>
      <c r="G126" s="573"/>
      <c r="H126" s="433"/>
    </row>
    <row r="127">
      <c r="A127" s="367"/>
      <c r="B127" s="432"/>
      <c r="C127" s="432"/>
      <c r="D127" s="565"/>
      <c r="E127" s="601"/>
      <c r="F127" s="573"/>
      <c r="G127" s="573"/>
      <c r="H127" s="433"/>
    </row>
    <row r="128">
      <c r="A128" s="367"/>
      <c r="B128" s="432"/>
      <c r="C128" s="432"/>
      <c r="D128" s="565"/>
      <c r="E128" s="601"/>
      <c r="F128" s="573"/>
      <c r="G128" s="573"/>
      <c r="H128" s="433"/>
    </row>
    <row r="129">
      <c r="A129" s="367"/>
      <c r="B129" s="432"/>
      <c r="C129" s="432"/>
      <c r="D129" s="565"/>
      <c r="E129" s="601"/>
      <c r="F129" s="573"/>
      <c r="G129" s="573"/>
      <c r="H129" s="433"/>
    </row>
    <row r="130">
      <c r="A130" s="367"/>
      <c r="B130" s="432"/>
      <c r="C130" s="432"/>
      <c r="D130" s="565"/>
      <c r="E130" s="601"/>
      <c r="F130" s="573"/>
      <c r="G130" s="573"/>
      <c r="H130" s="433"/>
    </row>
    <row r="131">
      <c r="A131" s="367"/>
      <c r="B131" s="432"/>
      <c r="C131" s="432"/>
      <c r="D131" s="565"/>
      <c r="E131" s="601"/>
      <c r="F131" s="573"/>
      <c r="G131" s="573"/>
      <c r="H131" s="433"/>
    </row>
    <row r="132">
      <c r="A132" s="367"/>
      <c r="B132" s="432"/>
      <c r="C132" s="432"/>
      <c r="D132" s="565"/>
      <c r="E132" s="601"/>
      <c r="F132" s="573"/>
      <c r="G132" s="573"/>
      <c r="H132" s="433"/>
    </row>
    <row r="133">
      <c r="A133" s="367"/>
      <c r="B133" s="432"/>
      <c r="C133" s="432"/>
      <c r="D133" s="565"/>
      <c r="E133" s="601"/>
      <c r="F133" s="573"/>
      <c r="G133" s="573"/>
      <c r="H133" s="433"/>
    </row>
    <row r="134">
      <c r="A134" s="367"/>
      <c r="B134" s="432"/>
      <c r="C134" s="432"/>
      <c r="D134" s="565"/>
      <c r="E134" s="601"/>
      <c r="F134" s="573"/>
      <c r="G134" s="573"/>
      <c r="H134" s="433"/>
    </row>
    <row r="135">
      <c r="A135" s="367"/>
      <c r="B135" s="432"/>
      <c r="C135" s="432"/>
      <c r="D135" s="565"/>
      <c r="E135" s="601"/>
      <c r="F135" s="573"/>
      <c r="G135" s="573"/>
      <c r="H135" s="433"/>
    </row>
    <row r="136">
      <c r="A136" s="367"/>
      <c r="B136" s="432"/>
      <c r="C136" s="432"/>
      <c r="D136" s="565"/>
      <c r="E136" s="601"/>
      <c r="F136" s="573"/>
      <c r="G136" s="573"/>
      <c r="H136" s="433"/>
    </row>
    <row r="137">
      <c r="A137" s="367"/>
      <c r="B137" s="432"/>
      <c r="C137" s="432"/>
      <c r="D137" s="565"/>
      <c r="E137" s="601"/>
      <c r="F137" s="573"/>
      <c r="G137" s="573"/>
      <c r="H137" s="433"/>
    </row>
    <row r="138">
      <c r="A138" s="367"/>
      <c r="B138" s="432"/>
      <c r="C138" s="432"/>
      <c r="D138" s="565"/>
      <c r="E138" s="601"/>
      <c r="F138" s="573"/>
      <c r="G138" s="573"/>
      <c r="H138" s="433"/>
    </row>
    <row r="139">
      <c r="A139" s="367"/>
      <c r="B139" s="432"/>
      <c r="C139" s="432"/>
      <c r="D139" s="565"/>
      <c r="E139" s="601"/>
      <c r="F139" s="573"/>
      <c r="G139" s="573"/>
      <c r="H139" s="433"/>
    </row>
    <row r="140">
      <c r="A140" s="367"/>
      <c r="B140" s="432"/>
      <c r="C140" s="432"/>
      <c r="D140" s="565"/>
      <c r="E140" s="601"/>
      <c r="F140" s="573"/>
      <c r="G140" s="573"/>
      <c r="H140" s="433"/>
    </row>
    <row r="141">
      <c r="A141" s="367"/>
      <c r="B141" s="432"/>
      <c r="C141" s="432"/>
      <c r="D141" s="565"/>
      <c r="E141" s="601"/>
      <c r="F141" s="573"/>
      <c r="G141" s="573"/>
      <c r="H141" s="433"/>
    </row>
    <row r="142">
      <c r="A142" s="367"/>
      <c r="B142" s="432"/>
      <c r="C142" s="432"/>
      <c r="D142" s="565"/>
      <c r="E142" s="601"/>
      <c r="F142" s="573"/>
      <c r="G142" s="573"/>
      <c r="H142" s="433"/>
    </row>
    <row r="143">
      <c r="A143" s="367"/>
      <c r="B143" s="432"/>
      <c r="C143" s="432"/>
      <c r="D143" s="565"/>
      <c r="E143" s="601"/>
      <c r="F143" s="573"/>
      <c r="G143" s="573"/>
      <c r="H143" s="433"/>
    </row>
  </sheetData>
  <mergeCells count="73">
    <mergeCell ref="H77:I77"/>
    <mergeCell ref="H76:I76"/>
    <mergeCell ref="H74:I74"/>
    <mergeCell ref="H75:I75"/>
    <mergeCell ref="H78:I78"/>
    <mergeCell ref="H80:I80"/>
    <mergeCell ref="H79:I79"/>
    <mergeCell ref="H73:I73"/>
    <mergeCell ref="H84:I84"/>
    <mergeCell ref="H85:I85"/>
    <mergeCell ref="H81:I81"/>
    <mergeCell ref="H63:I63"/>
    <mergeCell ref="H62:I62"/>
    <mergeCell ref="H67:I67"/>
    <mergeCell ref="H66:I66"/>
    <mergeCell ref="H71:I71"/>
    <mergeCell ref="H72:I72"/>
    <mergeCell ref="H83:I83"/>
    <mergeCell ref="H82:I82"/>
    <mergeCell ref="H64:I64"/>
    <mergeCell ref="H68:I68"/>
    <mergeCell ref="H69:I69"/>
    <mergeCell ref="H70:I70"/>
    <mergeCell ref="H65:I65"/>
    <mergeCell ref="H48:I48"/>
    <mergeCell ref="H49:I49"/>
    <mergeCell ref="H42:I42"/>
    <mergeCell ref="H41:I41"/>
    <mergeCell ref="H43:I43"/>
    <mergeCell ref="H44:I44"/>
    <mergeCell ref="H47:I47"/>
    <mergeCell ref="H45:I45"/>
    <mergeCell ref="H46:I46"/>
    <mergeCell ref="H59:I59"/>
    <mergeCell ref="H58:I58"/>
    <mergeCell ref="H60:I60"/>
    <mergeCell ref="H61:I61"/>
    <mergeCell ref="H55:I55"/>
    <mergeCell ref="H56:I56"/>
    <mergeCell ref="H50:I50"/>
    <mergeCell ref="H51:I51"/>
    <mergeCell ref="H52:I52"/>
    <mergeCell ref="H57:I57"/>
    <mergeCell ref="H37:I37"/>
    <mergeCell ref="D38:I38"/>
    <mergeCell ref="D1:D2"/>
    <mergeCell ref="C1:C2"/>
    <mergeCell ref="F1:G1"/>
    <mergeCell ref="H1:H2"/>
    <mergeCell ref="D10:I10"/>
    <mergeCell ref="D9:I9"/>
    <mergeCell ref="I1:I2"/>
    <mergeCell ref="A17:A20"/>
    <mergeCell ref="A15:A16"/>
    <mergeCell ref="B1:B2"/>
    <mergeCell ref="A1:A2"/>
    <mergeCell ref="A31:A32"/>
    <mergeCell ref="A35:A36"/>
    <mergeCell ref="A21:A22"/>
    <mergeCell ref="A23:A26"/>
    <mergeCell ref="A27:A29"/>
    <mergeCell ref="E1:E2"/>
    <mergeCell ref="A11:A14"/>
    <mergeCell ref="A3:A8"/>
    <mergeCell ref="H39:I39"/>
    <mergeCell ref="H36:I36"/>
    <mergeCell ref="D30:I30"/>
    <mergeCell ref="H35:I35"/>
    <mergeCell ref="H34:I34"/>
    <mergeCell ref="H40:I40"/>
    <mergeCell ref="D33:I33"/>
    <mergeCell ref="H53:I53"/>
    <mergeCell ref="H54:I54"/>
  </mergeCells>
  <conditionalFormatting sqref="H31:H32 G35:G37">
    <cfRule type="containsText" dxfId="10" priority="1" operator="containsText" text="In stemming">
      <formula>NOT(ISERROR(SEARCH(("In stemming"),(H31))))</formula>
    </cfRule>
  </conditionalFormatting>
  <conditionalFormatting sqref="H31:H32 G35:G37">
    <cfRule type="containsText" dxfId="10" priority="2" operator="containsText" text="stembus">
      <formula>NOT(ISERROR(SEARCH(("stembus"),(H31))))</formula>
    </cfRule>
  </conditionalFormatting>
  <conditionalFormatting sqref="H31:H32 G35:G37">
    <cfRule type="containsText" dxfId="12" priority="3" operator="containsText" text="In afwachting">
      <formula>NOT(ISERROR(SEARCH(("In afwachting"),(H31))))</formula>
    </cfRule>
  </conditionalFormatting>
  <conditionalFormatting sqref="H31:H32 G35:G37">
    <cfRule type="containsText" dxfId="13" priority="4" operator="containsText" text="i.a.v. EK">
      <formula>NOT(ISERROR(SEARCH(("i.a.v. EK"),(H31))))</formula>
    </cfRule>
  </conditionalFormatting>
  <conditionalFormatting sqref="H31:H32 G35:G37">
    <cfRule type="cellIs" dxfId="14" priority="5" operator="equal">
      <formula>"Buiten werking"</formula>
    </cfRule>
  </conditionalFormatting>
  <conditionalFormatting sqref="D31 D35:D36">
    <cfRule type="containsText" dxfId="16" priority="6" operator="containsText" text="FVD">
      <formula>NOT(ISERROR(SEARCH(("FVD"),(D31))))</formula>
    </cfRule>
  </conditionalFormatting>
  <conditionalFormatting sqref="E23:E24 E27:E29">
    <cfRule type="containsText" dxfId="2" priority="7" operator="containsText" text="Aangenomen">
      <formula>NOT(ISERROR(SEARCH(("Aangenomen"),(E23))))</formula>
    </cfRule>
  </conditionalFormatting>
  <conditionalFormatting sqref="E23:E24 E27:E29">
    <cfRule type="containsText" dxfId="3" priority="8" operator="containsText" text="Verworpen">
      <formula>NOT(ISERROR(SEARCH(("Verworpen"),(E23))))</formula>
    </cfRule>
  </conditionalFormatting>
  <conditionalFormatting sqref="E23:E24 E27:E29">
    <cfRule type="containsText" dxfId="11" priority="9" operator="containsText" text="Ingetrokken">
      <formula>NOT(ISERROR(SEARCH(("Ingetrokken"),(E23))))</formula>
    </cfRule>
  </conditionalFormatting>
  <conditionalFormatting sqref="E23:E24 E27:E29">
    <cfRule type="cellIs" dxfId="35" priority="10" operator="equal">
      <formula>"In afwachting"</formula>
    </cfRule>
  </conditionalFormatting>
  <conditionalFormatting sqref="D1 D3:D85 E19 D87:D143">
    <cfRule type="cellIs" dxfId="15" priority="11" operator="equal">
      <formula>"SP"</formula>
    </cfRule>
  </conditionalFormatting>
  <conditionalFormatting sqref="D1 D3:D85 E19 D87:D143">
    <cfRule type="containsText" dxfId="24" priority="12" operator="containsText" text="DNL">
      <formula>NOT(ISERROR(SEARCH(("DNL"),(D1))))</formula>
    </cfRule>
  </conditionalFormatting>
  <conditionalFormatting sqref="D1 D3:D143 E19">
    <cfRule type="cellIs" dxfId="28" priority="13" operator="equal">
      <formula>"PSP"</formula>
    </cfRule>
  </conditionalFormatting>
  <conditionalFormatting sqref="D1 D3:D143 E19">
    <cfRule type="cellIs" dxfId="30" priority="14" operator="equal">
      <formula>"GPN"</formula>
    </cfRule>
  </conditionalFormatting>
  <conditionalFormatting sqref="D8:D143 E9:E11 E19">
    <cfRule type="cellIs" dxfId="18" priority="15" operator="equal">
      <formula>"LPF"</formula>
    </cfRule>
  </conditionalFormatting>
  <conditionalFormatting sqref="D1:D143 E9:E11 E19">
    <cfRule type="containsText" dxfId="22" priority="16" operator="containsText" text="GL">
      <formula>NOT(ISERROR(SEARCH(("GL"),(D1))))</formula>
    </cfRule>
  </conditionalFormatting>
  <conditionalFormatting sqref="D1:D143 E9:E11 E19">
    <cfRule type="containsText" dxfId="16" priority="17" operator="containsText" text="PP">
      <formula>NOT(ISERROR(SEARCH(("PP"),(D1))))</formula>
    </cfRule>
  </conditionalFormatting>
  <conditionalFormatting sqref="D1:D143 E9:E11 E19">
    <cfRule type="beginsWith" dxfId="26" priority="18" operator="beginsWith" text="Onafh">
      <formula>LEFT((D1),LEN("Onafh"))=("Onafh")</formula>
    </cfRule>
  </conditionalFormatting>
  <conditionalFormatting sqref="H1:H8 H11:H29 H31:H32 H34:H37 G35:G37 H39:H143">
    <cfRule type="cellIs" dxfId="2" priority="19" operator="equal">
      <formula>"Aangenomen"</formula>
    </cfRule>
  </conditionalFormatting>
  <conditionalFormatting sqref="H1:H8 H11:H29 H31:H32 H34:H37 G35:G37 H39:H143">
    <cfRule type="cellIs" dxfId="3" priority="20" operator="equal">
      <formula>"Verworpen"</formula>
    </cfRule>
  </conditionalFormatting>
  <conditionalFormatting sqref="D1:D143 E9:E11 E19">
    <cfRule type="containsText" dxfId="19" priority="21" operator="containsText" text="D66">
      <formula>NOT(ISERROR(SEARCH(("D66"),(D1))))</formula>
    </cfRule>
  </conditionalFormatting>
  <conditionalFormatting sqref="D1:D143 E9:E11 E19">
    <cfRule type="containsText" dxfId="20" priority="22" operator="containsText" text="PvdA">
      <formula>NOT(ISERROR(SEARCH(("PvdA"),(D1))))</formula>
    </cfRule>
  </conditionalFormatting>
  <conditionalFormatting sqref="D1:D143 E9:E11 E19">
    <cfRule type="containsText" dxfId="13" priority="23" operator="containsText" text="VVD">
      <formula>NOT(ISERROR(SEARCH(("VVD"),(D1))))</formula>
    </cfRule>
  </conditionalFormatting>
  <conditionalFormatting sqref="D1:D143 E9:E11 E19">
    <cfRule type="containsText" dxfId="21" priority="24" operator="containsText" text="CPN">
      <formula>NOT(ISERROR(SEARCH(("CPN"),(D1))))</formula>
    </cfRule>
  </conditionalFormatting>
  <conditionalFormatting sqref="D1:D8 D11:D18 E11 E19 D20:D143">
    <cfRule type="containsText" dxfId="15" priority="25" operator="containsText" text="SP">
      <formula>NOT(ISERROR(SEARCH(("SP"),(D1))))</formula>
    </cfRule>
  </conditionalFormatting>
  <conditionalFormatting sqref="D1:D143 E9:E11 E19">
    <cfRule type="containsText" dxfId="23" priority="26" operator="containsText" text="PVV">
      <formula>NOT(ISERROR(SEARCH(("PVV"),(D1))))</formula>
    </cfRule>
  </conditionalFormatting>
  <conditionalFormatting sqref="D1:D143 E9:E11 E19">
    <cfRule type="containsText" dxfId="25" priority="27" operator="containsText" text="CDA">
      <formula>NOT(ISERROR(SEARCH(("CDA"),(D1))))</formula>
    </cfRule>
  </conditionalFormatting>
  <conditionalFormatting sqref="H1:H8 H11:H29 H31:H32 H34:H37 G35:G37 H39:H143">
    <cfRule type="cellIs" dxfId="11" priority="28" operator="equal">
      <formula>"ingetrokken"</formula>
    </cfRule>
  </conditionalFormatting>
  <conditionalFormatting sqref="H1:H8 H11:H29 H31:H32 H34:H37 G35:G37 H39:H143">
    <cfRule type="cellIs" dxfId="36" priority="29" operator="equal">
      <formula>"In afwachting"</formula>
    </cfRule>
  </conditionalFormatting>
  <conditionalFormatting sqref="H1:H8 H11:H29 H31:H32 H34:H37 G35:G37 H39:H143">
    <cfRule type="cellIs" dxfId="37" priority="30" operator="equal">
      <formula>"In stemming"</formula>
    </cfRule>
  </conditionalFormatting>
  <conditionalFormatting sqref="D1:D143 E9:E11 E19">
    <cfRule type="cellIs" dxfId="15" priority="31" operator="equal">
      <formula>"MPN"</formula>
    </cfRule>
  </conditionalFormatting>
  <conditionalFormatting sqref="D1 D3:D143 E9:E11 E19">
    <cfRule type="cellIs" dxfId="20" priority="32" operator="equal">
      <formula>"S&amp;V"</formula>
    </cfRule>
  </conditionalFormatting>
  <conditionalFormatting sqref="D1:D143 E9:E11 E19">
    <cfRule type="cellIs" dxfId="17" priority="33" operator="equal">
      <formula>"Regering"</formula>
    </cfRule>
  </conditionalFormatting>
  <conditionalFormatting sqref="D:D E9:E11 E19">
    <cfRule type="cellIs" dxfId="29" priority="34" operator="equal">
      <formula>"LPF"</formula>
    </cfRule>
  </conditionalFormatting>
  <conditionalFormatting sqref="I17">
    <cfRule type="notContainsBlanks" dxfId="2" priority="35">
      <formula>LEN(TRIM(I17))&gt;0</formula>
    </cfRule>
  </conditionalFormatting>
  <conditionalFormatting sqref="D1:D143">
    <cfRule type="containsText" dxfId="31" priority="36" operator="containsText" text="SVN">
      <formula>NOT(ISERROR(SEARCH(("SVN"),(D1))))</formula>
    </cfRule>
  </conditionalFormatting>
  <conditionalFormatting sqref="D3:D143">
    <cfRule type="cellIs" dxfId="9" priority="37" operator="equal">
      <formula>"LPU"</formula>
    </cfRule>
  </conditionalFormatting>
  <conditionalFormatting sqref="D3:D143">
    <cfRule type="cellIs" dxfId="34" priority="38" operator="equal">
      <formula>"GROEN"</formula>
    </cfRule>
  </conditionalFormatting>
  <hyperlinks>
    <hyperlink r:id="rId2" ref="E27"/>
    <hyperlink r:id="rId3" ref="E31"/>
    <hyperlink r:id="rId4" ref="E32"/>
  </hyperlinks>
  <drawing r:id="rId5"/>
  <legacy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7.0"/>
    <col customWidth="1" min="2" max="2" width="11.0"/>
    <col customWidth="1" min="3" max="3" width="78.43"/>
    <col customWidth="1" min="4" max="4" width="10.14"/>
    <col customWidth="1" min="5" max="5" width="47.29"/>
    <col customWidth="1" min="6" max="6" width="10.71"/>
    <col customWidth="1" min="7" max="7" width="100.0"/>
  </cols>
  <sheetData>
    <row r="1">
      <c r="A1" s="366"/>
      <c r="B1" s="367" t="s">
        <v>825</v>
      </c>
      <c r="C1" s="370" t="s">
        <v>826</v>
      </c>
      <c r="D1" s="370" t="s">
        <v>827</v>
      </c>
      <c r="E1" s="370" t="s">
        <v>828</v>
      </c>
      <c r="F1" s="370" t="s">
        <v>829</v>
      </c>
      <c r="G1" s="370" t="s">
        <v>158</v>
      </c>
    </row>
    <row r="2" ht="15.0" customHeight="1"/>
    <row r="3">
      <c r="A3" s="366" t="s">
        <v>159</v>
      </c>
      <c r="B3" s="432" t="s">
        <v>830</v>
      </c>
      <c r="C3" s="411" t="str">
        <f>HYPERLINK("https://www.reddit.com/r/RMTK/comments/3bq9ep/k0001_erkenning_van_de_staat_palestina/","Erkenning van de Staat Palestina")</f>
        <v>Erkenning van de Staat Palestina</v>
      </c>
      <c r="D3" s="602">
        <v>42186.0</v>
      </c>
      <c r="E3" s="406" t="s">
        <v>831</v>
      </c>
      <c r="F3" s="377" t="s">
        <v>170</v>
      </c>
    </row>
    <row r="4">
      <c r="B4" s="432" t="s">
        <v>830</v>
      </c>
      <c r="C4" s="411" t="str">
        <f>HYPERLINK("https://www.reddit.com/r/RMTK/comments/3efyjx/k0001_erkenning_van_de_staat_palestina_gewijzigd/","Erkenning van de staat Palestina (gewijzigd)")</f>
        <v>Erkenning van de staat Palestina (gewijzigd)</v>
      </c>
      <c r="D4" s="602">
        <v>42209.0</v>
      </c>
      <c r="E4" s="406" t="s">
        <v>831</v>
      </c>
      <c r="F4" s="377" t="s">
        <v>832</v>
      </c>
      <c r="G4" s="406" t="s">
        <v>833</v>
      </c>
    </row>
    <row r="5">
      <c r="B5" s="432" t="s">
        <v>834</v>
      </c>
      <c r="C5" s="411" t="str">
        <f>HYPERLINK("https://www.reddit.com/r/RMTK/comments/3idtvl/k0002_regeringsplannen_voor_de_uitbreiding_van/","Uitbreiding defensie")</f>
        <v>Uitbreiding defensie</v>
      </c>
      <c r="D5" s="602">
        <v>42241.0</v>
      </c>
      <c r="E5" s="406" t="s">
        <v>835</v>
      </c>
      <c r="F5" s="377" t="s">
        <v>170</v>
      </c>
    </row>
    <row r="6">
      <c r="B6" s="432" t="s">
        <v>836</v>
      </c>
      <c r="C6" s="411" t="str">
        <f>HYPERLINK("https://www.reddit.com/r/RMTK/comments/3lzpho/k0003_kamerbrief_beleidspakket_openbare_orde_en/","Beleidspakket Openbare Orde en Veiligheid")</f>
        <v>Beleidspakket Openbare Orde en Veiligheid</v>
      </c>
      <c r="D6" s="602">
        <v>42238.0</v>
      </c>
      <c r="E6" s="406" t="s">
        <v>837</v>
      </c>
      <c r="F6" s="377" t="s">
        <v>832</v>
      </c>
    </row>
    <row r="7">
      <c r="A7" s="390"/>
      <c r="B7" s="427" t="s">
        <v>838</v>
      </c>
      <c r="C7" s="411" t="str">
        <f>HYPERLINK("https://www.reddit.com/r/RMTK/comments/3n90l0/kamerbrief_0004_uitbreiding_defensie/","Uitbreiding defensie")</f>
        <v>Uitbreiding defensie</v>
      </c>
      <c r="D7" s="602">
        <v>42279.0</v>
      </c>
      <c r="E7" s="406" t="s">
        <v>835</v>
      </c>
      <c r="F7" s="377" t="s">
        <v>839</v>
      </c>
      <c r="G7" s="406" t="s">
        <v>840</v>
      </c>
    </row>
    <row r="8">
      <c r="A8" s="603" t="s">
        <v>197</v>
      </c>
      <c r="B8" s="427"/>
      <c r="C8" s="604" t="s">
        <v>841</v>
      </c>
      <c r="D8" s="605"/>
      <c r="E8" s="604"/>
      <c r="F8" s="606"/>
      <c r="G8" s="109"/>
    </row>
    <row r="9">
      <c r="A9" s="366" t="s">
        <v>202</v>
      </c>
      <c r="B9" s="432" t="s">
        <v>842</v>
      </c>
      <c r="C9" s="397" t="str">
        <f>hyperlink("https://www.reddit.com/r/RMTK/comments/4463ts/kb00005_uitbreiding_defensie/","Uitbreiding defensie")</f>
        <v>Uitbreiding defensie</v>
      </c>
      <c r="D9" s="602">
        <v>42404.0</v>
      </c>
      <c r="E9" s="406" t="s">
        <v>843</v>
      </c>
      <c r="F9" s="377" t="s">
        <v>832</v>
      </c>
    </row>
    <row r="10">
      <c r="B10" s="432" t="s">
        <v>844</v>
      </c>
      <c r="C10" s="397" t="str">
        <f>hyperlink("https://www.reddit.com/r/RMTK/comments/455f7k/kb0006_inwerkingtreding_wetsvoorstellen_en/","Inwerkingtreding wetsvoorstellen en aanverwante zaken")</f>
        <v>Inwerkingtreding wetsvoorstellen en aanverwante zaken</v>
      </c>
      <c r="D10" s="602">
        <v>42410.0</v>
      </c>
      <c r="E10" s="406" t="s">
        <v>845</v>
      </c>
      <c r="F10" s="377" t="s">
        <v>832</v>
      </c>
    </row>
    <row r="11">
      <c r="B11" s="432" t="s">
        <v>846</v>
      </c>
      <c r="C11" s="397" t="str">
        <f>hyperlink("https://www.reddit.com/r/RMTK/comments/47lz3e/kb0007_verkleining_justitiebegroting_en/","Verkleining justitiebegroting en politie-omvang n.a.v. aanpassing opiumwet")</f>
        <v>Verkleining justitiebegroting en politie-omvang n.a.v. aanpassing opiumwet</v>
      </c>
      <c r="D11" s="602">
        <v>42423.0</v>
      </c>
      <c r="E11" s="406" t="s">
        <v>843</v>
      </c>
      <c r="F11" s="607" t="s">
        <v>170</v>
      </c>
    </row>
    <row r="12">
      <c r="B12" s="432" t="s">
        <v>847</v>
      </c>
      <c r="C12" s="397" t="str">
        <f>hyperlink("https://www.reddit.com/r/RMTK/comments/47w099/kb0008_onveilige_landen_nav_vreemdelingenwet_2016/","Onveilige landen n.a.v. Vreemdelingenwet 2016")</f>
        <v>Onveilige landen n.a.v. Vreemdelingenwet 2016</v>
      </c>
      <c r="D12" s="602">
        <v>42427.0</v>
      </c>
      <c r="E12" s="406" t="s">
        <v>843</v>
      </c>
      <c r="F12" s="377" t="s">
        <v>832</v>
      </c>
    </row>
    <row r="13">
      <c r="B13" s="432" t="s">
        <v>848</v>
      </c>
      <c r="C13" s="397" t="str">
        <f>hyperlink("https://www.reddit.com/r/RMTK/comments/4a9mqd/ks0006_informatie_koninklijke_besluiten_0009_0010/","Wijziging vakken middelbare school")</f>
        <v>Wijziging vakken middelbare school</v>
      </c>
      <c r="D13" s="602">
        <v>42015.0</v>
      </c>
      <c r="E13" s="406" t="s">
        <v>849</v>
      </c>
      <c r="F13" s="377" t="s">
        <v>832</v>
      </c>
      <c r="G13" s="406" t="s">
        <v>850</v>
      </c>
    </row>
    <row r="14">
      <c r="B14" s="432" t="s">
        <v>851</v>
      </c>
      <c r="C14" s="397" t="str">
        <f>hyperlink("https://www.reddit.com/r/RMTK/comments/4a9mqd/ks0006_informatie_koninklijke_besluiten_0009_0010/","Uitvoering M0034")</f>
        <v>Uitvoering M0034</v>
      </c>
      <c r="D14" s="602">
        <v>42016.0</v>
      </c>
      <c r="E14" s="406" t="s">
        <v>849</v>
      </c>
      <c r="F14" s="377" t="s">
        <v>832</v>
      </c>
      <c r="G14" s="406" t="s">
        <v>850</v>
      </c>
    </row>
    <row r="15">
      <c r="B15" s="432" t="s">
        <v>852</v>
      </c>
      <c r="C15" s="397" t="str">
        <f>hyperlink("https://www.reddit.com/r/RMTK/comments/4a9mqd/ks0006_informatie_koninklijke_besluiten_0009_0010/","Het schoolvak Nederlands")</f>
        <v>Het schoolvak Nederlands</v>
      </c>
      <c r="D15" s="602">
        <v>42017.0</v>
      </c>
      <c r="E15" s="406" t="s">
        <v>849</v>
      </c>
      <c r="F15" s="377" t="s">
        <v>832</v>
      </c>
      <c r="G15" s="406" t="s">
        <v>850</v>
      </c>
    </row>
    <row r="16">
      <c r="A16" s="436" t="s">
        <v>240</v>
      </c>
      <c r="B16" s="518"/>
      <c r="C16" s="204"/>
      <c r="D16" s="204"/>
      <c r="E16" s="204"/>
      <c r="F16" s="608"/>
      <c r="G16" s="204"/>
    </row>
    <row r="17">
      <c r="A17" s="436" t="s">
        <v>243</v>
      </c>
      <c r="B17" s="518"/>
      <c r="C17" s="204"/>
      <c r="D17" s="204"/>
      <c r="E17" s="204"/>
      <c r="F17" s="608"/>
      <c r="G17" s="204"/>
    </row>
    <row r="18">
      <c r="A18" s="436" t="s">
        <v>288</v>
      </c>
      <c r="B18" s="518" t="s">
        <v>853</v>
      </c>
      <c r="C18" s="535" t="str">
        <f>HYPERLINK("https://www.reddit.com/r/RMTK/comments/4wqu7z/koninklijk_besluit_ter_opschorting_van_de/","Koninklijk Besluit ter opschorting van de Wetswijziging tot inkorting auteursrecht, W0018")</f>
        <v>Koninklijk Besluit ter opschorting van de Wetswijziging tot inkorting auteursrecht, W0018</v>
      </c>
      <c r="D18" s="609">
        <v>42590.0</v>
      </c>
      <c r="E18" s="608" t="s">
        <v>854</v>
      </c>
      <c r="F18" s="403" t="s">
        <v>832</v>
      </c>
      <c r="G18" s="608"/>
    </row>
    <row r="19">
      <c r="B19" s="432" t="s">
        <v>855</v>
      </c>
      <c r="C19" s="411" t="str">
        <f>HYPERLINK("https://www.reddit.com/r/RMTK/comments/54gdtu/koninklijk_besluit_ter_ontbinding_der/","Koninklijk Besluit ter ontbinding der Staten-Generaal en het uitschrijven der verkiezingen")</f>
        <v>Koninklijk Besluit ter ontbinding der Staten-Generaal en het uitschrijven der verkiezingen</v>
      </c>
      <c r="D19" s="602">
        <v>42638.0</v>
      </c>
      <c r="E19" s="406" t="s">
        <v>845</v>
      </c>
      <c r="F19" s="377" t="s">
        <v>832</v>
      </c>
      <c r="G19" s="406"/>
    </row>
    <row r="20">
      <c r="A20" s="436" t="s">
        <v>327</v>
      </c>
      <c r="B20" s="518" t="s">
        <v>856</v>
      </c>
      <c r="C20" s="535" t="str">
        <f>HYPERLINK("https://www.reddit.com/r/RMTK/comments/5aylx1/kb0013_koninklijk_besluit_inzake_versneld/","Koninklijk Besluit inzake versneld verlengen A13/16")</f>
        <v>Koninklijk Besluit inzake versneld verlengen A13/16</v>
      </c>
      <c r="D20" s="610">
        <v>42677.0</v>
      </c>
      <c r="E20" s="611" t="s">
        <v>857</v>
      </c>
      <c r="F20" s="403" t="s">
        <v>832</v>
      </c>
      <c r="G20" s="608" t="s">
        <v>858</v>
      </c>
    </row>
    <row r="21">
      <c r="A21" s="390"/>
      <c r="B21" s="427" t="s">
        <v>859</v>
      </c>
      <c r="C21" s="612" t="str">
        <f>(HYPERLINK("https://www.reddit.com/r/RMTK/comments/5dh8bs/kb0015_verbod_verkoop_corporatiewoningen_aan/" , "Verbod Verkoop Corporatiewoningen aan Buitenlandse Investeerders"))</f>
        <v>Verbod Verkoop Corporatiewoningen aan Buitenlandse Investeerders</v>
      </c>
      <c r="D21" s="613">
        <v>42691.0</v>
      </c>
      <c r="E21" s="614" t="s">
        <v>860</v>
      </c>
      <c r="F21" s="394" t="s">
        <v>832</v>
      </c>
      <c r="G21" s="527"/>
    </row>
    <row r="22">
      <c r="A22" s="367" t="s">
        <v>861</v>
      </c>
      <c r="B22" s="432" t="s">
        <v>862</v>
      </c>
      <c r="C22" s="615" t="str">
        <f>HYPERLINK("https://www.reddit.com/r/RMTK/comments/5i5mnq/kb0016_besluit_asielplafond/","Besluit Asielplafond")</f>
        <v>Besluit Asielplafond</v>
      </c>
      <c r="D22" s="602">
        <v>42717.0</v>
      </c>
      <c r="E22" s="616" t="s">
        <v>863</v>
      </c>
      <c r="F22" s="607" t="s">
        <v>170</v>
      </c>
      <c r="G22" s="406"/>
    </row>
    <row r="23">
      <c r="B23" s="432" t="s">
        <v>864</v>
      </c>
      <c r="C23" s="615" t="str">
        <f>HYPERLINK("https://www.reddit.com/r/RMTK/comments/5jrzcu/kb0017_besluit_aangaande_vreemdelingenbesluit/","Besluit aangaande Vreemdelingenbesluit 2000 en Vreemdelingencirculaire 2000")</f>
        <v>Besluit aangaande Vreemdelingenbesluit 2000 en Vreemdelingencirculaire 2000</v>
      </c>
      <c r="D23" s="602">
        <v>42726.0</v>
      </c>
      <c r="E23" s="616" t="s">
        <v>863</v>
      </c>
      <c r="F23" s="377" t="s">
        <v>832</v>
      </c>
      <c r="G23" s="406"/>
    </row>
    <row r="24">
      <c r="B24" s="432" t="s">
        <v>865</v>
      </c>
      <c r="C24" s="615" t="str">
        <f>HYPERLINK("https://www.reddit.com/r/RMTK/comments/5jrzqv/kb0018_besluit_aangaande_primaire_preventie_in_de/","Besluit aangaande Primaire Preventie in de zorg")</f>
        <v>Besluit aangaande Primaire Preventie in de zorg</v>
      </c>
      <c r="D24" s="602">
        <v>42726.0</v>
      </c>
      <c r="E24" s="616" t="s">
        <v>866</v>
      </c>
      <c r="F24" s="377" t="s">
        <v>832</v>
      </c>
      <c r="G24" s="406"/>
    </row>
    <row r="25">
      <c r="B25" s="432" t="s">
        <v>867</v>
      </c>
      <c r="C25" s="615" t="str">
        <f>hyperlink("https://www.reddit.com/r/RMTK/comments/5ro839/kb0019_koninklijk_besluit_inzake_herziening/","Koninklijk Besluit inzake herziening Luchthavenbesluit Rotterdam-the Hague Airport")</f>
        <v>Koninklijk Besluit inzake herziening Luchthavenbesluit Rotterdam-the Hague Airport</v>
      </c>
      <c r="D25" s="602">
        <v>42768.0</v>
      </c>
      <c r="E25" s="616" t="s">
        <v>857</v>
      </c>
      <c r="F25" s="377" t="s">
        <v>832</v>
      </c>
      <c r="G25" s="406"/>
    </row>
    <row r="26">
      <c r="B26" s="432" t="s">
        <v>868</v>
      </c>
      <c r="C26" s="615" t="str">
        <f>HYPERLINK("https://www.reddit.com/r/RMTK/comments/5sogtw/kb0020_koninklijk_besluit_inzake_aanschaf_nieuw/","Koninklijk Besluit inzake aanschaf nieuw regeringstoestel")</f>
        <v>Koninklijk Besluit inzake aanschaf nieuw regeringstoestel</v>
      </c>
      <c r="D26" s="602">
        <v>42773.0</v>
      </c>
      <c r="E26" s="616" t="s">
        <v>857</v>
      </c>
      <c r="F26" s="377" t="s">
        <v>832</v>
      </c>
      <c r="G26" s="406"/>
    </row>
    <row r="27">
      <c r="B27" s="432" t="s">
        <v>869</v>
      </c>
      <c r="C27" s="615" t="str">
        <f>HYPERLINK("https://www.reddit.com/r/RMTK/comments/5t2rfb/kb0021_verbod_op_het_algemeen_pardon/","Verbod op het Algemeen Pardon")</f>
        <v>Verbod op het Algemeen Pardon</v>
      </c>
      <c r="D27" s="602">
        <v>42775.0</v>
      </c>
      <c r="E27" s="616" t="s">
        <v>863</v>
      </c>
      <c r="F27" s="607" t="s">
        <v>170</v>
      </c>
      <c r="G27" s="406" t="s">
        <v>870</v>
      </c>
    </row>
    <row r="28">
      <c r="B28" s="432" t="s">
        <v>871</v>
      </c>
      <c r="C28" s="397" t="str">
        <f>hyperlink("https://www.reddit.com/r/RMTK/comments/5wj3zh/kb0022_koninklijk_besluit_inzake_w0078/","Koninklijk Besluit inzake W0078")</f>
        <v>Koninklijk Besluit inzake W0078</v>
      </c>
      <c r="D28" s="602">
        <v>42793.0</v>
      </c>
      <c r="E28" s="616" t="s">
        <v>845</v>
      </c>
      <c r="F28" s="377" t="s">
        <v>832</v>
      </c>
      <c r="G28" s="406"/>
    </row>
    <row r="29">
      <c r="A29" s="436" t="s">
        <v>872</v>
      </c>
      <c r="B29" s="518" t="s">
        <v>873</v>
      </c>
      <c r="C29" s="617" t="str">
        <f>hyperlink("https://www.reddit.com/r/RMTK/comments/64mr83/kb0023_oprichting_luchtvaartverbond/","Oprichting Luchtvaartverbond")</f>
        <v>Oprichting Luchtvaartverbond</v>
      </c>
      <c r="D29" s="610">
        <v>42835.0</v>
      </c>
      <c r="E29" s="611" t="s">
        <v>857</v>
      </c>
      <c r="F29" s="403" t="s">
        <v>832</v>
      </c>
      <c r="G29" s="608"/>
    </row>
    <row r="30">
      <c r="B30" s="432" t="s">
        <v>874</v>
      </c>
      <c r="C30" s="411" t="str">
        <f>HYPERLINK("https://www.reddit.com/r/RMTK/comments/6ame2e/kb0024_koninklijk_besluit_betreffende_het/","Koninklijk besluit betreffende luchtvaartfonds")</f>
        <v>Koninklijk besluit betreffende luchtvaartfonds</v>
      </c>
      <c r="D30" s="602">
        <v>42866.0</v>
      </c>
      <c r="E30" s="616" t="s">
        <v>857</v>
      </c>
      <c r="F30" s="377" t="s">
        <v>832</v>
      </c>
      <c r="G30" s="406"/>
    </row>
    <row r="31">
      <c r="B31" s="432" t="s">
        <v>875</v>
      </c>
      <c r="C31" s="397" t="s">
        <v>876</v>
      </c>
      <c r="D31" s="602">
        <v>42880.0</v>
      </c>
      <c r="E31" s="616" t="s">
        <v>849</v>
      </c>
      <c r="F31" s="377" t="s">
        <v>832</v>
      </c>
      <c r="G31" s="406"/>
    </row>
    <row r="32">
      <c r="A32" s="390"/>
      <c r="B32" s="427" t="s">
        <v>877</v>
      </c>
      <c r="C32" s="429" t="s">
        <v>878</v>
      </c>
      <c r="D32" s="613">
        <v>42881.0</v>
      </c>
      <c r="E32" s="614" t="s">
        <v>845</v>
      </c>
      <c r="F32" s="394" t="s">
        <v>832</v>
      </c>
      <c r="G32" s="527"/>
    </row>
    <row r="33">
      <c r="A33" s="367" t="s">
        <v>432</v>
      </c>
      <c r="B33" s="432" t="s">
        <v>879</v>
      </c>
      <c r="C33" s="397" t="s">
        <v>880</v>
      </c>
      <c r="D33" s="602">
        <v>42922.0</v>
      </c>
      <c r="E33" s="616" t="s">
        <v>857</v>
      </c>
      <c r="F33" s="377" t="s">
        <v>832</v>
      </c>
      <c r="G33" s="406"/>
    </row>
    <row r="34">
      <c r="A34" s="390"/>
      <c r="B34" s="427" t="s">
        <v>881</v>
      </c>
      <c r="C34" s="429" t="s">
        <v>882</v>
      </c>
      <c r="D34" s="613">
        <v>42927.0</v>
      </c>
      <c r="E34" s="614" t="s">
        <v>857</v>
      </c>
      <c r="F34" s="394" t="s">
        <v>832</v>
      </c>
      <c r="G34" s="527"/>
    </row>
    <row r="35">
      <c r="A35" s="367" t="s">
        <v>481</v>
      </c>
      <c r="B35" s="432" t="s">
        <v>883</v>
      </c>
      <c r="C35" s="397" t="s">
        <v>884</v>
      </c>
      <c r="D35" s="602">
        <v>42962.0</v>
      </c>
      <c r="E35" s="406" t="s">
        <v>885</v>
      </c>
      <c r="F35" s="377" t="s">
        <v>832</v>
      </c>
      <c r="G35" s="406"/>
    </row>
    <row r="36">
      <c r="B36" s="432" t="s">
        <v>886</v>
      </c>
      <c r="C36" s="397" t="s">
        <v>887</v>
      </c>
      <c r="D36" s="602">
        <v>42980.0</v>
      </c>
      <c r="E36" s="406" t="s">
        <v>857</v>
      </c>
      <c r="F36" s="377" t="s">
        <v>832</v>
      </c>
      <c r="G36" s="406"/>
    </row>
    <row r="37">
      <c r="B37" s="432" t="s">
        <v>888</v>
      </c>
      <c r="C37" s="449" t="s">
        <v>889</v>
      </c>
      <c r="D37" s="602">
        <v>42985.0</v>
      </c>
      <c r="E37" s="618" t="s">
        <v>885</v>
      </c>
      <c r="F37" s="377" t="s">
        <v>832</v>
      </c>
      <c r="G37" s="406"/>
    </row>
    <row r="38">
      <c r="B38" s="432" t="s">
        <v>890</v>
      </c>
      <c r="C38" s="397" t="s">
        <v>891</v>
      </c>
      <c r="D38" s="602">
        <v>43003.0</v>
      </c>
      <c r="E38" s="618" t="s">
        <v>885</v>
      </c>
      <c r="F38" s="607" t="s">
        <v>170</v>
      </c>
      <c r="G38" s="406" t="s">
        <v>892</v>
      </c>
    </row>
    <row r="39" ht="17.25" customHeight="1">
      <c r="A39" s="619" t="s">
        <v>507</v>
      </c>
      <c r="B39" s="518" t="s">
        <v>893</v>
      </c>
      <c r="C39" s="520" t="s">
        <v>894</v>
      </c>
      <c r="D39" s="610">
        <v>43047.0</v>
      </c>
      <c r="E39" s="611" t="s">
        <v>849</v>
      </c>
      <c r="F39" s="620" t="s">
        <v>170</v>
      </c>
      <c r="G39" s="621"/>
    </row>
    <row r="40">
      <c r="A40" s="622"/>
      <c r="B40" s="432" t="s">
        <v>895</v>
      </c>
      <c r="C40" s="411" t="str">
        <f>HYPERLINK("https://redd.it/7bmiq4","Koninklijk Besluit tot vaststelling rentepercentage leningen beroeps- en hoger onderwijs")</f>
        <v>Koninklijk Besluit tot vaststelling rentepercentage leningen beroeps- en hoger onderwijs</v>
      </c>
      <c r="D40" s="602">
        <v>43047.0</v>
      </c>
      <c r="E40" s="616" t="s">
        <v>849</v>
      </c>
      <c r="F40" s="607" t="s">
        <v>170</v>
      </c>
      <c r="G40" s="623"/>
    </row>
    <row r="41">
      <c r="A41" s="622"/>
      <c r="B41" s="432" t="s">
        <v>896</v>
      </c>
      <c r="C41" s="624" t="str">
        <f>HYPERLINK("https://redd.it/7bmkgr","Koninklijk Besluit tot instelling van het Verbeterplan voor de Nederlandse Publieke Omroep")</f>
        <v>Koninklijk Besluit tot instelling van het Verbeterplan voor de Nederlandse Publieke Omroep</v>
      </c>
      <c r="D41" s="602">
        <v>43047.0</v>
      </c>
      <c r="E41" s="616" t="s">
        <v>849</v>
      </c>
      <c r="F41" s="377" t="s">
        <v>832</v>
      </c>
      <c r="G41" s="623"/>
    </row>
    <row r="42">
      <c r="A42" s="622"/>
      <c r="B42" s="432" t="s">
        <v>897</v>
      </c>
      <c r="C42" s="397" t="s">
        <v>898</v>
      </c>
      <c r="D42" s="602">
        <v>43048.0</v>
      </c>
      <c r="E42" s="618" t="s">
        <v>899</v>
      </c>
      <c r="F42" s="377" t="s">
        <v>832</v>
      </c>
      <c r="G42" s="623"/>
    </row>
    <row r="43">
      <c r="A43" s="622"/>
      <c r="B43" s="432" t="s">
        <v>900</v>
      </c>
      <c r="C43" s="397" t="s">
        <v>901</v>
      </c>
      <c r="D43" s="602">
        <v>43049.0</v>
      </c>
      <c r="E43" s="616" t="s">
        <v>845</v>
      </c>
      <c r="F43" s="377" t="s">
        <v>832</v>
      </c>
      <c r="G43" s="623"/>
    </row>
    <row r="44">
      <c r="A44" s="622"/>
      <c r="B44" s="625" t="s">
        <v>902</v>
      </c>
      <c r="C44" s="429" t="s">
        <v>903</v>
      </c>
      <c r="D44" s="602">
        <v>43058.0</v>
      </c>
      <c r="E44" s="614" t="s">
        <v>904</v>
      </c>
      <c r="F44" s="394" t="s">
        <v>832</v>
      </c>
      <c r="G44" s="626"/>
    </row>
    <row r="45">
      <c r="A45" s="619" t="s">
        <v>554</v>
      </c>
      <c r="B45" s="518" t="s">
        <v>905</v>
      </c>
      <c r="C45" s="535" t="str">
        <f>HYPERLINK("https://redd.it/7hrmoo","KB0048: Koninklijk Besluit verheffing tot adel")</f>
        <v>KB0048: Koninklijk Besluit verheffing tot adel</v>
      </c>
      <c r="D45" s="610">
        <v>43074.0</v>
      </c>
      <c r="E45" s="616" t="s">
        <v>845</v>
      </c>
      <c r="F45" s="377" t="s">
        <v>832</v>
      </c>
      <c r="G45" s="621"/>
    </row>
    <row r="46">
      <c r="A46" s="622"/>
      <c r="B46" s="432" t="s">
        <v>906</v>
      </c>
      <c r="C46" s="411" t="str">
        <f>HYPERLINK("https://redd.it/7i8fhp","KB0049: koninklijk besluit vrijstelling militairen met kinderen")</f>
        <v>KB0049: koninklijk besluit vrijstelling militairen met kinderen</v>
      </c>
      <c r="D46" s="602">
        <v>43076.0</v>
      </c>
      <c r="E46" s="406" t="s">
        <v>835</v>
      </c>
      <c r="F46" s="377" t="s">
        <v>832</v>
      </c>
      <c r="G46" s="623"/>
    </row>
    <row r="47">
      <c r="A47" s="622"/>
      <c r="B47" s="432" t="s">
        <v>907</v>
      </c>
      <c r="C47" s="411" t="str">
        <f>HYPERLINK("https://www.reddit.com/r/RMTK/comments/7nlro0/kb0050_koninklijk_besluit_intrekking_koninklijk/","KB0050: Koninklijk Besluit intrekking Koninklijk Besluit Kraken en Leegstand")</f>
        <v>KB0050: Koninklijk Besluit intrekking Koninklijk Besluit Kraken en Leegstand</v>
      </c>
      <c r="D47" s="602">
        <v>43102.0</v>
      </c>
      <c r="E47" s="618" t="s">
        <v>899</v>
      </c>
      <c r="F47" s="377" t="s">
        <v>832</v>
      </c>
      <c r="G47" s="623"/>
    </row>
    <row r="48">
      <c r="A48" s="622"/>
      <c r="B48" s="432" t="s">
        <v>908</v>
      </c>
      <c r="C48" s="411" t="str">
        <f>HYPERLINK("https://www.reddit.com/r/RMTK/comments/7o3xr6/kb0051_koninklijk_besluit_tot_strafrechtelijk/","KB0051: Koninklijk Besluit tot strafrechtelijk onderzoek inzake de poging tot afscheiding van het rijk")</f>
        <v>KB0051: Koninklijk Besluit tot strafrechtelijk onderzoek inzake de poging tot afscheiding van het rijk</v>
      </c>
      <c r="D48" s="602">
        <v>43104.0</v>
      </c>
      <c r="E48" s="618" t="s">
        <v>899</v>
      </c>
      <c r="F48" s="377" t="s">
        <v>832</v>
      </c>
      <c r="G48" s="623"/>
    </row>
    <row r="49">
      <c r="A49" s="627"/>
      <c r="B49" s="427" t="s">
        <v>909</v>
      </c>
      <c r="C49" s="525" t="str">
        <f>HYPERLINK("https://www.reddit.com/r/RMTK/comments/7r0ku6/kb0052koninklijk_besluit_ontslag_kabinet/","KB0052:Koninklijk Besluit ontslag Kabinet Quintionus-III")</f>
        <v>KB0052:Koninklijk Besluit ontslag Kabinet Quintionus-III</v>
      </c>
      <c r="D49" s="613">
        <v>43117.0</v>
      </c>
      <c r="E49" s="614" t="s">
        <v>845</v>
      </c>
      <c r="F49" s="394" t="s">
        <v>832</v>
      </c>
      <c r="G49" s="626"/>
    </row>
    <row r="50">
      <c r="A50" s="367" t="s">
        <v>575</v>
      </c>
      <c r="B50" s="367"/>
      <c r="C50" s="406"/>
      <c r="D50" s="602"/>
      <c r="E50" s="616"/>
      <c r="F50" s="377"/>
      <c r="G50" s="406"/>
    </row>
    <row r="51">
      <c r="A51" s="390"/>
      <c r="B51" s="390"/>
      <c r="C51" s="527"/>
      <c r="D51" s="613"/>
      <c r="E51" s="614"/>
      <c r="F51" s="394"/>
      <c r="G51" s="406"/>
    </row>
    <row r="52">
      <c r="A52" s="367" t="s">
        <v>588</v>
      </c>
      <c r="B52" s="432" t="s">
        <v>910</v>
      </c>
      <c r="C52" s="535" t="str">
        <f>HYPERLINK("https://www.reddit.com/r/RMTK/comments/8ksbkl/kb0053_koninklijk_besluit_tot_oprichting_van_orde/","KB0053: Koninklijk Besluit tot oprichting van Orde der Nederlandsche Staten-Generaal")</f>
        <v>KB0053: Koninklijk Besluit tot oprichting van Orde der Nederlandsche Staten-Generaal</v>
      </c>
      <c r="D52" s="610">
        <v>43242.0</v>
      </c>
      <c r="E52" s="611" t="s">
        <v>911</v>
      </c>
      <c r="F52" s="403" t="s">
        <v>832</v>
      </c>
      <c r="G52" s="608"/>
    </row>
    <row r="53">
      <c r="A53" s="390"/>
      <c r="B53" s="427" t="s">
        <v>912</v>
      </c>
      <c r="C53" s="525" t="str">
        <f>HYPERLINK("https://www.reddit.com/r/RMTK/comments/8pb4ic/kb0054_amvbfokken_van_dieren/","KB0054: AMvB-Fokken van Dieren")</f>
        <v>KB0054: AMvB-Fokken van Dieren</v>
      </c>
      <c r="D53" s="613"/>
      <c r="E53" s="614" t="s">
        <v>913</v>
      </c>
      <c r="F53" s="394" t="s">
        <v>832</v>
      </c>
      <c r="G53" s="527"/>
    </row>
    <row r="54">
      <c r="A54" s="367" t="s">
        <v>591</v>
      </c>
      <c r="B54" s="432" t="s">
        <v>914</v>
      </c>
      <c r="C54" s="406"/>
      <c r="D54" s="602"/>
      <c r="E54" s="616"/>
      <c r="F54" s="377"/>
      <c r="G54" s="406"/>
    </row>
    <row r="55">
      <c r="A55" s="390"/>
      <c r="B55" s="432" t="s">
        <v>915</v>
      </c>
      <c r="C55" s="406"/>
      <c r="D55" s="602"/>
      <c r="E55" s="616"/>
      <c r="F55" s="377"/>
      <c r="G55" s="406"/>
    </row>
    <row r="56">
      <c r="A56" s="367" t="s">
        <v>805</v>
      </c>
      <c r="B56" s="432" t="s">
        <v>916</v>
      </c>
      <c r="C56" s="406"/>
      <c r="D56" s="602"/>
      <c r="E56" s="616"/>
      <c r="F56" s="377"/>
      <c r="G56" s="406"/>
    </row>
    <row r="57">
      <c r="A57" s="367"/>
      <c r="B57" s="432" t="s">
        <v>917</v>
      </c>
      <c r="C57" s="406"/>
      <c r="D57" s="602"/>
      <c r="E57" s="616"/>
      <c r="F57" s="377"/>
      <c r="G57" s="406"/>
    </row>
    <row r="58">
      <c r="A58" s="367"/>
      <c r="B58" s="432" t="s">
        <v>918</v>
      </c>
      <c r="C58" s="406"/>
      <c r="D58" s="602"/>
      <c r="E58" s="616"/>
      <c r="F58" s="377"/>
      <c r="G58" s="406"/>
    </row>
    <row r="59">
      <c r="A59" s="367"/>
      <c r="B59" s="432" t="s">
        <v>919</v>
      </c>
      <c r="C59" s="406"/>
      <c r="D59" s="602"/>
      <c r="E59" s="616"/>
      <c r="F59" s="377"/>
      <c r="G59" s="406"/>
    </row>
    <row r="60">
      <c r="A60" s="367"/>
      <c r="B60" s="432" t="s">
        <v>920</v>
      </c>
      <c r="C60" s="406"/>
      <c r="D60" s="602"/>
      <c r="E60" s="616"/>
      <c r="F60" s="377"/>
      <c r="G60" s="406"/>
    </row>
    <row r="61">
      <c r="A61" s="367"/>
      <c r="B61" s="432" t="s">
        <v>921</v>
      </c>
      <c r="C61" s="406"/>
      <c r="D61" s="602"/>
      <c r="E61" s="616"/>
      <c r="F61" s="377"/>
      <c r="G61" s="406"/>
    </row>
    <row r="62">
      <c r="A62" s="367"/>
      <c r="B62" s="432" t="s">
        <v>922</v>
      </c>
      <c r="C62" s="406"/>
      <c r="D62" s="602"/>
      <c r="E62" s="616"/>
      <c r="F62" s="377"/>
      <c r="G62" s="406"/>
    </row>
    <row r="63">
      <c r="A63" s="367"/>
      <c r="B63" s="432" t="s">
        <v>923</v>
      </c>
      <c r="C63" s="406"/>
      <c r="D63" s="602"/>
      <c r="E63" s="616"/>
      <c r="F63" s="377"/>
      <c r="G63" s="406"/>
    </row>
    <row r="64">
      <c r="A64" s="367"/>
      <c r="B64" s="432" t="s">
        <v>924</v>
      </c>
      <c r="C64" s="406"/>
      <c r="D64" s="602"/>
      <c r="E64" s="616"/>
      <c r="F64" s="377"/>
      <c r="G64" s="406"/>
    </row>
  </sheetData>
  <mergeCells count="21">
    <mergeCell ref="E1:E2"/>
    <mergeCell ref="D1:D2"/>
    <mergeCell ref="B1:B2"/>
    <mergeCell ref="A1:A2"/>
    <mergeCell ref="F1:F2"/>
    <mergeCell ref="G1:G2"/>
    <mergeCell ref="C1:C2"/>
    <mergeCell ref="A50:A51"/>
    <mergeCell ref="A52:A53"/>
    <mergeCell ref="A54:A55"/>
    <mergeCell ref="B50:B51"/>
    <mergeCell ref="A22:A28"/>
    <mergeCell ref="A29:A32"/>
    <mergeCell ref="A20:A21"/>
    <mergeCell ref="A18:A19"/>
    <mergeCell ref="A3:A7"/>
    <mergeCell ref="A9:A15"/>
    <mergeCell ref="A39:A44"/>
    <mergeCell ref="A45:A49"/>
    <mergeCell ref="A35:A38"/>
    <mergeCell ref="A33:A34"/>
  </mergeCells>
  <conditionalFormatting sqref="F41:F43 F47:F49 F53">
    <cfRule type="containsText" dxfId="2" priority="1" operator="containsText" text="Aangenomen">
      <formula>NOT(ISERROR(SEARCH(("Aangenomen"),(F41))))</formula>
    </cfRule>
  </conditionalFormatting>
  <conditionalFormatting sqref="F41:F43 F47:F49 F53">
    <cfRule type="containsText" dxfId="3" priority="2" operator="containsText" text="Verworpen">
      <formula>NOT(ISERROR(SEARCH(("Verworpen"),(F41))))</formula>
    </cfRule>
  </conditionalFormatting>
  <conditionalFormatting sqref="F41:F43 F47:F49 F53">
    <cfRule type="containsText" dxfId="11" priority="3" operator="containsText" text="Ingetrokken">
      <formula>NOT(ISERROR(SEARCH(("Ingetrokken"),(F41))))</formula>
    </cfRule>
  </conditionalFormatting>
  <conditionalFormatting sqref="F41:F43 F47:F49 F53">
    <cfRule type="containsText" dxfId="13" priority="4" operator="containsText" text="In stemming">
      <formula>NOT(ISERROR(SEARCH(("In stemming"),(F41))))</formula>
    </cfRule>
  </conditionalFormatting>
  <conditionalFormatting sqref="F41:F43 F47:F49 F53">
    <cfRule type="cellIs" dxfId="27" priority="5" operator="equal">
      <formula>"In afwachting"</formula>
    </cfRule>
  </conditionalFormatting>
  <conditionalFormatting sqref="C8">
    <cfRule type="containsText" dxfId="19" priority="6" operator="containsText" text="D66">
      <formula>NOT(ISERROR(SEARCH(("D66"),(C8))))</formula>
    </cfRule>
  </conditionalFormatting>
  <conditionalFormatting sqref="C8">
    <cfRule type="containsText" dxfId="20" priority="7" operator="containsText" text="PvdA">
      <formula>NOT(ISERROR(SEARCH(("PvdA"),(C8))))</formula>
    </cfRule>
  </conditionalFormatting>
  <conditionalFormatting sqref="C8">
    <cfRule type="containsText" dxfId="13" priority="8" operator="containsText" text="VVD">
      <formula>NOT(ISERROR(SEARCH(("VVD"),(C8))))</formula>
    </cfRule>
  </conditionalFormatting>
  <conditionalFormatting sqref="C8">
    <cfRule type="containsText" dxfId="21" priority="9" operator="containsText" text="CPN">
      <formula>NOT(ISERROR(SEARCH(("CPN"),(C8))))</formula>
    </cfRule>
  </conditionalFormatting>
  <conditionalFormatting sqref="C8">
    <cfRule type="containsText" dxfId="22" priority="10" operator="containsText" text="GL">
      <formula>NOT(ISERROR(SEARCH(("GL"),(C8))))</formula>
    </cfRule>
  </conditionalFormatting>
  <conditionalFormatting sqref="C8">
    <cfRule type="containsText" dxfId="15" priority="11" operator="containsText" text="SP">
      <formula>NOT(ISERROR(SEARCH(("SP"),(C8))))</formula>
    </cfRule>
  </conditionalFormatting>
  <conditionalFormatting sqref="C8">
    <cfRule type="containsText" dxfId="23" priority="12" operator="containsText" text="PVV">
      <formula>NOT(ISERROR(SEARCH(("PVV"),(C8))))</formula>
    </cfRule>
  </conditionalFormatting>
  <conditionalFormatting sqref="C8">
    <cfRule type="containsText" dxfId="16" priority="13" operator="containsText" text="PP">
      <formula>NOT(ISERROR(SEARCH(("PP"),(C8))))</formula>
    </cfRule>
  </conditionalFormatting>
  <conditionalFormatting sqref="C8">
    <cfRule type="containsText" dxfId="25" priority="14" operator="containsText" text="CDA">
      <formula>NOT(ISERROR(SEARCH(("CDA"),(C8))))</formula>
    </cfRule>
  </conditionalFormatting>
  <conditionalFormatting sqref="F:F">
    <cfRule type="containsText" dxfId="2" priority="15" operator="containsText" text="Actief">
      <formula>NOT(ISERROR(SEARCH(("Actief"),(F1))))</formula>
    </cfRule>
  </conditionalFormatting>
  <conditionalFormatting sqref="F:F">
    <cfRule type="containsText" dxfId="3" priority="16" operator="containsText" text="Ingetrokken">
      <formula>NOT(ISERROR(SEARCH(("Ingetrokken"),(F1))))</formula>
    </cfRule>
  </conditionalFormatting>
  <conditionalFormatting sqref="C8">
    <cfRule type="containsText" dxfId="26" priority="17" operator="containsText" text="Onafhankelijk">
      <formula>NOT(ISERROR(SEARCH(("Onafhankelijk"),(C8))))</formula>
    </cfRule>
  </conditionalFormatting>
  <conditionalFormatting sqref="F1:F64">
    <cfRule type="cellIs" dxfId="0" priority="18" operator="equal">
      <formula>"Vervangen"</formula>
    </cfRule>
  </conditionalFormatting>
  <hyperlinks>
    <hyperlink r:id="rId1" ref="C31"/>
    <hyperlink r:id="rId2" ref="C32"/>
    <hyperlink r:id="rId3" ref="C33"/>
    <hyperlink r:id="rId4" ref="C34"/>
    <hyperlink r:id="rId5" ref="C35"/>
    <hyperlink r:id="rId6" ref="C36"/>
    <hyperlink r:id="rId7" ref="C37"/>
    <hyperlink r:id="rId8" ref="C38"/>
    <hyperlink r:id="rId9" ref="C39"/>
    <hyperlink r:id="rId10" ref="C42"/>
    <hyperlink r:id="rId11" ref="C43"/>
    <hyperlink r:id="rId12" ref="C44"/>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14"/>
    <col customWidth="1" min="2" max="2" width="9.86"/>
    <col customWidth="1" min="3" max="3" width="9.0"/>
    <col customWidth="1" min="4" max="4" width="51.57"/>
    <col customWidth="1" min="5" max="5" width="10.14"/>
    <col customWidth="1" min="6" max="6" width="11.43"/>
    <col customWidth="1" min="7" max="7" width="4.14"/>
    <col customWidth="1" min="8" max="8" width="6.0"/>
    <col customWidth="1" min="9" max="9" width="5.57"/>
    <col customWidth="1" min="10" max="10" width="4.57"/>
    <col customWidth="1" min="11" max="11" width="7.0"/>
    <col customWidth="1" min="12" max="12" width="8.29"/>
    <col customWidth="1" min="13" max="13" width="7.71"/>
    <col customWidth="1" min="14" max="14" width="5.14"/>
    <col customWidth="1" min="15" max="15" width="6.71"/>
    <col customWidth="1" min="16" max="18" width="5.14"/>
    <col customWidth="1" min="19" max="19" width="31.86"/>
  </cols>
  <sheetData>
    <row r="1">
      <c r="A1" s="373" t="s">
        <v>152</v>
      </c>
      <c r="B1" s="373" t="s">
        <v>925</v>
      </c>
      <c r="C1" s="467" t="s">
        <v>154</v>
      </c>
      <c r="D1" s="369" t="s">
        <v>826</v>
      </c>
      <c r="E1" s="628" t="s">
        <v>827</v>
      </c>
      <c r="F1" s="71"/>
      <c r="G1" s="369" t="s">
        <v>926</v>
      </c>
      <c r="P1" s="71"/>
      <c r="Q1" s="369"/>
      <c r="R1" s="369"/>
      <c r="S1" s="369" t="s">
        <v>158</v>
      </c>
    </row>
    <row r="2">
      <c r="A2" s="372"/>
      <c r="B2" s="372"/>
      <c r="C2" s="372"/>
      <c r="D2" s="372"/>
      <c r="E2" s="629" t="s">
        <v>612</v>
      </c>
      <c r="F2" s="630" t="s">
        <v>613</v>
      </c>
      <c r="P2" s="71"/>
      <c r="Q2" s="369"/>
      <c r="R2" s="369"/>
      <c r="S2" s="372"/>
    </row>
    <row r="3">
      <c r="A3" s="373" t="s">
        <v>927</v>
      </c>
      <c r="B3" s="373"/>
      <c r="C3" s="631"/>
      <c r="E3" s="632"/>
      <c r="G3" s="595" t="s">
        <v>928</v>
      </c>
      <c r="H3" s="595" t="s">
        <v>929</v>
      </c>
      <c r="I3" s="595" t="s">
        <v>930</v>
      </c>
      <c r="J3" s="595" t="s">
        <v>931</v>
      </c>
      <c r="K3" s="595" t="s">
        <v>932</v>
      </c>
      <c r="L3" s="595" t="s">
        <v>933</v>
      </c>
      <c r="M3" s="595" t="s">
        <v>934</v>
      </c>
      <c r="N3" s="595" t="s">
        <v>935</v>
      </c>
      <c r="O3" s="595" t="s">
        <v>936</v>
      </c>
      <c r="P3" s="595" t="s">
        <v>937</v>
      </c>
      <c r="Q3" s="595"/>
      <c r="R3" s="595"/>
      <c r="S3" s="633"/>
    </row>
    <row r="4">
      <c r="B4" s="374" t="s">
        <v>938</v>
      </c>
      <c r="C4" s="634" t="s">
        <v>161</v>
      </c>
      <c r="D4" s="423" t="str">
        <f>HYPERLINK("https://www.reddit.com/r/RMTK/comments/3br0ko/d0001_kamerbrief_k0001_erkenning_van_de_staat/","Erkenning van de Staat Palestina")</f>
        <v>Erkenning van de Staat Palestina</v>
      </c>
      <c r="E4" s="635">
        <v>42186.0</v>
      </c>
      <c r="F4" s="636">
        <v>42189.0</v>
      </c>
      <c r="G4" s="637" t="s">
        <v>939</v>
      </c>
      <c r="H4" s="637" t="s">
        <v>940</v>
      </c>
      <c r="I4" s="637" t="s">
        <v>939</v>
      </c>
      <c r="J4" s="637" t="s">
        <v>940</v>
      </c>
      <c r="K4" s="637" t="s">
        <v>940</v>
      </c>
      <c r="L4" s="637" t="s">
        <v>940</v>
      </c>
      <c r="M4" s="637" t="s">
        <v>940</v>
      </c>
      <c r="N4" s="637" t="s">
        <v>940</v>
      </c>
      <c r="O4" s="637" t="s">
        <v>940</v>
      </c>
      <c r="P4" s="638" t="s">
        <v>940</v>
      </c>
      <c r="Q4" s="639"/>
      <c r="R4" s="639"/>
      <c r="S4" s="640"/>
    </row>
    <row r="5">
      <c r="A5" s="390"/>
      <c r="B5" s="374" t="s">
        <v>941</v>
      </c>
      <c r="C5" s="641" t="s">
        <v>942</v>
      </c>
      <c r="D5" s="642" t="str">
        <f>HYPERLINK("https://www.reddit.com/r/RMTK/comments/3dcrsr/d0002_spionage_van_de_aivd_in_het_nederlandse/","Spionage van de AIVD in het Nederlandse bedrijfsleven")</f>
        <v>Spionage van de AIVD in het Nederlandse bedrijfsleven</v>
      </c>
      <c r="E5" s="635">
        <v>42200.0</v>
      </c>
      <c r="F5" s="636">
        <v>42203.0</v>
      </c>
      <c r="G5" s="637" t="s">
        <v>940</v>
      </c>
      <c r="H5" s="637" t="s">
        <v>939</v>
      </c>
      <c r="I5" s="637" t="s">
        <v>940</v>
      </c>
      <c r="J5" s="637" t="s">
        <v>940</v>
      </c>
      <c r="K5" s="637" t="s">
        <v>940</v>
      </c>
      <c r="L5" s="637" t="s">
        <v>939</v>
      </c>
      <c r="M5" s="637" t="s">
        <v>940</v>
      </c>
      <c r="N5" s="637" t="s">
        <v>940</v>
      </c>
      <c r="O5" s="637" t="s">
        <v>940</v>
      </c>
      <c r="P5" s="638" t="s">
        <v>940</v>
      </c>
      <c r="Q5" s="643"/>
      <c r="R5" s="643"/>
      <c r="S5" s="644"/>
    </row>
    <row r="6">
      <c r="A6" s="645" t="s">
        <v>197</v>
      </c>
      <c r="B6" s="646"/>
      <c r="C6" s="631"/>
      <c r="E6" s="647"/>
      <c r="G6" s="595" t="s">
        <v>928</v>
      </c>
      <c r="H6" s="595" t="s">
        <v>929</v>
      </c>
      <c r="I6" s="595" t="s">
        <v>930</v>
      </c>
      <c r="J6" s="595" t="s">
        <v>931</v>
      </c>
      <c r="K6" s="595" t="s">
        <v>934</v>
      </c>
      <c r="L6" s="595" t="s">
        <v>935</v>
      </c>
      <c r="M6" s="595" t="s">
        <v>936</v>
      </c>
      <c r="N6" s="595" t="s">
        <v>937</v>
      </c>
      <c r="O6" s="595"/>
      <c r="Q6" s="595"/>
      <c r="R6" s="595"/>
      <c r="S6" s="648"/>
    </row>
    <row r="7">
      <c r="A7" s="627"/>
      <c r="B7" s="390"/>
      <c r="C7" s="649" t="s">
        <v>943</v>
      </c>
      <c r="G7" s="650"/>
      <c r="H7" s="650"/>
      <c r="I7" s="650"/>
      <c r="J7" s="650"/>
      <c r="K7" s="651"/>
      <c r="L7" s="651"/>
      <c r="M7" s="651"/>
      <c r="N7" s="652"/>
      <c r="O7" s="653"/>
      <c r="Q7" s="653"/>
      <c r="R7" s="653"/>
      <c r="S7" s="654"/>
    </row>
    <row r="8">
      <c r="A8" s="366" t="s">
        <v>944</v>
      </c>
      <c r="B8" s="373"/>
      <c r="C8" s="631"/>
      <c r="E8" s="647"/>
      <c r="G8" s="595" t="s">
        <v>928</v>
      </c>
      <c r="H8" s="595" t="s">
        <v>929</v>
      </c>
      <c r="I8" s="595" t="s">
        <v>930</v>
      </c>
      <c r="J8" s="595" t="s">
        <v>931</v>
      </c>
      <c r="K8" s="595" t="s">
        <v>945</v>
      </c>
      <c r="L8" s="595" t="s">
        <v>934</v>
      </c>
      <c r="M8" s="595" t="s">
        <v>935</v>
      </c>
      <c r="N8" s="595" t="s">
        <v>937</v>
      </c>
      <c r="O8" s="595"/>
      <c r="Q8" s="595"/>
      <c r="R8" s="595"/>
      <c r="S8" s="655"/>
    </row>
    <row r="9">
      <c r="B9" s="374" t="s">
        <v>946</v>
      </c>
      <c r="C9" s="565" t="s">
        <v>174</v>
      </c>
      <c r="D9" s="656" t="str">
        <f>hyperlink("https://www.reddit.com/r/RMTK/comments/3wnph9/kv0001_kamervragen_aan_de_ministers_van_defensie/","Vuurwapenrichtlijnen van de EU")</f>
        <v>Vuurwapenrichtlijnen van de EU</v>
      </c>
      <c r="E9" s="635">
        <v>42351.0</v>
      </c>
      <c r="F9" s="657">
        <v>42354.0</v>
      </c>
      <c r="G9" s="637" t="s">
        <v>940</v>
      </c>
      <c r="H9" s="637" t="s">
        <v>940</v>
      </c>
      <c r="I9" s="637" t="s">
        <v>939</v>
      </c>
      <c r="J9" s="637" t="s">
        <v>940</v>
      </c>
      <c r="K9" s="637" t="s">
        <v>939</v>
      </c>
      <c r="L9" s="637" t="s">
        <v>940</v>
      </c>
      <c r="M9" s="637" t="s">
        <v>940</v>
      </c>
      <c r="N9" s="638" t="s">
        <v>940</v>
      </c>
      <c r="O9" s="658"/>
      <c r="P9" s="204"/>
      <c r="Q9" s="659"/>
      <c r="R9" s="659"/>
      <c r="S9" s="660"/>
    </row>
    <row r="10">
      <c r="B10" s="374" t="s">
        <v>947</v>
      </c>
      <c r="C10" s="565" t="s">
        <v>21</v>
      </c>
      <c r="D10" s="656" t="str">
        <f>hyperlink("https://www.reddit.com/r/RMTK/comments/3wsnlb/kv0002_kamervragen_aan_de_ministerpresident_en_de/","Het conflict in het Midden-Oosten")</f>
        <v>Het conflict in het Midden-Oosten</v>
      </c>
      <c r="E10" s="635">
        <v>42352.0</v>
      </c>
      <c r="F10" s="657">
        <v>42355.0</v>
      </c>
      <c r="G10" s="637" t="s">
        <v>939</v>
      </c>
      <c r="H10" s="637" t="s">
        <v>940</v>
      </c>
      <c r="I10" s="637" t="s">
        <v>939</v>
      </c>
      <c r="J10" s="637" t="s">
        <v>940</v>
      </c>
      <c r="K10" s="637" t="s">
        <v>939</v>
      </c>
      <c r="L10" s="637" t="s">
        <v>940</v>
      </c>
      <c r="M10" s="637" t="s">
        <v>940</v>
      </c>
      <c r="N10" s="638" t="s">
        <v>940</v>
      </c>
      <c r="O10" s="114"/>
      <c r="Q10" s="659"/>
      <c r="R10" s="659"/>
      <c r="S10" s="661"/>
    </row>
    <row r="11">
      <c r="B11" s="374" t="s">
        <v>948</v>
      </c>
      <c r="C11" s="565" t="s">
        <v>21</v>
      </c>
      <c r="D11" s="656" t="str">
        <f>hyperlink("https://www.reddit.com/r/RMTK/comments/3x50or/kv0003_kamervragen_aan_de_ministerpresident/","VN resolutie 003 en de Frankrijk-crisis")</f>
        <v>VN resolutie 003 en de Frankrijk-crisis</v>
      </c>
      <c r="E11" s="635">
        <v>42354.0</v>
      </c>
      <c r="F11" s="657">
        <v>42356.0</v>
      </c>
      <c r="G11" s="637" t="s">
        <v>939</v>
      </c>
      <c r="H11" s="637" t="s">
        <v>940</v>
      </c>
      <c r="I11" s="637" t="s">
        <v>940</v>
      </c>
      <c r="J11" s="637" t="s">
        <v>940</v>
      </c>
      <c r="K11" s="637" t="s">
        <v>940</v>
      </c>
      <c r="L11" s="637" t="s">
        <v>940</v>
      </c>
      <c r="M11" s="637" t="s">
        <v>940</v>
      </c>
      <c r="N11" s="638" t="s">
        <v>940</v>
      </c>
      <c r="O11" s="114"/>
      <c r="Q11" s="659"/>
      <c r="R11" s="659"/>
      <c r="S11" s="661"/>
    </row>
    <row r="12">
      <c r="B12" s="374" t="s">
        <v>949</v>
      </c>
      <c r="C12" s="565" t="s">
        <v>174</v>
      </c>
      <c r="D12" s="656" t="str">
        <f>hyperlink("https://www.reddit.com/r/RMTK/comments/3zq8g9/kv0004_kamervragen_aan_de_ministers_van/","De waterstofbom van Noord-Korea")</f>
        <v>De waterstofbom van Noord-Korea</v>
      </c>
      <c r="E12" s="635">
        <v>42375.0</v>
      </c>
      <c r="F12" s="657">
        <v>42378.0</v>
      </c>
      <c r="G12" s="637" t="s">
        <v>940</v>
      </c>
      <c r="H12" s="637" t="s">
        <v>940</v>
      </c>
      <c r="I12" s="637" t="s">
        <v>939</v>
      </c>
      <c r="J12" s="637" t="s">
        <v>940</v>
      </c>
      <c r="K12" s="637" t="s">
        <v>939</v>
      </c>
      <c r="L12" s="637" t="s">
        <v>940</v>
      </c>
      <c r="M12" s="637" t="s">
        <v>940</v>
      </c>
      <c r="N12" s="638" t="s">
        <v>940</v>
      </c>
      <c r="O12" s="114"/>
      <c r="Q12" s="659"/>
      <c r="R12" s="659"/>
      <c r="S12" s="661"/>
    </row>
    <row r="13">
      <c r="B13" s="374" t="s">
        <v>950</v>
      </c>
      <c r="C13" s="565" t="s">
        <v>174</v>
      </c>
      <c r="D13" s="656" t="str">
        <f>hyperlink("https://www.reddit.com/r/RMTK/comments/40ilc8/kv0005_kamervragen_aan_de_minister_van/","Buitenlandse geldstromen naar moskeeën")</f>
        <v>Buitenlandse geldstromen naar moskeeën</v>
      </c>
      <c r="E13" s="635">
        <v>42380.0</v>
      </c>
      <c r="F13" s="657">
        <v>42383.0</v>
      </c>
      <c r="G13" s="637" t="s">
        <v>940</v>
      </c>
      <c r="H13" s="637" t="s">
        <v>939</v>
      </c>
      <c r="I13" s="637" t="s">
        <v>940</v>
      </c>
      <c r="J13" s="637" t="s">
        <v>940</v>
      </c>
      <c r="K13" s="637" t="s">
        <v>940</v>
      </c>
      <c r="L13" s="637" t="s">
        <v>940</v>
      </c>
      <c r="M13" s="637" t="s">
        <v>940</v>
      </c>
      <c r="N13" s="638" t="s">
        <v>940</v>
      </c>
      <c r="O13" s="114"/>
      <c r="Q13" s="659"/>
      <c r="R13" s="659"/>
      <c r="S13" s="661"/>
    </row>
    <row r="14">
      <c r="B14" s="374" t="s">
        <v>951</v>
      </c>
      <c r="C14" s="515" t="s">
        <v>227</v>
      </c>
      <c r="D14" s="656" t="str">
        <f>hyperlink("https://www.reddit.com/r/RMTK/comments/43amr7/d0003_het_schoolvak_nederlands/","Het schoolvak Nederlands")</f>
        <v>Het schoolvak Nederlands</v>
      </c>
      <c r="E14" s="635">
        <v>42398.0</v>
      </c>
      <c r="F14" s="657">
        <v>42403.0</v>
      </c>
      <c r="G14" s="637" t="s">
        <v>939</v>
      </c>
      <c r="H14" s="637" t="s">
        <v>940</v>
      </c>
      <c r="I14" s="637" t="s">
        <v>940</v>
      </c>
      <c r="J14" s="637" t="s">
        <v>940</v>
      </c>
      <c r="K14" s="637" t="s">
        <v>940</v>
      </c>
      <c r="L14" s="637" t="s">
        <v>940</v>
      </c>
      <c r="M14" s="637" t="s">
        <v>939</v>
      </c>
      <c r="N14" s="638" t="s">
        <v>940</v>
      </c>
      <c r="O14" s="114"/>
      <c r="Q14" s="659"/>
      <c r="R14" s="659"/>
      <c r="S14" s="661"/>
    </row>
    <row r="15">
      <c r="B15" s="374" t="s">
        <v>952</v>
      </c>
      <c r="C15" s="515" t="s">
        <v>174</v>
      </c>
      <c r="D15" s="397" t="str">
        <f>hyperlink("https://www.reddit.com/r/RMTK/comments/43pr3v/d0004_rellen_in_amsterdam_van_24_januari/","Rellen in Amsterdam van 24 januari")</f>
        <v>Rellen in Amsterdam van 24 januari</v>
      </c>
      <c r="E15" s="635">
        <v>42401.0</v>
      </c>
      <c r="F15" s="662">
        <f t="shared" ref="F15:F17" si="1">E15+5</f>
        <v>42406</v>
      </c>
      <c r="G15" s="637" t="s">
        <v>940</v>
      </c>
      <c r="H15" s="637" t="s">
        <v>940</v>
      </c>
      <c r="I15" s="637" t="s">
        <v>940</v>
      </c>
      <c r="J15" s="637" t="s">
        <v>940</v>
      </c>
      <c r="K15" s="637" t="s">
        <v>939</v>
      </c>
      <c r="L15" s="637" t="s">
        <v>940</v>
      </c>
      <c r="M15" s="637" t="s">
        <v>940</v>
      </c>
      <c r="N15" s="638" t="s">
        <v>940</v>
      </c>
      <c r="O15" s="114"/>
      <c r="Q15" s="659"/>
      <c r="R15" s="659"/>
      <c r="S15" s="663"/>
    </row>
    <row r="16">
      <c r="B16" s="374" t="s">
        <v>953</v>
      </c>
      <c r="C16" s="515" t="s">
        <v>21</v>
      </c>
      <c r="D16" s="397" t="str">
        <f>hyperlink("https://www.reddit.com/r/RMTK/comments/46hijd/d0005_bewapende_drones/","Bewapende drones")</f>
        <v>Bewapende drones</v>
      </c>
      <c r="E16" s="635">
        <v>42419.0</v>
      </c>
      <c r="F16" s="662">
        <f t="shared" si="1"/>
        <v>42424</v>
      </c>
      <c r="G16" s="637" t="s">
        <v>939</v>
      </c>
      <c r="H16" s="637" t="s">
        <v>940</v>
      </c>
      <c r="I16" s="637" t="s">
        <v>939</v>
      </c>
      <c r="J16" s="637" t="s">
        <v>940</v>
      </c>
      <c r="K16" s="637" t="s">
        <v>939</v>
      </c>
      <c r="L16" s="637" t="s">
        <v>940</v>
      </c>
      <c r="M16" s="637" t="s">
        <v>940</v>
      </c>
      <c r="N16" s="638" t="s">
        <v>940</v>
      </c>
      <c r="O16" s="114"/>
      <c r="Q16" s="659"/>
      <c r="R16" s="659"/>
      <c r="S16" s="664"/>
    </row>
    <row r="17">
      <c r="B17" s="374" t="s">
        <v>954</v>
      </c>
      <c r="C17" s="473" t="s">
        <v>152</v>
      </c>
      <c r="D17" s="397" t="str">
        <f>hyperlink("https://www.reddit.com/r/RMTK/comments/47w1wh/begroting_th8_i_en_de_algemene_beschouwingen/","Algemene Beschouwingen Th8-I")</f>
        <v>Algemene Beschouwingen Th8-I</v>
      </c>
      <c r="E17" s="635">
        <v>42427.0</v>
      </c>
      <c r="F17" s="662">
        <f t="shared" si="1"/>
        <v>42432</v>
      </c>
      <c r="G17" s="637" t="s">
        <v>939</v>
      </c>
      <c r="H17" s="637" t="s">
        <v>939</v>
      </c>
      <c r="I17" s="637" t="s">
        <v>939</v>
      </c>
      <c r="J17" s="637" t="s">
        <v>939</v>
      </c>
      <c r="K17" s="637" t="s">
        <v>939</v>
      </c>
      <c r="L17" s="637" t="s">
        <v>955</v>
      </c>
      <c r="M17" s="637" t="s">
        <v>939</v>
      </c>
      <c r="N17" s="638" t="s">
        <v>939</v>
      </c>
      <c r="O17" s="114"/>
      <c r="Q17" s="659"/>
      <c r="R17" s="659"/>
      <c r="S17" s="665"/>
    </row>
    <row r="18">
      <c r="B18" s="374" t="s">
        <v>956</v>
      </c>
      <c r="C18" s="473" t="s">
        <v>957</v>
      </c>
      <c r="D18" s="397" t="str">
        <f>hyperlink("https://www.reddit.com/r/RMTK/comments/4aa30a/d0007_val_kabinet_th8i_en_presidium/","Val kabinet th8-I en presidium")</f>
        <v>Val kabinet th8-I en presidium</v>
      </c>
      <c r="E18" s="635">
        <v>42442.0</v>
      </c>
      <c r="F18" s="666">
        <v>42447.0</v>
      </c>
      <c r="G18" s="637" t="s">
        <v>939</v>
      </c>
      <c r="H18" s="637" t="s">
        <v>939</v>
      </c>
      <c r="I18" s="637" t="s">
        <v>939</v>
      </c>
      <c r="J18" s="637" t="s">
        <v>939</v>
      </c>
      <c r="K18" s="637" t="s">
        <v>940</v>
      </c>
      <c r="L18" s="637" t="s">
        <v>939</v>
      </c>
      <c r="M18" s="637" t="s">
        <v>939</v>
      </c>
      <c r="N18" s="638" t="s">
        <v>939</v>
      </c>
      <c r="O18" s="114"/>
      <c r="Q18" s="659"/>
      <c r="R18" s="659"/>
      <c r="S18" s="665"/>
    </row>
    <row r="19">
      <c r="B19" s="374" t="s">
        <v>958</v>
      </c>
      <c r="C19" s="473" t="s">
        <v>21</v>
      </c>
      <c r="D19" s="397" t="str">
        <f>hyperlink("https://www.reddit.com/r/RMTK/comments/4bp9iz/d0008_knelpunten_spoorwegen/","Knelpunten spoorwegen")</f>
        <v>Knelpunten spoorwegen</v>
      </c>
      <c r="E19" s="635">
        <v>42453.0</v>
      </c>
      <c r="F19" s="666">
        <v>42458.0</v>
      </c>
      <c r="G19" s="637" t="s">
        <v>940</v>
      </c>
      <c r="H19" s="637" t="s">
        <v>940</v>
      </c>
      <c r="I19" s="637" t="s">
        <v>940</v>
      </c>
      <c r="J19" s="637" t="s">
        <v>940</v>
      </c>
      <c r="K19" s="637" t="s">
        <v>940</v>
      </c>
      <c r="L19" s="637" t="s">
        <v>939</v>
      </c>
      <c r="M19" s="637" t="s">
        <v>940</v>
      </c>
      <c r="N19" s="638" t="s">
        <v>940</v>
      </c>
      <c r="O19" s="114"/>
      <c r="Q19" s="659"/>
      <c r="R19" s="659"/>
      <c r="S19" s="663"/>
    </row>
    <row r="20">
      <c r="A20" s="645" t="s">
        <v>959</v>
      </c>
      <c r="B20" s="646"/>
      <c r="C20" s="631"/>
      <c r="E20" s="647"/>
      <c r="G20" s="595" t="s">
        <v>928</v>
      </c>
      <c r="H20" s="595" t="s">
        <v>929</v>
      </c>
      <c r="I20" s="595" t="s">
        <v>930</v>
      </c>
      <c r="J20" s="595" t="s">
        <v>932</v>
      </c>
      <c r="K20" s="595" t="s">
        <v>960</v>
      </c>
      <c r="L20" s="595" t="s">
        <v>931</v>
      </c>
      <c r="M20" s="595" t="s">
        <v>935</v>
      </c>
      <c r="N20" s="595" t="s">
        <v>961</v>
      </c>
      <c r="O20" s="595" t="s">
        <v>937</v>
      </c>
      <c r="P20" s="595"/>
      <c r="Q20" s="595"/>
      <c r="R20" s="595"/>
      <c r="S20" s="667"/>
    </row>
    <row r="21">
      <c r="A21" s="627"/>
      <c r="B21" s="390"/>
      <c r="C21" s="649" t="s">
        <v>943</v>
      </c>
      <c r="G21" s="650"/>
      <c r="H21" s="650"/>
      <c r="I21" s="650"/>
      <c r="J21" s="650"/>
      <c r="K21" s="651"/>
      <c r="L21" s="651"/>
      <c r="M21" s="651"/>
      <c r="N21" s="652"/>
      <c r="O21" s="653"/>
      <c r="Q21" s="668"/>
      <c r="R21" s="668"/>
      <c r="S21" s="669"/>
    </row>
    <row r="22">
      <c r="A22" s="670" t="s">
        <v>962</v>
      </c>
      <c r="B22" s="401"/>
      <c r="C22" s="631"/>
      <c r="E22" s="647"/>
      <c r="G22" s="595" t="s">
        <v>928</v>
      </c>
      <c r="H22" s="595" t="s">
        <v>929</v>
      </c>
      <c r="I22" s="595" t="s">
        <v>930</v>
      </c>
      <c r="J22" s="595" t="s">
        <v>945</v>
      </c>
      <c r="K22" s="595" t="s">
        <v>931</v>
      </c>
      <c r="L22" s="595" t="s">
        <v>937</v>
      </c>
      <c r="M22" s="595" t="s">
        <v>963</v>
      </c>
      <c r="N22" s="595"/>
      <c r="Q22" s="595"/>
      <c r="R22" s="595"/>
      <c r="S22" s="671"/>
    </row>
    <row r="23">
      <c r="B23" s="374" t="s">
        <v>964</v>
      </c>
      <c r="C23" s="565" t="s">
        <v>174</v>
      </c>
      <c r="D23" s="656" t="str">
        <f>hyperlink("https://www.reddit.com/r/RMTK/comments/4fpq7g/kv0006_kamervragen_aan_de_minister_van/","Verhoging minimumjeugdloon")</f>
        <v>Verhoging minimumjeugdloon</v>
      </c>
      <c r="E23" s="635">
        <v>42480.0</v>
      </c>
      <c r="F23" s="672">
        <f t="shared" ref="F23:F24" si="2">E23+5</f>
        <v>42485</v>
      </c>
      <c r="G23" s="637" t="s">
        <v>940</v>
      </c>
      <c r="H23" s="673" t="s">
        <v>940</v>
      </c>
      <c r="I23" s="673" t="s">
        <v>940</v>
      </c>
      <c r="J23" s="673" t="s">
        <v>940</v>
      </c>
      <c r="K23" s="637" t="s">
        <v>939</v>
      </c>
      <c r="L23" s="673" t="s">
        <v>940</v>
      </c>
      <c r="M23" s="673" t="s">
        <v>940</v>
      </c>
      <c r="N23" s="658"/>
      <c r="O23" s="674"/>
      <c r="P23" s="674"/>
      <c r="Q23" s="659"/>
      <c r="R23" s="659"/>
      <c r="S23" s="669"/>
    </row>
    <row r="24">
      <c r="B24" s="374" t="s">
        <v>965</v>
      </c>
      <c r="C24" s="565" t="s">
        <v>12</v>
      </c>
      <c r="D24" s="656" t="str">
        <f>hyperlink("https://www.reddit.com/r/RMTK/comments/4fpqzu/kv0007_kamervragen_aan_de_minister_van/","Bouw van kerncentrale Borssele II")</f>
        <v>Bouw van kerncentrale Borssele II</v>
      </c>
      <c r="E24" s="635">
        <v>42480.0</v>
      </c>
      <c r="F24" s="672">
        <f t="shared" si="2"/>
        <v>42485</v>
      </c>
      <c r="G24" s="673" t="s">
        <v>940</v>
      </c>
      <c r="H24" s="673" t="s">
        <v>940</v>
      </c>
      <c r="I24" s="673" t="s">
        <v>940</v>
      </c>
      <c r="J24" s="673" t="s">
        <v>940</v>
      </c>
      <c r="K24" s="673" t="s">
        <v>940</v>
      </c>
      <c r="L24" s="673" t="s">
        <v>940</v>
      </c>
      <c r="M24" s="637" t="s">
        <v>939</v>
      </c>
      <c r="N24" s="675"/>
      <c r="O24" s="659"/>
      <c r="P24" s="659"/>
      <c r="Q24" s="659"/>
      <c r="R24" s="659"/>
      <c r="S24" s="669"/>
    </row>
    <row r="25">
      <c r="B25" s="374" t="s">
        <v>966</v>
      </c>
      <c r="C25" s="565" t="s">
        <v>174</v>
      </c>
      <c r="D25" s="417" t="str">
        <f>HYPERLINK("https://www.reddit.com/r/RMTK/comments/4gisuz/kv0008_kamervragen_over_het_regeerakkoord_aan_de/","Regeerakkoord")</f>
        <v>Regeerakkoord</v>
      </c>
      <c r="E25" s="635">
        <v>42486.0</v>
      </c>
      <c r="F25" s="672">
        <f t="shared" ref="F25:F28" si="3">E25+6</f>
        <v>42492</v>
      </c>
      <c r="G25" s="637" t="s">
        <v>939</v>
      </c>
      <c r="H25" s="673" t="s">
        <v>940</v>
      </c>
      <c r="I25" s="673" t="s">
        <v>940</v>
      </c>
      <c r="J25" s="673" t="s">
        <v>940</v>
      </c>
      <c r="K25" s="673" t="s">
        <v>940</v>
      </c>
      <c r="L25" s="673" t="s">
        <v>940</v>
      </c>
      <c r="M25" s="673" t="s">
        <v>940</v>
      </c>
      <c r="N25" s="675"/>
      <c r="O25" s="659"/>
      <c r="P25" s="659"/>
      <c r="Q25" s="659"/>
      <c r="R25" s="659"/>
      <c r="S25" s="669"/>
    </row>
    <row r="26">
      <c r="B26" s="374" t="s">
        <v>967</v>
      </c>
      <c r="C26" s="565" t="s">
        <v>174</v>
      </c>
      <c r="D26" s="417" t="str">
        <f>HYPERLINK("https://www.reddit.com/r/RMTK/comments/4jim8o/kv0009_kamervragen_aan_de_minister_van_defensie/","Marine")</f>
        <v>Marine</v>
      </c>
      <c r="E26" s="635">
        <v>42506.0</v>
      </c>
      <c r="F26" s="672">
        <f t="shared" si="3"/>
        <v>42512</v>
      </c>
      <c r="G26" s="673" t="s">
        <v>940</v>
      </c>
      <c r="H26" s="673" t="s">
        <v>940</v>
      </c>
      <c r="I26" s="673" t="s">
        <v>940</v>
      </c>
      <c r="J26" s="637" t="s">
        <v>939</v>
      </c>
      <c r="K26" s="673" t="s">
        <v>940</v>
      </c>
      <c r="L26" s="673" t="s">
        <v>940</v>
      </c>
      <c r="M26" s="673" t="s">
        <v>940</v>
      </c>
      <c r="N26" s="675"/>
      <c r="O26" s="659"/>
      <c r="P26" s="659"/>
      <c r="Q26" s="659"/>
      <c r="R26" s="659"/>
      <c r="S26" s="669"/>
    </row>
    <row r="27">
      <c r="B27" s="374" t="s">
        <v>968</v>
      </c>
      <c r="C27" s="565" t="s">
        <v>290</v>
      </c>
      <c r="D27" s="411" t="str">
        <f>HYPERLINK("https://www.reddit.com/r/RMTK/comments/4jl7do/kv0010_kamervragen_aan_de_minister_van_virm/","EU-richtlijn hernieuwbare energie")</f>
        <v>EU-richtlijn hernieuwbare energie</v>
      </c>
      <c r="E27" s="635">
        <v>42506.0</v>
      </c>
      <c r="F27" s="672">
        <f t="shared" si="3"/>
        <v>42512</v>
      </c>
      <c r="G27" s="673" t="s">
        <v>940</v>
      </c>
      <c r="H27" s="673" t="s">
        <v>940</v>
      </c>
      <c r="I27" s="673" t="s">
        <v>940</v>
      </c>
      <c r="J27" s="673" t="s">
        <v>940</v>
      </c>
      <c r="K27" s="673" t="s">
        <v>940</v>
      </c>
      <c r="L27" s="673" t="s">
        <v>940</v>
      </c>
      <c r="M27" s="637" t="s">
        <v>939</v>
      </c>
      <c r="N27" s="675"/>
      <c r="O27" s="659"/>
      <c r="P27" s="659"/>
      <c r="Q27" s="659"/>
      <c r="R27" s="659"/>
      <c r="S27" s="669"/>
    </row>
    <row r="28">
      <c r="B28" s="374" t="s">
        <v>969</v>
      </c>
      <c r="C28" s="565" t="s">
        <v>174</v>
      </c>
      <c r="D28" s="417" t="str">
        <f>HYPERLINK("https://www.reddit.com/r/RMTK/comments/4kfmh7/d0009_debat_aangaande_aantijgingen_verspilde/","Debat aangaande aantijgingen verspilde terreurkennis")</f>
        <v>Debat aangaande aantijgingen verspilde terreurkennis</v>
      </c>
      <c r="E28" s="635">
        <v>42511.0</v>
      </c>
      <c r="F28" s="672">
        <f t="shared" si="3"/>
        <v>42517</v>
      </c>
      <c r="G28" s="637" t="s">
        <v>970</v>
      </c>
      <c r="H28" s="637" t="s">
        <v>970</v>
      </c>
      <c r="I28" s="673" t="s">
        <v>940</v>
      </c>
      <c r="J28" s="637" t="s">
        <v>970</v>
      </c>
      <c r="K28" s="637" t="s">
        <v>940</v>
      </c>
      <c r="L28" s="637" t="s">
        <v>940</v>
      </c>
      <c r="M28" s="637" t="s">
        <v>940</v>
      </c>
      <c r="N28" s="675"/>
      <c r="O28" s="659"/>
      <c r="P28" s="659"/>
      <c r="Q28" s="659"/>
      <c r="R28" s="659"/>
      <c r="S28" s="669"/>
    </row>
    <row r="29">
      <c r="B29" s="374" t="s">
        <v>971</v>
      </c>
      <c r="C29" s="565" t="s">
        <v>152</v>
      </c>
      <c r="D29" s="417" t="str">
        <f>HYPERLINK("https://www.reddit.com/r/RMTK/comments/4kw6p0/d0010_debat_omtrent_de_olympische_spelen_van_2016/","Debat omtrent de Olympische Spelen van 2016 en de gezondheidsrisico's van dien")</f>
        <v>Debat omtrent de Olympische Spelen van 2016 en de gezondheidsrisico's van dien</v>
      </c>
      <c r="E29" s="635">
        <v>42511.0</v>
      </c>
      <c r="F29" s="636">
        <v>42517.0</v>
      </c>
      <c r="G29" s="637" t="s">
        <v>940</v>
      </c>
      <c r="H29" s="637" t="s">
        <v>940</v>
      </c>
      <c r="I29" s="637" t="s">
        <v>970</v>
      </c>
      <c r="J29" s="637" t="s">
        <v>940</v>
      </c>
      <c r="K29" s="637" t="s">
        <v>940</v>
      </c>
      <c r="L29" s="637" t="s">
        <v>940</v>
      </c>
      <c r="M29" s="637" t="s">
        <v>939</v>
      </c>
      <c r="N29" s="675"/>
      <c r="O29" s="659"/>
      <c r="P29" s="659"/>
      <c r="Q29" s="659"/>
      <c r="R29" s="659"/>
      <c r="S29" s="669"/>
    </row>
    <row r="30">
      <c r="B30" s="374" t="s">
        <v>972</v>
      </c>
      <c r="C30" s="565" t="s">
        <v>152</v>
      </c>
      <c r="D30" s="417" t="str">
        <f>HYPERLINK("https://www.reddit.com/r/RMTK/comments/4lbphw/d0011_polen_en_de_vluchtelingenovereenkomst/","Polen en de vluchtelingenovereenkomst")</f>
        <v>Polen en de vluchtelingenovereenkomst</v>
      </c>
      <c r="E30" s="635">
        <v>42513.0</v>
      </c>
      <c r="F30" s="672">
        <f>E30+6</f>
        <v>42519</v>
      </c>
      <c r="G30" s="637" t="s">
        <v>940</v>
      </c>
      <c r="H30" s="637" t="s">
        <v>970</v>
      </c>
      <c r="I30" s="637" t="s">
        <v>970</v>
      </c>
      <c r="J30" s="637" t="s">
        <v>940</v>
      </c>
      <c r="K30" s="637" t="s">
        <v>940</v>
      </c>
      <c r="L30" s="637" t="s">
        <v>940</v>
      </c>
      <c r="M30" s="637" t="s">
        <v>940</v>
      </c>
      <c r="N30" s="675"/>
      <c r="O30" s="659"/>
      <c r="P30" s="659"/>
      <c r="Q30" s="659"/>
      <c r="R30" s="659"/>
      <c r="S30" s="669"/>
    </row>
    <row r="31">
      <c r="A31" s="670" t="s">
        <v>973</v>
      </c>
      <c r="B31" s="401"/>
      <c r="C31" s="631"/>
      <c r="E31" s="647"/>
      <c r="G31" s="595" t="s">
        <v>928</v>
      </c>
      <c r="H31" s="595" t="s">
        <v>929</v>
      </c>
      <c r="I31" s="595" t="s">
        <v>930</v>
      </c>
      <c r="J31" s="595" t="s">
        <v>945</v>
      </c>
      <c r="K31" s="595" t="s">
        <v>931</v>
      </c>
      <c r="L31" s="595" t="s">
        <v>937</v>
      </c>
      <c r="M31" s="595" t="s">
        <v>963</v>
      </c>
      <c r="N31" s="595"/>
      <c r="Q31" s="595"/>
      <c r="R31" s="595"/>
      <c r="S31" s="671"/>
    </row>
    <row r="32">
      <c r="B32" s="374" t="s">
        <v>974</v>
      </c>
      <c r="C32" s="565" t="s">
        <v>290</v>
      </c>
      <c r="D32" s="417" t="str">
        <f>HYPERLINK("https://www.reddit.com/r/RMTK/comments/4snjyd/kv0011_kamervragen_naar_aanleiding_van_de_islet/","Kamervragen naar aanleiding van de Islet of Rockall Act 2016")</f>
        <v>Kamervragen naar aanleiding van de Islet of Rockall Act 2016</v>
      </c>
      <c r="E32" s="635">
        <v>42564.0</v>
      </c>
      <c r="F32" s="676">
        <f t="shared" ref="F32:F34" si="4">E32+6</f>
        <v>42570</v>
      </c>
      <c r="G32" s="637" t="s">
        <v>940</v>
      </c>
      <c r="H32" s="637" t="s">
        <v>940</v>
      </c>
      <c r="I32" s="637" t="s">
        <v>970</v>
      </c>
      <c r="J32" s="637" t="s">
        <v>940</v>
      </c>
      <c r="K32" s="637" t="s">
        <v>940</v>
      </c>
      <c r="L32" s="637" t="s">
        <v>940</v>
      </c>
      <c r="M32" s="637" t="s">
        <v>940</v>
      </c>
      <c r="N32" s="675"/>
      <c r="O32" s="659"/>
      <c r="P32" s="659"/>
      <c r="Q32" s="659"/>
      <c r="R32" s="659"/>
      <c r="S32" s="669"/>
    </row>
    <row r="33">
      <c r="B33" s="374" t="s">
        <v>975</v>
      </c>
      <c r="C33" s="565" t="s">
        <v>200</v>
      </c>
      <c r="D33" s="417" t="str">
        <f>HYPERLINK("https://www.reddit.com/r/RMTK/comments/4t0iq4/kv0012_kamervragen_aan_het_voltallige_kabinet/","Kamervragen aan het voltallige kabinet over aangenomen moties")</f>
        <v>Kamervragen aan het voltallige kabinet over aangenomen moties</v>
      </c>
      <c r="E33" s="635">
        <v>42566.0</v>
      </c>
      <c r="F33" s="676">
        <f t="shared" si="4"/>
        <v>42572</v>
      </c>
      <c r="G33" s="637" t="s">
        <v>970</v>
      </c>
      <c r="H33" s="637" t="s">
        <v>970</v>
      </c>
      <c r="I33" s="637" t="s">
        <v>970</v>
      </c>
      <c r="J33" s="637" t="s">
        <v>970</v>
      </c>
      <c r="K33" s="637" t="s">
        <v>939</v>
      </c>
      <c r="L33" s="637" t="s">
        <v>970</v>
      </c>
      <c r="M33" s="637" t="s">
        <v>939</v>
      </c>
      <c r="N33" s="675"/>
      <c r="O33" s="659"/>
      <c r="P33" s="659"/>
      <c r="Q33" s="659"/>
      <c r="R33" s="659"/>
      <c r="S33" s="669"/>
    </row>
    <row r="34">
      <c r="B34" s="374" t="s">
        <v>976</v>
      </c>
      <c r="C34" s="515" t="s">
        <v>168</v>
      </c>
      <c r="D34" s="417" t="str">
        <f>HYPERLINK("https://www.reddit.com/r/RMTK/comments/4z1s2u/kv0013_kamervragen_over_gebruik_advanced/","Kamervragen over gebruik 'advanced interrogation techniques' door bondgenoten")</f>
        <v>Kamervragen over gebruik 'advanced interrogation techniques' door bondgenoten</v>
      </c>
      <c r="E34" s="635">
        <v>42604.0</v>
      </c>
      <c r="F34" s="676">
        <f t="shared" si="4"/>
        <v>42610</v>
      </c>
      <c r="G34" s="673" t="s">
        <v>940</v>
      </c>
      <c r="H34" s="673" t="s">
        <v>940</v>
      </c>
      <c r="I34" s="673" t="s">
        <v>940</v>
      </c>
      <c r="J34" s="673" t="s">
        <v>940</v>
      </c>
      <c r="K34" s="637" t="s">
        <v>939</v>
      </c>
      <c r="L34" s="673" t="s">
        <v>940</v>
      </c>
      <c r="M34" s="673" t="s">
        <v>940</v>
      </c>
      <c r="N34" s="675"/>
      <c r="O34" s="659"/>
      <c r="P34" s="659"/>
      <c r="Q34" s="659"/>
      <c r="R34" s="659"/>
      <c r="S34" s="669"/>
    </row>
    <row r="35">
      <c r="B35" s="374" t="s">
        <v>977</v>
      </c>
      <c r="C35" s="515" t="s">
        <v>168</v>
      </c>
      <c r="D35" s="417" t="str">
        <f>HYPERLINK("https://www.reddit.com/r/RMTK/comments/4zdur6/kv0014_kamervragen_naar_aanleiding_van_de/","Toekomstige inzet nieuwe treintoestellen Nederlandse Spoornet")</f>
        <v>Toekomstige inzet nieuwe treintoestellen Nederlandse Spoornet</v>
      </c>
      <c r="E35" s="635">
        <v>42606.0</v>
      </c>
      <c r="F35" s="657">
        <v>42612.0</v>
      </c>
      <c r="G35" s="637" t="s">
        <v>940</v>
      </c>
      <c r="H35" s="637" t="s">
        <v>940</v>
      </c>
      <c r="I35" s="637" t="s">
        <v>940</v>
      </c>
      <c r="J35" s="637" t="s">
        <v>940</v>
      </c>
      <c r="K35" s="637" t="s">
        <v>940</v>
      </c>
      <c r="L35" s="637" t="s">
        <v>940</v>
      </c>
      <c r="M35" s="637" t="s">
        <v>939</v>
      </c>
      <c r="N35" s="659"/>
      <c r="O35" s="659"/>
      <c r="P35" s="659"/>
      <c r="Q35" s="659"/>
      <c r="R35" s="659"/>
      <c r="S35" s="677"/>
    </row>
    <row r="36">
      <c r="B36" s="374" t="s">
        <v>978</v>
      </c>
      <c r="C36" s="515" t="s">
        <v>200</v>
      </c>
      <c r="D36" s="417" t="str">
        <f>HYPERLINK("https://www.reddit.com/r/RMTK/comments/4zpccz/kv0015_kamervragen_naar_aanleiding_van/","Persbericht RTV-Noord over megastallen")</f>
        <v>Persbericht RTV-Noord over megastallen</v>
      </c>
      <c r="E36" s="635">
        <v>42608.0</v>
      </c>
      <c r="F36" s="657">
        <v>42612.0</v>
      </c>
      <c r="G36" s="637" t="s">
        <v>940</v>
      </c>
      <c r="H36" s="637" t="s">
        <v>940</v>
      </c>
      <c r="I36" s="637" t="s">
        <v>940</v>
      </c>
      <c r="J36" s="637" t="s">
        <v>939</v>
      </c>
      <c r="K36" s="637" t="s">
        <v>940</v>
      </c>
      <c r="L36" s="637" t="s">
        <v>940</v>
      </c>
      <c r="M36" s="637" t="s">
        <v>940</v>
      </c>
      <c r="N36" s="659"/>
      <c r="O36" s="659"/>
      <c r="P36" s="659"/>
      <c r="Q36" s="659"/>
      <c r="R36" s="659"/>
      <c r="S36" s="677"/>
    </row>
    <row r="37">
      <c r="B37" s="374" t="s">
        <v>979</v>
      </c>
      <c r="C37" s="515" t="s">
        <v>174</v>
      </c>
      <c r="D37" s="417" t="str">
        <f>HYPERLINK("https://www.reddit.com/r/RMTK/comments/50hg2w/kv0016_kamervragen_naar_aanleiding_van/","Persbericht ANP over overschrijding Fosfaatplafond")</f>
        <v>Persbericht ANP over overschrijding Fosfaatplafond</v>
      </c>
      <c r="E37" s="635">
        <v>42613.0</v>
      </c>
      <c r="F37" s="657">
        <v>42616.0</v>
      </c>
      <c r="G37" s="673" t="s">
        <v>940</v>
      </c>
      <c r="H37" s="673" t="s">
        <v>940</v>
      </c>
      <c r="I37" s="673" t="s">
        <v>940</v>
      </c>
      <c r="J37" s="637" t="s">
        <v>939</v>
      </c>
      <c r="K37" s="673" t="s">
        <v>940</v>
      </c>
      <c r="L37" s="673" t="s">
        <v>940</v>
      </c>
      <c r="M37" s="673" t="s">
        <v>940</v>
      </c>
      <c r="N37" s="659"/>
      <c r="O37" s="659"/>
      <c r="P37" s="659"/>
      <c r="Q37" s="659"/>
      <c r="R37" s="659"/>
      <c r="S37" s="677"/>
    </row>
    <row r="38">
      <c r="A38" s="670" t="s">
        <v>980</v>
      </c>
      <c r="B38" s="401"/>
      <c r="C38" s="678"/>
      <c r="D38" s="679"/>
      <c r="E38" s="680"/>
      <c r="F38" s="681"/>
      <c r="G38" s="631" t="s">
        <v>928</v>
      </c>
      <c r="H38" s="631" t="s">
        <v>929</v>
      </c>
      <c r="I38" s="631" t="s">
        <v>930</v>
      </c>
      <c r="J38" s="631" t="s">
        <v>981</v>
      </c>
      <c r="K38" s="631" t="s">
        <v>931</v>
      </c>
      <c r="L38" s="631" t="s">
        <v>982</v>
      </c>
      <c r="M38" s="631" t="s">
        <v>963</v>
      </c>
      <c r="N38" s="682"/>
      <c r="O38" s="682"/>
      <c r="P38" s="682"/>
      <c r="Q38" s="682"/>
      <c r="R38" s="682"/>
      <c r="S38" s="683"/>
    </row>
    <row r="39">
      <c r="B39" s="374" t="s">
        <v>983</v>
      </c>
      <c r="C39" s="515" t="s">
        <v>200</v>
      </c>
      <c r="D39" s="684" t="str">
        <f>HYPERLINK("https://www.reddit.com/r/RMTK/comments/585cca/kv0017_kamervragen_aan_de_minister_uroenmane_van/","Kamervragen aan de minister /u/roenmane van Infrastructuur en Milieu betreffende vervanging regeringsvliegtuig.")</f>
        <v>Kamervragen aan de minister /u/roenmane van Infrastructuur en Milieu betreffende vervanging regeringsvliegtuig.</v>
      </c>
      <c r="E39" s="685">
        <v>42661.0</v>
      </c>
      <c r="F39" s="686">
        <v>42664.0</v>
      </c>
      <c r="G39" s="687" t="s">
        <v>984</v>
      </c>
      <c r="H39" s="637" t="s">
        <v>984</v>
      </c>
      <c r="I39" s="637" t="s">
        <v>984</v>
      </c>
      <c r="J39" s="637" t="s">
        <v>984</v>
      </c>
      <c r="K39" s="637" t="s">
        <v>984</v>
      </c>
      <c r="L39" s="637" t="s">
        <v>984</v>
      </c>
      <c r="M39" s="637" t="s">
        <v>970</v>
      </c>
      <c r="N39" s="659"/>
      <c r="O39" s="659"/>
      <c r="P39" s="659"/>
      <c r="Q39" s="659"/>
      <c r="R39" s="659"/>
      <c r="S39" s="677"/>
    </row>
    <row r="40">
      <c r="B40" s="374" t="s">
        <v>985</v>
      </c>
      <c r="C40" s="515" t="s">
        <v>290</v>
      </c>
      <c r="D40" s="417" t="str">
        <f>HYPERLINK("https://www.reddit.com/r/RMTK/comments/58hjhu/kv0018_kamervragen_omtrent_kwaliteitszorg/","Kamervragen Omtrent Kwaliteitszorg Seksuele Vorming In De Klas")</f>
        <v>Kamervragen Omtrent Kwaliteitszorg Seksuele Vorming In De Klas</v>
      </c>
      <c r="E40" s="635">
        <v>42663.0</v>
      </c>
      <c r="F40" s="657">
        <v>42666.0</v>
      </c>
      <c r="G40" s="687" t="s">
        <v>984</v>
      </c>
      <c r="H40" s="637" t="s">
        <v>984</v>
      </c>
      <c r="I40" s="637" t="s">
        <v>984</v>
      </c>
      <c r="J40" s="637" t="s">
        <v>984</v>
      </c>
      <c r="K40" s="637" t="s">
        <v>984</v>
      </c>
      <c r="L40" s="637" t="s">
        <v>970</v>
      </c>
      <c r="M40" s="637" t="s">
        <v>984</v>
      </c>
      <c r="N40" s="659"/>
      <c r="O40" s="659"/>
      <c r="P40" s="659"/>
      <c r="Q40" s="659"/>
      <c r="R40" s="659"/>
      <c r="S40" s="677"/>
    </row>
    <row r="41">
      <c r="B41" s="374" t="s">
        <v>986</v>
      </c>
      <c r="C41" s="515" t="s">
        <v>290</v>
      </c>
      <c r="D41" s="417" t="str">
        <f>HYPERLINK("https://www.reddit.com/r/RMTK/comments/59c5xj/kv0019_kamervragen_aangaande_nog_uit_te_voeren/","Kamervragen aangaande nog uit te voeren moties")</f>
        <v>Kamervragen aangaande nog uit te voeren moties</v>
      </c>
      <c r="E41" s="635">
        <v>42668.0</v>
      </c>
      <c r="F41" s="657">
        <v>42671.0</v>
      </c>
      <c r="G41" s="687" t="s">
        <v>984</v>
      </c>
      <c r="H41" s="637" t="s">
        <v>984</v>
      </c>
      <c r="I41" s="637" t="s">
        <v>984</v>
      </c>
      <c r="J41" s="637" t="s">
        <v>970</v>
      </c>
      <c r="K41" s="637" t="s">
        <v>970</v>
      </c>
      <c r="L41" s="637" t="s">
        <v>970</v>
      </c>
      <c r="M41" s="637" t="s">
        <v>970</v>
      </c>
      <c r="N41" s="659"/>
      <c r="O41" s="659"/>
      <c r="P41" s="659"/>
      <c r="Q41" s="659"/>
      <c r="R41" s="659"/>
      <c r="S41" s="677"/>
    </row>
    <row r="42">
      <c r="B42" s="374" t="s">
        <v>987</v>
      </c>
      <c r="C42" s="515" t="s">
        <v>337</v>
      </c>
      <c r="D42" s="417" t="str">
        <f>HYPERLINK("https://www.reddit.com/r/RMTK/comments/5a0b26/kv0020_kamervragen_over_de_situatie_in_de/","Kamervragen over de situatie in de Amerikaanse staat Dixie")</f>
        <v>Kamervragen over de situatie in de Amerikaanse staat Dixie</v>
      </c>
      <c r="E42" s="635">
        <v>42672.0</v>
      </c>
      <c r="F42" s="657">
        <v>42675.0</v>
      </c>
      <c r="G42" s="687" t="s">
        <v>984</v>
      </c>
      <c r="H42" s="637" t="s">
        <v>984</v>
      </c>
      <c r="I42" s="637" t="s">
        <v>970</v>
      </c>
      <c r="J42" s="637" t="s">
        <v>984</v>
      </c>
      <c r="K42" s="637" t="s">
        <v>984</v>
      </c>
      <c r="L42" s="637" t="s">
        <v>984</v>
      </c>
      <c r="M42" s="637" t="s">
        <v>984</v>
      </c>
      <c r="N42" s="659"/>
      <c r="O42" s="659"/>
      <c r="P42" s="659"/>
      <c r="Q42" s="659"/>
      <c r="R42" s="659"/>
      <c r="S42" s="677"/>
    </row>
    <row r="43">
      <c r="B43" s="374" t="s">
        <v>988</v>
      </c>
      <c r="C43" s="515" t="s">
        <v>168</v>
      </c>
      <c r="D43" s="417" t="str">
        <f>HYPERLINK("https://www.reddit.com/r/RMTK/comments/5c99tl/kv0021_kamervragen_omtrent_de_rijksweg_n50/","Kamervragen omtrent de Rijksweg N50")</f>
        <v>Kamervragen omtrent de Rijksweg N50</v>
      </c>
      <c r="E43" s="635">
        <v>42684.0</v>
      </c>
      <c r="F43" s="657">
        <v>42687.0</v>
      </c>
      <c r="G43" s="687" t="s">
        <v>984</v>
      </c>
      <c r="H43" s="637" t="s">
        <v>984</v>
      </c>
      <c r="I43" s="637" t="s">
        <v>984</v>
      </c>
      <c r="J43" s="637" t="s">
        <v>984</v>
      </c>
      <c r="K43" s="637" t="s">
        <v>984</v>
      </c>
      <c r="L43" s="637" t="s">
        <v>984</v>
      </c>
      <c r="M43" s="637" t="s">
        <v>970</v>
      </c>
      <c r="N43" s="659"/>
      <c r="O43" s="659"/>
      <c r="P43" s="659"/>
      <c r="Q43" s="659"/>
      <c r="R43" s="659"/>
      <c r="S43" s="677"/>
    </row>
    <row r="44">
      <c r="B44" s="374" t="s">
        <v>989</v>
      </c>
      <c r="C44" s="515" t="s">
        <v>174</v>
      </c>
      <c r="D44" s="417" t="str">
        <f>HYPERLINK("https://www.reddit.com/r/RMTK/comments/5buaue/d0013_debat_omtrent_het_verlagen_van_de_leeftijd/","Debat Omtrent het verlagen van de Leeftijd Huursubsidie. ")</f>
        <v>Debat Omtrent het verlagen van de Leeftijd Huursubsidie. </v>
      </c>
      <c r="E44" s="635">
        <v>42682.0</v>
      </c>
      <c r="F44" s="657">
        <v>42685.0</v>
      </c>
      <c r="G44" s="687" t="s">
        <v>984</v>
      </c>
      <c r="H44" s="637" t="s">
        <v>984</v>
      </c>
      <c r="I44" s="637" t="s">
        <v>984</v>
      </c>
      <c r="J44" s="637" t="s">
        <v>984</v>
      </c>
      <c r="K44" s="637" t="s">
        <v>984</v>
      </c>
      <c r="L44" s="637" t="s">
        <v>984</v>
      </c>
      <c r="M44" s="637" t="s">
        <v>984</v>
      </c>
      <c r="N44" s="659"/>
      <c r="O44" s="659"/>
      <c r="P44" s="659"/>
      <c r="Q44" s="659"/>
      <c r="R44" s="659"/>
      <c r="S44" s="677" t="s">
        <v>990</v>
      </c>
    </row>
    <row r="45">
      <c r="B45" s="374" t="s">
        <v>991</v>
      </c>
      <c r="C45" s="515" t="s">
        <v>21</v>
      </c>
      <c r="D45" s="417" t="str">
        <f>HYPERLINK("https://www.reddit.com/r/RMTK/comments/5d3w4l/kv0022_kamervragen_aan_de_minister_uroenmane_van/","Kamervragen betreffende vervanging regeringsvliegtuig.")</f>
        <v>Kamervragen betreffende vervanging regeringsvliegtuig.</v>
      </c>
      <c r="E45" s="635">
        <v>42689.0</v>
      </c>
      <c r="F45" s="657">
        <v>42692.0</v>
      </c>
      <c r="G45" s="687" t="s">
        <v>984</v>
      </c>
      <c r="H45" s="637" t="s">
        <v>984</v>
      </c>
      <c r="I45" s="637" t="s">
        <v>984</v>
      </c>
      <c r="J45" s="637" t="s">
        <v>984</v>
      </c>
      <c r="K45" s="637" t="s">
        <v>984</v>
      </c>
      <c r="L45" s="637" t="s">
        <v>984</v>
      </c>
      <c r="M45" s="637" t="s">
        <v>970</v>
      </c>
      <c r="N45" s="659"/>
      <c r="O45" s="659"/>
      <c r="P45" s="659"/>
      <c r="Q45" s="659"/>
      <c r="R45" s="659"/>
      <c r="S45" s="677"/>
    </row>
    <row r="46">
      <c r="A46" s="390"/>
      <c r="B46" s="427" t="s">
        <v>992</v>
      </c>
      <c r="C46" s="515" t="s">
        <v>290</v>
      </c>
      <c r="D46" s="397" t="str">
        <f>HYPERLINK("https://www.reddit.com/r/RMTK/comments/5fbk32/d0014_val_mtfdiv/","Debat Val MTFD-IV")</f>
        <v>Debat Val MTFD-IV</v>
      </c>
      <c r="E46" s="688">
        <v>42702.0</v>
      </c>
      <c r="F46" s="689">
        <v>42703.0</v>
      </c>
      <c r="G46" s="637" t="s">
        <v>970</v>
      </c>
      <c r="H46" s="637" t="s">
        <v>984</v>
      </c>
      <c r="I46" s="637" t="s">
        <v>984</v>
      </c>
      <c r="J46" s="637" t="s">
        <v>984</v>
      </c>
      <c r="K46" s="637" t="s">
        <v>984</v>
      </c>
      <c r="L46" s="637" t="s">
        <v>984</v>
      </c>
      <c r="M46" s="637" t="s">
        <v>984</v>
      </c>
      <c r="N46" s="659"/>
      <c r="O46" s="659"/>
      <c r="P46" s="659"/>
      <c r="Q46" s="659"/>
      <c r="R46" s="659"/>
      <c r="S46" s="677"/>
    </row>
    <row r="47">
      <c r="A47" s="690" t="s">
        <v>993</v>
      </c>
      <c r="B47" s="401"/>
      <c r="C47" s="678"/>
      <c r="D47" s="679"/>
      <c r="E47" s="680"/>
      <c r="F47" s="681"/>
      <c r="G47" s="631" t="s">
        <v>928</v>
      </c>
      <c r="H47" s="631" t="s">
        <v>929</v>
      </c>
      <c r="I47" s="631" t="s">
        <v>930</v>
      </c>
      <c r="J47" s="631" t="s">
        <v>981</v>
      </c>
      <c r="K47" s="631" t="s">
        <v>931</v>
      </c>
      <c r="L47" s="631" t="s">
        <v>994</v>
      </c>
      <c r="M47" s="631" t="s">
        <v>963</v>
      </c>
      <c r="N47" s="682"/>
      <c r="O47" s="682"/>
      <c r="P47" s="682"/>
      <c r="Q47" s="682"/>
      <c r="R47" s="682"/>
      <c r="S47" s="683"/>
    </row>
    <row r="48">
      <c r="B48" s="374" t="s">
        <v>995</v>
      </c>
      <c r="C48" s="515" t="s">
        <v>290</v>
      </c>
      <c r="D48" s="417" t="str">
        <f>HYPERLINK("https://www.reddit.com/r/RMTK/comments/5h1shj/d0015_debat_omtrent_het_opnemen_van_de/","Debat omtrent het opnemen van de rechtstreekse verkiezing van de burgemeester in de grondwet")</f>
        <v>Debat omtrent het opnemen van de rechtstreekse verkiezing van de burgemeester in de grondwet</v>
      </c>
      <c r="E48" s="635">
        <v>42711.0</v>
      </c>
      <c r="F48" s="657">
        <v>42714.0</v>
      </c>
      <c r="G48" s="687" t="s">
        <v>984</v>
      </c>
      <c r="H48" s="637" t="s">
        <v>984</v>
      </c>
      <c r="I48" s="637" t="s">
        <v>984</v>
      </c>
      <c r="J48" s="637" t="s">
        <v>984</v>
      </c>
      <c r="K48" s="637" t="s">
        <v>984</v>
      </c>
      <c r="L48" s="637" t="s">
        <v>984</v>
      </c>
      <c r="M48" s="637" t="s">
        <v>984</v>
      </c>
      <c r="N48" s="659"/>
      <c r="O48" s="659"/>
      <c r="P48" s="659"/>
      <c r="Q48" s="659"/>
      <c r="R48" s="659"/>
      <c r="S48" s="677" t="s">
        <v>990</v>
      </c>
    </row>
    <row r="49">
      <c r="B49" s="374" t="s">
        <v>996</v>
      </c>
      <c r="C49" s="515" t="s">
        <v>997</v>
      </c>
      <c r="D49" s="417" t="str">
        <f>HYPERLINK("https://www.reddit.com/r/RMTK/comments/5guqry/d0016_debat_benoeming_nationale_ombudsman/","Debat over de benoeming van een Nationale Ombudsman")</f>
        <v>Debat over de benoeming van een Nationale Ombudsman</v>
      </c>
      <c r="E49" s="635">
        <v>42710.0</v>
      </c>
      <c r="F49" s="657">
        <v>42713.0</v>
      </c>
      <c r="G49" s="687" t="s">
        <v>984</v>
      </c>
      <c r="H49" s="637" t="s">
        <v>984</v>
      </c>
      <c r="I49" s="637" t="s">
        <v>984</v>
      </c>
      <c r="J49" s="637" t="s">
        <v>984</v>
      </c>
      <c r="K49" s="637" t="s">
        <v>984</v>
      </c>
      <c r="L49" s="637" t="s">
        <v>984</v>
      </c>
      <c r="M49" s="637" t="s">
        <v>984</v>
      </c>
      <c r="N49" s="659"/>
      <c r="O49" s="659"/>
      <c r="P49" s="659"/>
      <c r="Q49" s="659"/>
      <c r="R49" s="659"/>
      <c r="S49" s="677"/>
    </row>
    <row r="50">
      <c r="B50" s="374" t="s">
        <v>998</v>
      </c>
      <c r="C50" s="515" t="s">
        <v>997</v>
      </c>
      <c r="D50" s="417" t="str">
        <f>HYPERLINK("https://www.reddit.com/r/RMTK/comments/5hczi3/d0017_debat_betreffende_de_eerste_kamer_der/","Debat bettreffende het afschaffen van de Eerste Kamer der Staten Generaal")</f>
        <v>Debat bettreffende het afschaffen van de Eerste Kamer der Staten Generaal</v>
      </c>
      <c r="E50" s="635">
        <v>42713.0</v>
      </c>
      <c r="F50" s="657">
        <v>42716.0</v>
      </c>
      <c r="G50" s="637" t="s">
        <v>984</v>
      </c>
      <c r="H50" s="637" t="s">
        <v>984</v>
      </c>
      <c r="I50" s="637" t="s">
        <v>984</v>
      </c>
      <c r="J50" s="637" t="s">
        <v>984</v>
      </c>
      <c r="K50" s="637" t="s">
        <v>984</v>
      </c>
      <c r="L50" s="637" t="s">
        <v>984</v>
      </c>
      <c r="M50" s="637" t="s">
        <v>984</v>
      </c>
      <c r="N50" s="659"/>
      <c r="O50" s="659"/>
      <c r="P50" s="659"/>
      <c r="Q50" s="659"/>
      <c r="R50" s="659"/>
      <c r="S50" s="677"/>
    </row>
    <row r="51">
      <c r="B51" s="374" t="s">
        <v>999</v>
      </c>
      <c r="C51" s="515" t="s">
        <v>152</v>
      </c>
      <c r="D51" s="417" t="str">
        <f>HYPERLINK("https://www.reddit.com/r/RMTK/comments/5qbk6k/d0018_debat_tot_aanschaf_nieuw_regeringstoestel/","Debat tot aanschaf nieuw regeringstoestel")</f>
        <v>Debat tot aanschaf nieuw regeringstoestel</v>
      </c>
      <c r="E51" s="635">
        <v>42761.0</v>
      </c>
      <c r="F51" s="657">
        <v>42764.0</v>
      </c>
      <c r="G51" s="637" t="s">
        <v>984</v>
      </c>
      <c r="H51" s="637" t="s">
        <v>984</v>
      </c>
      <c r="I51" s="637" t="s">
        <v>984</v>
      </c>
      <c r="J51" s="637" t="s">
        <v>984</v>
      </c>
      <c r="K51" s="637" t="s">
        <v>984</v>
      </c>
      <c r="L51" s="637" t="s">
        <v>984</v>
      </c>
      <c r="M51" s="637" t="s">
        <v>939</v>
      </c>
      <c r="N51" s="659"/>
      <c r="O51" s="659"/>
      <c r="P51" s="659"/>
      <c r="Q51" s="659"/>
      <c r="R51" s="659"/>
      <c r="S51" s="677"/>
    </row>
    <row r="52">
      <c r="B52" s="374" t="s">
        <v>1000</v>
      </c>
      <c r="C52" s="515" t="s">
        <v>290</v>
      </c>
      <c r="D52" s="417" t="str">
        <f>HYPERLINK("https://www.reddit.com/r/RMTK/comments/5re8wg/d0019_debat_omtrent_de_sancties_tegen_rusland/","Debat omtrent de sancties tegen Rusland")</f>
        <v>Debat omtrent de sancties tegen Rusland</v>
      </c>
      <c r="E52" s="635">
        <v>42773.0</v>
      </c>
      <c r="F52" s="657">
        <v>42776.0</v>
      </c>
      <c r="G52" s="637" t="s">
        <v>940</v>
      </c>
      <c r="H52" s="637" t="s">
        <v>940</v>
      </c>
      <c r="I52" s="637" t="s">
        <v>1001</v>
      </c>
      <c r="J52" s="637" t="s">
        <v>984</v>
      </c>
      <c r="K52" s="637" t="s">
        <v>984</v>
      </c>
      <c r="L52" s="637" t="s">
        <v>940</v>
      </c>
      <c r="M52" s="637" t="s">
        <v>984</v>
      </c>
      <c r="N52" s="659"/>
      <c r="O52" s="659"/>
      <c r="P52" s="659"/>
      <c r="Q52" s="659"/>
      <c r="R52" s="659"/>
      <c r="S52" s="677"/>
    </row>
    <row r="53">
      <c r="B53" s="374" t="s">
        <v>1002</v>
      </c>
      <c r="C53" s="515" t="s">
        <v>21</v>
      </c>
      <c r="D53" s="417" t="str">
        <f>HYPERLINK("https://www.reddit.com/r/RMTK/comments/5sogyc/d0020_ekdebat_over_w0076_en_w0077/","Eerste Kamerdebat over W0076 en W0077")</f>
        <v>Eerste Kamerdebat over W0076 en W0077</v>
      </c>
      <c r="E53" s="635">
        <v>42773.0</v>
      </c>
      <c r="F53" s="657">
        <v>42776.0</v>
      </c>
      <c r="G53" s="637" t="s">
        <v>970</v>
      </c>
      <c r="H53" s="637" t="s">
        <v>984</v>
      </c>
      <c r="I53" s="637" t="s">
        <v>984</v>
      </c>
      <c r="J53" s="637" t="s">
        <v>984</v>
      </c>
      <c r="K53" s="637" t="s">
        <v>984</v>
      </c>
      <c r="L53" s="637" t="s">
        <v>939</v>
      </c>
      <c r="M53" s="637" t="s">
        <v>984</v>
      </c>
      <c r="N53" s="659"/>
      <c r="O53" s="659"/>
      <c r="P53" s="659"/>
      <c r="Q53" s="659"/>
      <c r="R53" s="659"/>
      <c r="S53" s="677" t="s">
        <v>990</v>
      </c>
    </row>
    <row r="54">
      <c r="B54" s="374" t="s">
        <v>1003</v>
      </c>
      <c r="C54" s="515" t="s">
        <v>152</v>
      </c>
      <c r="D54" s="418" t="str">
        <f>HYPERLINK("https://www.reddit.com/r/RMTK/comments/5t95e4/d0021_begroting_algemene_beschouwingen/","Begroting &amp; Algemene Beschouwingen")</f>
        <v>Begroting &amp; Algemene Beschouwingen</v>
      </c>
      <c r="E54" s="635">
        <v>42776.0</v>
      </c>
      <c r="F54" s="657">
        <v>42785.0</v>
      </c>
      <c r="G54" s="637" t="s">
        <v>939</v>
      </c>
      <c r="H54" s="637" t="s">
        <v>939</v>
      </c>
      <c r="I54" s="637" t="s">
        <v>939</v>
      </c>
      <c r="J54" s="637" t="s">
        <v>939</v>
      </c>
      <c r="K54" s="637" t="s">
        <v>939</v>
      </c>
      <c r="L54" s="637" t="s">
        <v>970</v>
      </c>
      <c r="M54" s="637" t="s">
        <v>970</v>
      </c>
      <c r="N54" s="659"/>
      <c r="O54" s="659"/>
      <c r="P54" s="659"/>
      <c r="Q54" s="659"/>
      <c r="R54" s="659"/>
      <c r="S54" s="677"/>
    </row>
    <row r="55">
      <c r="B55" s="374" t="s">
        <v>1004</v>
      </c>
      <c r="C55" s="515" t="s">
        <v>290</v>
      </c>
      <c r="D55" s="417" t="str">
        <f>HYPERLINK("https://www.reddit.com/r/RMTK/comments/5u2qb6/d0022_debat_omtrent_diplomatieke_immuniteit/","Debat omtrent Diplomatieke Immuniteit")</f>
        <v>Debat omtrent Diplomatieke Immuniteit</v>
      </c>
      <c r="E55" s="635">
        <v>42780.0</v>
      </c>
      <c r="F55" s="657">
        <v>42783.0</v>
      </c>
      <c r="G55" s="637" t="s">
        <v>940</v>
      </c>
      <c r="H55" s="637" t="s">
        <v>940</v>
      </c>
      <c r="I55" s="637" t="s">
        <v>939</v>
      </c>
      <c r="J55" s="637" t="s">
        <v>940</v>
      </c>
      <c r="K55" s="637" t="s">
        <v>940</v>
      </c>
      <c r="L55" s="637" t="s">
        <v>940</v>
      </c>
      <c r="M55" s="637" t="s">
        <v>940</v>
      </c>
      <c r="N55" s="659"/>
      <c r="O55" s="659"/>
      <c r="P55" s="659"/>
      <c r="Q55" s="659"/>
      <c r="R55" s="659"/>
      <c r="S55" s="677"/>
    </row>
    <row r="56">
      <c r="B56" s="374" t="s">
        <v>1005</v>
      </c>
      <c r="C56" s="515" t="s">
        <v>21</v>
      </c>
      <c r="D56" s="417" t="str">
        <f>HYPERLINK("https://www.reddit.com/r/RMTK/comments/5vde0w/d0023_debat_omtrent_octrooien/","Debat omtrent Octrooien")</f>
        <v>Debat omtrent Octrooien</v>
      </c>
      <c r="E56" s="635">
        <v>42780.0</v>
      </c>
      <c r="F56" s="657">
        <v>42783.0</v>
      </c>
      <c r="G56" s="637" t="s">
        <v>940</v>
      </c>
      <c r="H56" s="637" t="s">
        <v>940</v>
      </c>
      <c r="I56" s="637" t="s">
        <v>940</v>
      </c>
      <c r="J56" s="637" t="s">
        <v>940</v>
      </c>
      <c r="K56" s="637" t="s">
        <v>940</v>
      </c>
      <c r="L56" s="637" t="s">
        <v>970</v>
      </c>
      <c r="M56" s="637" t="s">
        <v>940</v>
      </c>
      <c r="N56" s="659"/>
      <c r="O56" s="659"/>
      <c r="P56" s="659"/>
      <c r="Q56" s="659"/>
      <c r="R56" s="659"/>
      <c r="S56" s="677"/>
    </row>
    <row r="57">
      <c r="B57" s="374" t="s">
        <v>1006</v>
      </c>
      <c r="C57" s="515" t="s">
        <v>290</v>
      </c>
      <c r="D57" s="417" t="str">
        <f>HYPERLINK("https://www.reddit.com/r/RMTK/comments/5vde7e/d0024_debat_omtrent_telecommunicatie/","Debat omtrent Telecommunicatie")</f>
        <v>Debat omtrent Telecommunicatie</v>
      </c>
      <c r="E57" s="635">
        <v>42788.0</v>
      </c>
      <c r="F57" s="657">
        <v>42791.0</v>
      </c>
      <c r="G57" s="637" t="s">
        <v>940</v>
      </c>
      <c r="H57" s="637" t="s">
        <v>940</v>
      </c>
      <c r="I57" s="637" t="s">
        <v>940</v>
      </c>
      <c r="J57" s="637" t="s">
        <v>940</v>
      </c>
      <c r="K57" s="637" t="s">
        <v>940</v>
      </c>
      <c r="L57" s="637" t="s">
        <v>940</v>
      </c>
      <c r="M57" s="637" t="s">
        <v>940</v>
      </c>
      <c r="N57" s="659"/>
      <c r="O57" s="659"/>
      <c r="P57" s="659"/>
      <c r="Q57" s="659"/>
      <c r="R57" s="659"/>
      <c r="S57" s="677"/>
    </row>
    <row r="58">
      <c r="B58" s="374" t="s">
        <v>1007</v>
      </c>
      <c r="C58" s="515" t="s">
        <v>107</v>
      </c>
      <c r="D58" s="417" t="str">
        <f>HYPERLINK("https://www.reddit.com/r/RMTK/comments/5vwiul/d0025_eerste_kamerdebat_omtrent_w0080/","Eerste Kamerdebat omtrent W0080")</f>
        <v>Eerste Kamerdebat omtrent W0080</v>
      </c>
      <c r="E58" s="635">
        <v>42790.0</v>
      </c>
      <c r="F58" s="676">
        <f>E58+5</f>
        <v>42795</v>
      </c>
      <c r="G58" s="637" t="s">
        <v>940</v>
      </c>
      <c r="H58" s="637" t="s">
        <v>940</v>
      </c>
      <c r="I58" s="637" t="s">
        <v>940</v>
      </c>
      <c r="J58" s="637" t="s">
        <v>940</v>
      </c>
      <c r="K58" s="637" t="s">
        <v>940</v>
      </c>
      <c r="L58" s="637" t="s">
        <v>940</v>
      </c>
      <c r="M58" s="637" t="s">
        <v>940</v>
      </c>
      <c r="N58" s="659"/>
      <c r="O58" s="659"/>
      <c r="P58" s="659"/>
      <c r="Q58" s="659"/>
      <c r="R58" s="659"/>
      <c r="S58" s="677" t="s">
        <v>990</v>
      </c>
    </row>
    <row r="59">
      <c r="A59" s="670" t="s">
        <v>1008</v>
      </c>
      <c r="B59" s="401"/>
      <c r="C59" s="678"/>
      <c r="D59" s="679"/>
      <c r="E59" s="680"/>
      <c r="F59" s="681"/>
      <c r="G59" s="631" t="s">
        <v>928</v>
      </c>
      <c r="H59" s="631" t="s">
        <v>929</v>
      </c>
      <c r="I59" s="631" t="s">
        <v>930</v>
      </c>
      <c r="J59" s="631" t="s">
        <v>932</v>
      </c>
      <c r="K59" s="631" t="s">
        <v>931</v>
      </c>
      <c r="L59" s="631" t="s">
        <v>934</v>
      </c>
      <c r="M59" s="631" t="s">
        <v>1009</v>
      </c>
      <c r="N59" s="631" t="s">
        <v>1010</v>
      </c>
      <c r="O59" s="631" t="s">
        <v>1011</v>
      </c>
      <c r="P59" s="631" t="s">
        <v>935</v>
      </c>
      <c r="Q59" s="631" t="s">
        <v>937</v>
      </c>
      <c r="R59" s="631" t="s">
        <v>936</v>
      </c>
      <c r="S59" s="683"/>
    </row>
    <row r="60">
      <c r="B60" s="374" t="s">
        <v>1012</v>
      </c>
      <c r="C60" s="691" t="s">
        <v>410</v>
      </c>
      <c r="D60" s="417" t="str">
        <f>hyperlink("https://www.reddit.com/r/RMTK/comments/62v1sv/d0026_debat_over_het_hanzeschandaal/","Hanzeschandaal")</f>
        <v>Hanzeschandaal</v>
      </c>
      <c r="E60" s="635">
        <v>42826.0</v>
      </c>
      <c r="F60" s="676">
        <f t="shared" ref="F60:F64" si="5">E60+5</f>
        <v>42831</v>
      </c>
      <c r="G60" s="637" t="s">
        <v>940</v>
      </c>
      <c r="H60" s="637" t="s">
        <v>940</v>
      </c>
      <c r="I60" s="637" t="s">
        <v>940</v>
      </c>
      <c r="J60" s="637" t="s">
        <v>940</v>
      </c>
      <c r="K60" s="637" t="s">
        <v>940</v>
      </c>
      <c r="L60" s="637" t="s">
        <v>939</v>
      </c>
      <c r="M60" s="637" t="s">
        <v>940</v>
      </c>
      <c r="N60" s="637" t="s">
        <v>940</v>
      </c>
      <c r="O60" s="637" t="s">
        <v>940</v>
      </c>
      <c r="P60" s="637" t="s">
        <v>940</v>
      </c>
      <c r="Q60" s="637" t="s">
        <v>940</v>
      </c>
      <c r="R60" s="637" t="s">
        <v>940</v>
      </c>
      <c r="S60" s="677"/>
    </row>
    <row r="61">
      <c r="B61" s="374" t="s">
        <v>1013</v>
      </c>
      <c r="C61" s="515" t="s">
        <v>23</v>
      </c>
      <c r="D61" s="417" t="str">
        <f>HYPERLINK("https://www.reddit.com/r/RMTK/comments/651r30/kv0023_haatzaaien_in_palestijnse_schoolboeken/","Haatzaaien in Palestijnse schoolboeken")</f>
        <v>Haatzaaien in Palestijnse schoolboeken</v>
      </c>
      <c r="E61" s="635">
        <v>42838.0</v>
      </c>
      <c r="F61" s="676">
        <f t="shared" si="5"/>
        <v>42843</v>
      </c>
      <c r="G61" s="637" t="s">
        <v>940</v>
      </c>
      <c r="H61" s="637" t="s">
        <v>940</v>
      </c>
      <c r="I61" s="637" t="s">
        <v>939</v>
      </c>
      <c r="J61" s="637" t="s">
        <v>940</v>
      </c>
      <c r="K61" s="637" t="s">
        <v>940</v>
      </c>
      <c r="L61" s="637" t="s">
        <v>940</v>
      </c>
      <c r="M61" s="637" t="s">
        <v>940</v>
      </c>
      <c r="N61" s="637" t="s">
        <v>940</v>
      </c>
      <c r="O61" s="637" t="s">
        <v>940</v>
      </c>
      <c r="P61" s="637" t="s">
        <v>940</v>
      </c>
      <c r="Q61" s="637" t="s">
        <v>940</v>
      </c>
      <c r="R61" s="637" t="s">
        <v>940</v>
      </c>
      <c r="S61" s="677"/>
    </row>
    <row r="62">
      <c r="B62" s="374" t="s">
        <v>1014</v>
      </c>
      <c r="C62" s="515" t="s">
        <v>410</v>
      </c>
      <c r="D62" s="417" t="str">
        <f>HYPERLINK("https://www.reddit.com/r/RMTK/comments/66h3dq/kv0024_kamervragen_omtrent_hooligans_motorbendes/","Kamervragen omtrent hooligans, motorbendes en zware drugscriminaliteit")</f>
        <v>Kamervragen omtrent hooligans, motorbendes en zware drugscriminaliteit</v>
      </c>
      <c r="E62" s="635">
        <v>42845.0</v>
      </c>
      <c r="F62" s="676">
        <f t="shared" si="5"/>
        <v>42850</v>
      </c>
      <c r="G62" s="637" t="s">
        <v>940</v>
      </c>
      <c r="H62" s="637" t="s">
        <v>939</v>
      </c>
      <c r="I62" s="637" t="s">
        <v>940</v>
      </c>
      <c r="J62" s="637" t="s">
        <v>940</v>
      </c>
      <c r="K62" s="637" t="s">
        <v>940</v>
      </c>
      <c r="L62" s="637" t="s">
        <v>940</v>
      </c>
      <c r="M62" s="637" t="s">
        <v>940</v>
      </c>
      <c r="N62" s="637" t="s">
        <v>939</v>
      </c>
      <c r="O62" s="637" t="s">
        <v>939</v>
      </c>
      <c r="P62" s="637" t="s">
        <v>940</v>
      </c>
      <c r="Q62" s="637" t="s">
        <v>940</v>
      </c>
      <c r="R62" s="637" t="s">
        <v>940</v>
      </c>
      <c r="S62" s="677"/>
    </row>
    <row r="63">
      <c r="B63" s="374" t="s">
        <v>1015</v>
      </c>
      <c r="C63" s="515" t="s">
        <v>107</v>
      </c>
      <c r="D63" s="417" t="str">
        <f>HYPERLINK("https://www.reddit.com/r/RMTK/comments/67gcs1/d0027_kerndoelen_voor_het_primair_onderwijs/","Kerndoelen voor het Primair Onderwijs")</f>
        <v>Kerndoelen voor het Primair Onderwijs</v>
      </c>
      <c r="E63" s="635">
        <v>42850.0</v>
      </c>
      <c r="F63" s="676">
        <f t="shared" si="5"/>
        <v>42855</v>
      </c>
      <c r="G63" s="637" t="s">
        <v>940</v>
      </c>
      <c r="H63" s="637" t="s">
        <v>940</v>
      </c>
      <c r="I63" s="637" t="s">
        <v>940</v>
      </c>
      <c r="J63" s="637" t="s">
        <v>940</v>
      </c>
      <c r="K63" s="637" t="s">
        <v>940</v>
      </c>
      <c r="L63" s="637" t="s">
        <v>940</v>
      </c>
      <c r="M63" s="637" t="s">
        <v>940</v>
      </c>
      <c r="N63" s="637" t="s">
        <v>940</v>
      </c>
      <c r="O63" s="637" t="s">
        <v>940</v>
      </c>
      <c r="P63" s="637" t="s">
        <v>940</v>
      </c>
      <c r="Q63" s="637" t="s">
        <v>940</v>
      </c>
      <c r="R63" s="637" t="s">
        <v>940</v>
      </c>
      <c r="S63" s="677"/>
    </row>
    <row r="64">
      <c r="B64" s="374" t="s">
        <v>1016</v>
      </c>
      <c r="C64" s="515" t="s">
        <v>12</v>
      </c>
      <c r="D64" s="417" t="str">
        <f>HYPERLINK("https://www.reddit.com/r/RMTK/comments/6cnd2x/d0028_formatiedebat_met_de_informateur/","Formatiedebat met de informateur")</f>
        <v>Formatiedebat met de informateur</v>
      </c>
      <c r="E64" s="635">
        <v>42877.0</v>
      </c>
      <c r="F64" s="676">
        <f t="shared" si="5"/>
        <v>42882</v>
      </c>
      <c r="G64" s="637" t="s">
        <v>940</v>
      </c>
      <c r="H64" s="637" t="s">
        <v>940</v>
      </c>
      <c r="I64" s="637" t="s">
        <v>940</v>
      </c>
      <c r="J64" s="637" t="s">
        <v>940</v>
      </c>
      <c r="K64" s="637" t="s">
        <v>940</v>
      </c>
      <c r="L64" s="637" t="s">
        <v>940</v>
      </c>
      <c r="M64" s="637" t="s">
        <v>940</v>
      </c>
      <c r="N64" s="637" t="s">
        <v>940</v>
      </c>
      <c r="O64" s="637" t="s">
        <v>940</v>
      </c>
      <c r="P64" s="637" t="s">
        <v>940</v>
      </c>
      <c r="Q64" s="637" t="s">
        <v>940</v>
      </c>
      <c r="R64" s="637" t="s">
        <v>940</v>
      </c>
      <c r="S64" s="677" t="s">
        <v>1017</v>
      </c>
    </row>
    <row r="65">
      <c r="A65" s="670" t="s">
        <v>1018</v>
      </c>
      <c r="B65" s="401"/>
      <c r="C65" s="678"/>
      <c r="D65" s="679"/>
      <c r="E65" s="680"/>
      <c r="F65" s="681"/>
      <c r="G65" s="631" t="s">
        <v>928</v>
      </c>
      <c r="H65" s="631" t="s">
        <v>929</v>
      </c>
      <c r="I65" s="631" t="s">
        <v>930</v>
      </c>
      <c r="J65" s="631" t="s">
        <v>981</v>
      </c>
      <c r="K65" s="631" t="s">
        <v>1019</v>
      </c>
      <c r="L65" s="631" t="s">
        <v>934</v>
      </c>
      <c r="M65" s="631" t="s">
        <v>935</v>
      </c>
      <c r="N65" s="631" t="s">
        <v>937</v>
      </c>
      <c r="O65" s="631" t="s">
        <v>936</v>
      </c>
      <c r="P65" s="631"/>
      <c r="Q65" s="631"/>
      <c r="R65" s="631"/>
      <c r="S65" s="683"/>
    </row>
    <row r="66">
      <c r="B66" s="374" t="s">
        <v>1020</v>
      </c>
      <c r="C66" s="515" t="s">
        <v>101</v>
      </c>
      <c r="D66" s="692" t="s">
        <v>1021</v>
      </c>
      <c r="E66" s="693" t="s">
        <v>101</v>
      </c>
      <c r="F66" s="694" t="s">
        <v>101</v>
      </c>
      <c r="G66" s="695" t="s">
        <v>940</v>
      </c>
      <c r="H66" s="695" t="s">
        <v>940</v>
      </c>
      <c r="I66" s="695" t="s">
        <v>940</v>
      </c>
      <c r="J66" s="695" t="s">
        <v>940</v>
      </c>
      <c r="K66" s="695" t="s">
        <v>940</v>
      </c>
      <c r="L66" s="695" t="s">
        <v>940</v>
      </c>
      <c r="M66" s="695" t="s">
        <v>940</v>
      </c>
      <c r="N66" s="695" t="s">
        <v>940</v>
      </c>
      <c r="O66" s="695" t="s">
        <v>940</v>
      </c>
      <c r="P66" s="659"/>
      <c r="Q66" s="659"/>
      <c r="R66" s="659"/>
      <c r="S66" s="677" t="s">
        <v>101</v>
      </c>
    </row>
    <row r="67">
      <c r="B67" s="374" t="s">
        <v>1022</v>
      </c>
      <c r="C67" s="515" t="s">
        <v>437</v>
      </c>
      <c r="D67" s="397" t="s">
        <v>1023</v>
      </c>
      <c r="E67" s="635">
        <v>42892.0</v>
      </c>
      <c r="F67" s="676">
        <f t="shared" ref="F67:F71" si="6">E67+5</f>
        <v>42897</v>
      </c>
      <c r="G67" s="695" t="s">
        <v>940</v>
      </c>
      <c r="H67" s="695" t="s">
        <v>940</v>
      </c>
      <c r="I67" s="695" t="s">
        <v>940</v>
      </c>
      <c r="J67" s="695" t="s">
        <v>939</v>
      </c>
      <c r="K67" s="695" t="s">
        <v>940</v>
      </c>
      <c r="L67" s="695" t="s">
        <v>940</v>
      </c>
      <c r="M67" s="695" t="s">
        <v>940</v>
      </c>
      <c r="N67" s="695" t="s">
        <v>940</v>
      </c>
      <c r="O67" s="695" t="s">
        <v>940</v>
      </c>
      <c r="P67" s="659"/>
      <c r="Q67" s="659"/>
      <c r="R67" s="659"/>
      <c r="S67" s="677"/>
    </row>
    <row r="68">
      <c r="B68" s="374" t="s">
        <v>1024</v>
      </c>
      <c r="C68" s="515" t="s">
        <v>437</v>
      </c>
      <c r="D68" s="397" t="s">
        <v>1023</v>
      </c>
      <c r="E68" s="635">
        <v>42892.0</v>
      </c>
      <c r="F68" s="676">
        <f t="shared" si="6"/>
        <v>42897</v>
      </c>
      <c r="G68" s="637" t="s">
        <v>940</v>
      </c>
      <c r="H68" s="637" t="s">
        <v>939</v>
      </c>
      <c r="I68" s="637" t="s">
        <v>940</v>
      </c>
      <c r="J68" s="637" t="s">
        <v>940</v>
      </c>
      <c r="K68" s="637" t="s">
        <v>940</v>
      </c>
      <c r="L68" s="637" t="s">
        <v>940</v>
      </c>
      <c r="M68" s="637" t="s">
        <v>940</v>
      </c>
      <c r="N68" s="637" t="s">
        <v>940</v>
      </c>
      <c r="O68" s="637" t="s">
        <v>940</v>
      </c>
      <c r="P68" s="659"/>
      <c r="Q68" s="659"/>
      <c r="R68" s="659"/>
      <c r="S68" s="677"/>
    </row>
    <row r="69">
      <c r="B69" s="374" t="s">
        <v>1025</v>
      </c>
      <c r="C69" s="515" t="s">
        <v>437</v>
      </c>
      <c r="D69" s="397" t="s">
        <v>1026</v>
      </c>
      <c r="E69" s="635">
        <v>42894.0</v>
      </c>
      <c r="F69" s="676">
        <f t="shared" si="6"/>
        <v>42899</v>
      </c>
      <c r="G69" s="637" t="s">
        <v>940</v>
      </c>
      <c r="H69" s="637" t="s">
        <v>939</v>
      </c>
      <c r="I69" s="637" t="s">
        <v>940</v>
      </c>
      <c r="J69" s="637" t="s">
        <v>940</v>
      </c>
      <c r="K69" s="637" t="s">
        <v>940</v>
      </c>
      <c r="L69" s="637" t="s">
        <v>940</v>
      </c>
      <c r="M69" s="637" t="s">
        <v>940</v>
      </c>
      <c r="N69" s="637" t="s">
        <v>940</v>
      </c>
      <c r="O69" s="637" t="s">
        <v>940</v>
      </c>
      <c r="P69" s="659"/>
      <c r="Q69" s="659"/>
      <c r="R69" s="659"/>
      <c r="S69" s="677"/>
    </row>
    <row r="70">
      <c r="B70" s="374" t="s">
        <v>1027</v>
      </c>
      <c r="C70" s="515" t="s">
        <v>23</v>
      </c>
      <c r="D70" s="397" t="s">
        <v>1028</v>
      </c>
      <c r="E70" s="636">
        <v>42908.0</v>
      </c>
      <c r="F70" s="676">
        <f t="shared" si="6"/>
        <v>42913</v>
      </c>
      <c r="G70" s="637" t="s">
        <v>940</v>
      </c>
      <c r="H70" s="637" t="s">
        <v>939</v>
      </c>
      <c r="I70" s="637" t="s">
        <v>940</v>
      </c>
      <c r="J70" s="637" t="s">
        <v>940</v>
      </c>
      <c r="K70" s="637" t="s">
        <v>939</v>
      </c>
      <c r="L70" s="637" t="s">
        <v>940</v>
      </c>
      <c r="M70" s="637" t="s">
        <v>940</v>
      </c>
      <c r="N70" s="637" t="s">
        <v>940</v>
      </c>
      <c r="O70" s="637" t="s">
        <v>940</v>
      </c>
      <c r="P70" s="659"/>
      <c r="Q70" s="659"/>
      <c r="R70" s="659"/>
      <c r="S70" s="677"/>
    </row>
    <row r="71">
      <c r="B71" s="374" t="s">
        <v>1029</v>
      </c>
      <c r="C71" s="515" t="s">
        <v>21</v>
      </c>
      <c r="D71" s="397" t="s">
        <v>1030</v>
      </c>
      <c r="E71" s="636">
        <v>42913.0</v>
      </c>
      <c r="F71" s="676">
        <f t="shared" si="6"/>
        <v>42918</v>
      </c>
      <c r="G71" s="637" t="s">
        <v>939</v>
      </c>
      <c r="H71" s="637" t="s">
        <v>939</v>
      </c>
      <c r="I71" s="637" t="s">
        <v>940</v>
      </c>
      <c r="J71" s="637" t="s">
        <v>940</v>
      </c>
      <c r="K71" s="637" t="s">
        <v>940</v>
      </c>
      <c r="L71" s="637" t="s">
        <v>940</v>
      </c>
      <c r="M71" s="637" t="s">
        <v>940</v>
      </c>
      <c r="N71" s="696" t="s">
        <v>940</v>
      </c>
      <c r="O71" s="696" t="s">
        <v>940</v>
      </c>
      <c r="P71" s="659"/>
      <c r="Q71" s="659"/>
      <c r="R71" s="659"/>
      <c r="S71" s="677"/>
    </row>
    <row r="72">
      <c r="B72" s="374" t="s">
        <v>1031</v>
      </c>
      <c r="C72" s="515" t="s">
        <v>12</v>
      </c>
      <c r="D72" s="397" t="s">
        <v>1032</v>
      </c>
      <c r="E72" s="636">
        <v>42930.0</v>
      </c>
      <c r="F72" s="636">
        <v>42933.0</v>
      </c>
      <c r="G72" s="637" t="s">
        <v>939</v>
      </c>
      <c r="H72" s="637" t="s">
        <v>940</v>
      </c>
      <c r="I72" s="637" t="s">
        <v>939</v>
      </c>
      <c r="J72" s="637" t="s">
        <v>940</v>
      </c>
      <c r="K72" s="637" t="s">
        <v>940</v>
      </c>
      <c r="L72" s="637" t="s">
        <v>940</v>
      </c>
      <c r="M72" s="637" t="s">
        <v>940</v>
      </c>
      <c r="N72" s="696" t="s">
        <v>940</v>
      </c>
      <c r="O72" s="696" t="s">
        <v>940</v>
      </c>
      <c r="P72" s="659"/>
      <c r="Q72" s="659"/>
      <c r="R72" s="659"/>
      <c r="S72" s="677"/>
    </row>
    <row r="73">
      <c r="A73" s="390"/>
      <c r="B73" s="374" t="s">
        <v>1033</v>
      </c>
      <c r="C73" s="512" t="s">
        <v>410</v>
      </c>
      <c r="D73" s="397" t="s">
        <v>1034</v>
      </c>
      <c r="E73" s="697">
        <v>42934.0</v>
      </c>
      <c r="F73" s="697">
        <v>42937.0</v>
      </c>
      <c r="G73" s="637" t="s">
        <v>970</v>
      </c>
      <c r="H73" s="637" t="s">
        <v>940</v>
      </c>
      <c r="I73" s="637" t="s">
        <v>939</v>
      </c>
      <c r="J73" s="637" t="s">
        <v>939</v>
      </c>
      <c r="K73" s="637" t="s">
        <v>940</v>
      </c>
      <c r="L73" s="637" t="s">
        <v>940</v>
      </c>
      <c r="M73" s="637" t="s">
        <v>940</v>
      </c>
      <c r="N73" s="696" t="s">
        <v>940</v>
      </c>
      <c r="O73" s="696" t="s">
        <v>940</v>
      </c>
      <c r="P73" s="698"/>
      <c r="Q73" s="698"/>
      <c r="R73" s="698"/>
      <c r="S73" s="699"/>
    </row>
    <row r="74" ht="16.5" customHeight="1">
      <c r="A74" s="700" t="s">
        <v>1035</v>
      </c>
      <c r="B74" s="670"/>
      <c r="C74" s="646"/>
      <c r="D74" s="646"/>
      <c r="E74" s="646"/>
      <c r="F74" s="646"/>
      <c r="G74" s="631" t="s">
        <v>928</v>
      </c>
      <c r="H74" s="631" t="s">
        <v>1036</v>
      </c>
      <c r="I74" s="631" t="s">
        <v>1037</v>
      </c>
      <c r="J74" s="631" t="s">
        <v>981</v>
      </c>
      <c r="K74" s="631" t="s">
        <v>1038</v>
      </c>
      <c r="L74" s="631" t="s">
        <v>934</v>
      </c>
      <c r="M74" s="631" t="s">
        <v>1039</v>
      </c>
      <c r="N74" s="631" t="s">
        <v>935</v>
      </c>
      <c r="O74" s="631"/>
      <c r="P74" s="631"/>
      <c r="Q74" s="631"/>
      <c r="R74" s="631"/>
      <c r="S74" s="683"/>
    </row>
    <row r="75">
      <c r="A75" s="622"/>
      <c r="B75" s="701"/>
      <c r="C75" s="649" t="s">
        <v>943</v>
      </c>
      <c r="G75" s="637"/>
      <c r="H75" s="637"/>
      <c r="I75" s="637"/>
      <c r="J75" s="637"/>
      <c r="K75" s="637"/>
      <c r="L75" s="637"/>
      <c r="M75" s="637"/>
      <c r="N75" s="637"/>
      <c r="O75" s="659"/>
      <c r="P75" s="659"/>
      <c r="Q75" s="659"/>
      <c r="R75" s="659"/>
      <c r="S75" s="677"/>
    </row>
    <row r="76">
      <c r="A76" s="700" t="s">
        <v>1040</v>
      </c>
      <c r="B76" s="401"/>
      <c r="C76" s="646"/>
      <c r="D76" s="646"/>
      <c r="E76" s="646"/>
      <c r="F76" s="646"/>
      <c r="G76" s="631" t="s">
        <v>928</v>
      </c>
      <c r="H76" s="631" t="s">
        <v>929</v>
      </c>
      <c r="I76" s="631" t="s">
        <v>1037</v>
      </c>
      <c r="J76" s="631" t="s">
        <v>981</v>
      </c>
      <c r="K76" s="631" t="s">
        <v>1038</v>
      </c>
      <c r="L76" s="631" t="s">
        <v>934</v>
      </c>
      <c r="M76" s="631" t="s">
        <v>1041</v>
      </c>
      <c r="N76" s="631" t="s">
        <v>935</v>
      </c>
      <c r="O76" s="659"/>
      <c r="P76" s="659"/>
      <c r="Q76" s="659"/>
      <c r="R76" s="659"/>
      <c r="S76" s="677"/>
    </row>
    <row r="77">
      <c r="A77" s="622"/>
      <c r="B77" s="374" t="s">
        <v>1042</v>
      </c>
      <c r="C77" s="515" t="s">
        <v>437</v>
      </c>
      <c r="D77" s="397" t="s">
        <v>1043</v>
      </c>
      <c r="G77" s="637" t="s">
        <v>970</v>
      </c>
      <c r="H77" s="637" t="s">
        <v>970</v>
      </c>
      <c r="I77" s="637" t="s">
        <v>984</v>
      </c>
      <c r="J77" s="637" t="s">
        <v>984</v>
      </c>
      <c r="K77" s="637" t="s">
        <v>984</v>
      </c>
      <c r="L77" s="637" t="s">
        <v>984</v>
      </c>
      <c r="M77" s="637" t="s">
        <v>1044</v>
      </c>
      <c r="N77" s="637" t="s">
        <v>984</v>
      </c>
      <c r="O77" s="659"/>
      <c r="P77" s="659"/>
      <c r="Q77" s="659"/>
      <c r="R77" s="659"/>
      <c r="S77" s="677"/>
    </row>
    <row r="78">
      <c r="A78" s="622"/>
      <c r="B78" s="374" t="s">
        <v>1045</v>
      </c>
      <c r="C78" s="515" t="s">
        <v>152</v>
      </c>
      <c r="D78" s="397" t="s">
        <v>1046</v>
      </c>
      <c r="G78" s="637" t="s">
        <v>984</v>
      </c>
      <c r="H78" s="637" t="s">
        <v>984</v>
      </c>
      <c r="I78" s="637" t="s">
        <v>984</v>
      </c>
      <c r="J78" s="637" t="s">
        <v>984</v>
      </c>
      <c r="K78" s="637" t="s">
        <v>984</v>
      </c>
      <c r="L78" s="637" t="s">
        <v>984</v>
      </c>
      <c r="M78" s="637" t="s">
        <v>984</v>
      </c>
      <c r="N78" s="637" t="s">
        <v>984</v>
      </c>
      <c r="O78" s="659"/>
      <c r="P78" s="659"/>
      <c r="Q78" s="659"/>
      <c r="R78" s="659"/>
      <c r="S78" s="702"/>
    </row>
    <row r="79">
      <c r="A79" s="622"/>
      <c r="B79" s="703" t="s">
        <v>1047</v>
      </c>
      <c r="C79" s="515" t="s">
        <v>437</v>
      </c>
      <c r="D79" s="397" t="s">
        <v>1048</v>
      </c>
      <c r="G79" s="637" t="s">
        <v>970</v>
      </c>
      <c r="H79" s="637" t="s">
        <v>984</v>
      </c>
      <c r="I79" s="637" t="s">
        <v>984</v>
      </c>
      <c r="J79" s="637" t="s">
        <v>984</v>
      </c>
      <c r="K79" s="637" t="s">
        <v>984</v>
      </c>
      <c r="L79" s="637" t="s">
        <v>1044</v>
      </c>
      <c r="M79" s="637" t="s">
        <v>984</v>
      </c>
      <c r="N79" s="637" t="s">
        <v>970</v>
      </c>
      <c r="O79" s="659"/>
      <c r="P79" s="659"/>
      <c r="Q79" s="659"/>
      <c r="R79" s="659"/>
      <c r="S79" s="702" t="s">
        <v>1049</v>
      </c>
    </row>
    <row r="80">
      <c r="A80" s="704" t="s">
        <v>1050</v>
      </c>
      <c r="B80" s="704"/>
      <c r="C80" s="705"/>
      <c r="D80" s="705"/>
      <c r="E80" s="705"/>
      <c r="F80" s="705"/>
      <c r="G80" s="631" t="s">
        <v>928</v>
      </c>
      <c r="H80" s="631" t="s">
        <v>929</v>
      </c>
      <c r="I80" s="631" t="s">
        <v>1037</v>
      </c>
      <c r="J80" s="631" t="s">
        <v>932</v>
      </c>
      <c r="K80" s="631" t="s">
        <v>1038</v>
      </c>
      <c r="L80" s="631" t="s">
        <v>934</v>
      </c>
      <c r="M80" s="631" t="s">
        <v>937</v>
      </c>
      <c r="N80" s="631" t="s">
        <v>935</v>
      </c>
      <c r="O80" s="631" t="s">
        <v>936</v>
      </c>
      <c r="P80" s="631"/>
      <c r="Q80" s="631"/>
      <c r="R80" s="631"/>
      <c r="S80" s="683"/>
    </row>
    <row r="81">
      <c r="B81" s="374" t="s">
        <v>1051</v>
      </c>
      <c r="C81" s="515" t="s">
        <v>21</v>
      </c>
      <c r="D81" s="417" t="str">
        <f>HYPERLINK("https://www.reddit.com/r/RMTK/comments/7lcuz5/db0033_debat_over_het_optreden_van_het_presidium/","Debat over het optreden van het Presidium omtrent W0106 en W0108 in de Eerste Kamer")</f>
        <v>Debat over het optreden van het Presidium omtrent W0106 en W0108 in de Eerste Kamer</v>
      </c>
      <c r="G81" s="637" t="s">
        <v>984</v>
      </c>
      <c r="H81" s="637" t="s">
        <v>984</v>
      </c>
      <c r="I81" s="637" t="s">
        <v>984</v>
      </c>
      <c r="J81" s="637" t="s">
        <v>984</v>
      </c>
      <c r="K81" s="637" t="s">
        <v>984</v>
      </c>
      <c r="L81" s="637" t="s">
        <v>984</v>
      </c>
      <c r="M81" s="637" t="s">
        <v>984</v>
      </c>
      <c r="N81" s="637" t="s">
        <v>984</v>
      </c>
      <c r="O81" s="637" t="s">
        <v>984</v>
      </c>
      <c r="P81" s="659"/>
      <c r="Q81" s="659"/>
      <c r="R81" s="659"/>
      <c r="S81" s="677"/>
    </row>
    <row r="82">
      <c r="B82" s="374" t="s">
        <v>1052</v>
      </c>
      <c r="C82" s="515" t="s">
        <v>12</v>
      </c>
      <c r="D82" s="417" t="str">
        <f>HYPERLINK("https://www.reddit.com/r/RMTK/comments/7qu92y/db0034_debat_omtrent_het_omzetten_van_moties_in/","DB0034: Debat omtrent het omzetten van moties in beleid")</f>
        <v>DB0034: Debat omtrent het omzetten van moties in beleid</v>
      </c>
      <c r="G82" s="637" t="s">
        <v>970</v>
      </c>
      <c r="H82" s="637" t="s">
        <v>984</v>
      </c>
      <c r="I82" s="637" t="s">
        <v>970</v>
      </c>
      <c r="J82" s="637" t="s">
        <v>984</v>
      </c>
      <c r="K82" s="637" t="s">
        <v>970</v>
      </c>
      <c r="L82" s="637" t="s">
        <v>970</v>
      </c>
      <c r="M82" s="637" t="s">
        <v>984</v>
      </c>
      <c r="N82" s="637" t="s">
        <v>970</v>
      </c>
      <c r="O82" s="637" t="s">
        <v>984</v>
      </c>
      <c r="P82" s="659"/>
      <c r="Q82" s="659"/>
      <c r="R82" s="659"/>
      <c r="S82" s="677"/>
    </row>
    <row r="83">
      <c r="A83" s="390"/>
      <c r="B83" s="391" t="s">
        <v>1053</v>
      </c>
      <c r="C83" s="515" t="s">
        <v>12</v>
      </c>
      <c r="D83" s="417" t="str">
        <f>HYPERLINK("https://www.reddit.com/r/RMTK/comments/7qu97q/db0035_debat_betreffende_de_quintionusputsch/","DB0035: Debat betreffende de Quintionus-putsch")</f>
        <v>DB0035: Debat betreffende de Quintionus-putsch</v>
      </c>
      <c r="G83" s="637" t="s">
        <v>970</v>
      </c>
      <c r="H83" s="637" t="s">
        <v>984</v>
      </c>
      <c r="I83" s="637" t="s">
        <v>984</v>
      </c>
      <c r="J83" s="637" t="s">
        <v>984</v>
      </c>
      <c r="K83" s="637" t="s">
        <v>984</v>
      </c>
      <c r="L83" s="637" t="s">
        <v>984</v>
      </c>
      <c r="M83" s="637" t="s">
        <v>984</v>
      </c>
      <c r="N83" s="637" t="s">
        <v>984</v>
      </c>
      <c r="O83" s="637" t="s">
        <v>984</v>
      </c>
      <c r="P83" s="659"/>
      <c r="Q83" s="659"/>
      <c r="R83" s="659"/>
      <c r="S83" s="677"/>
    </row>
    <row r="84">
      <c r="A84" s="690" t="s">
        <v>1054</v>
      </c>
      <c r="B84" s="374"/>
      <c r="G84" s="631" t="s">
        <v>928</v>
      </c>
      <c r="H84" s="631" t="s">
        <v>929</v>
      </c>
      <c r="I84" s="631" t="s">
        <v>930</v>
      </c>
      <c r="J84" s="631" t="s">
        <v>945</v>
      </c>
      <c r="K84" s="631" t="s">
        <v>1038</v>
      </c>
      <c r="L84" s="631" t="s">
        <v>934</v>
      </c>
      <c r="M84" s="631" t="s">
        <v>1055</v>
      </c>
      <c r="N84" s="631" t="s">
        <v>935</v>
      </c>
      <c r="O84" s="682"/>
      <c r="P84" s="682"/>
      <c r="Q84" s="682"/>
      <c r="R84" s="682"/>
      <c r="S84" s="683"/>
    </row>
    <row r="85">
      <c r="A85" s="390"/>
      <c r="B85" s="391" t="s">
        <v>1056</v>
      </c>
      <c r="C85" s="706" t="s">
        <v>15</v>
      </c>
      <c r="D85" s="707" t="str">
        <f>HYPERLINK("https://www.reddit.com/r/RMTK/comments/7yxpnz/ks0053_kamervragen_aan_de_minister_van_im_over_de/","KS0053: Kamervragen aan de Minister van I&amp;M over de uitvoering van motie M0271")</f>
        <v>KS0053: Kamervragen aan de Minister van I&amp;M over de uitvoering van motie M0271</v>
      </c>
      <c r="E85" s="708"/>
      <c r="F85" s="709"/>
      <c r="G85" s="637" t="s">
        <v>984</v>
      </c>
      <c r="H85" s="637" t="s">
        <v>984</v>
      </c>
      <c r="I85" s="637" t="s">
        <v>984</v>
      </c>
      <c r="J85" s="637" t="s">
        <v>984</v>
      </c>
      <c r="K85" s="637" t="s">
        <v>984</v>
      </c>
      <c r="L85" s="637" t="s">
        <v>970</v>
      </c>
      <c r="M85" s="637" t="s">
        <v>984</v>
      </c>
      <c r="N85" s="637" t="s">
        <v>984</v>
      </c>
      <c r="O85" s="639"/>
      <c r="P85" s="659"/>
      <c r="Q85" s="659"/>
      <c r="R85" s="659"/>
      <c r="S85" s="677"/>
    </row>
    <row r="86">
      <c r="A86" s="690" t="s">
        <v>1057</v>
      </c>
      <c r="B86" s="374"/>
      <c r="G86" s="631" t="s">
        <v>928</v>
      </c>
      <c r="H86" s="631" t="s">
        <v>1058</v>
      </c>
      <c r="I86" s="631" t="s">
        <v>930</v>
      </c>
      <c r="J86" s="631" t="s">
        <v>981</v>
      </c>
      <c r="K86" s="631" t="s">
        <v>1059</v>
      </c>
      <c r="L86" s="631" t="s">
        <v>1060</v>
      </c>
      <c r="M86" s="631" t="s">
        <v>1055</v>
      </c>
      <c r="N86" s="631" t="s">
        <v>935</v>
      </c>
      <c r="O86" s="683"/>
      <c r="P86" s="683"/>
      <c r="Q86" s="683"/>
      <c r="R86" s="683"/>
      <c r="S86" s="683"/>
    </row>
    <row r="87">
      <c r="B87" s="374" t="s">
        <v>1061</v>
      </c>
      <c r="C87" s="710" t="s">
        <v>15</v>
      </c>
      <c r="D87" s="417" t="str">
        <f>HYPERLINK("https://www.reddit.com/r/RMTK/comments/8nung7/d0036_debat_over_de_conclusies_van_het_jit_over/","D0036: Debat over de conclusies van het JIT over het onderzoek naar de ramp met de MH-17")</f>
        <v>D0036: Debat over de conclusies van het JIT over het onderzoek naar de ramp met de MH-17</v>
      </c>
      <c r="G87" s="637" t="s">
        <v>970</v>
      </c>
      <c r="H87" s="637" t="s">
        <v>984</v>
      </c>
      <c r="I87" s="637" t="s">
        <v>970</v>
      </c>
      <c r="J87" s="637" t="s">
        <v>970</v>
      </c>
      <c r="K87" s="637" t="s">
        <v>984</v>
      </c>
      <c r="L87" s="637" t="s">
        <v>984</v>
      </c>
      <c r="M87" s="637" t="s">
        <v>984</v>
      </c>
      <c r="N87" s="637" t="s">
        <v>984</v>
      </c>
      <c r="O87" s="639"/>
      <c r="P87" s="659"/>
      <c r="Q87" s="659"/>
      <c r="R87" s="659"/>
      <c r="S87" s="677"/>
    </row>
    <row r="88">
      <c r="B88" s="374" t="s">
        <v>1062</v>
      </c>
      <c r="C88" s="515" t="s">
        <v>21</v>
      </c>
      <c r="D88" s="417" t="str">
        <f>HYPERLINK("https://www.reddit.com/r/RMTK/comments/8pb3a2/kv0046_kamervragen_over_een_mogelijk/","KV0046: Kamervragen over een mogelijk begrotingstekort van Aruba aan de minister van BZJK")</f>
        <v>KV0046: Kamervragen over een mogelijk begrotingstekort van Aruba aan de minister van BZJK</v>
      </c>
      <c r="G88" s="637" t="s">
        <v>984</v>
      </c>
      <c r="H88" s="637" t="s">
        <v>970</v>
      </c>
      <c r="I88" s="637" t="s">
        <v>984</v>
      </c>
      <c r="J88" s="637" t="s">
        <v>984</v>
      </c>
      <c r="K88" s="637" t="s">
        <v>984</v>
      </c>
      <c r="L88" s="637" t="s">
        <v>984</v>
      </c>
      <c r="M88" s="637" t="s">
        <v>984</v>
      </c>
      <c r="N88" s="637" t="s">
        <v>984</v>
      </c>
      <c r="O88" s="639"/>
      <c r="P88" s="659"/>
      <c r="Q88" s="659"/>
      <c r="R88" s="659"/>
      <c r="S88" s="677"/>
    </row>
    <row r="89">
      <c r="A89" s="670" t="s">
        <v>1063</v>
      </c>
      <c r="B89" s="401"/>
      <c r="C89" s="646"/>
      <c r="D89" s="646"/>
      <c r="E89" s="646"/>
      <c r="F89" s="646"/>
      <c r="G89" s="631" t="s">
        <v>928</v>
      </c>
      <c r="H89" s="631" t="s">
        <v>1058</v>
      </c>
      <c r="I89" s="631" t="s">
        <v>930</v>
      </c>
      <c r="J89" s="631" t="s">
        <v>981</v>
      </c>
      <c r="K89" s="631" t="s">
        <v>1059</v>
      </c>
      <c r="L89" s="631" t="s">
        <v>1060</v>
      </c>
      <c r="M89" s="631" t="s">
        <v>1055</v>
      </c>
      <c r="N89" s="631" t="s">
        <v>935</v>
      </c>
      <c r="O89" s="683"/>
      <c r="P89" s="683"/>
      <c r="Q89" s="683"/>
      <c r="R89" s="683"/>
      <c r="S89" s="683"/>
    </row>
    <row r="90">
      <c r="B90" s="374" t="s">
        <v>1064</v>
      </c>
      <c r="C90" s="515" t="s">
        <v>21</v>
      </c>
      <c r="D90" s="417" t="str">
        <f>HYPERLINK("https://www.reddit.com/r/RMTK/comments/8stipr/db0037_debat_initiatiefnota_gepast_vervoer_voor/","DB0037: Debat initiatiefnota 'Gepast vervoer voor iedereen' ")</f>
        <v>DB0037: Debat initiatiefnota 'Gepast vervoer voor iedereen' </v>
      </c>
      <c r="G90" s="637" t="s">
        <v>984</v>
      </c>
      <c r="H90" s="637" t="s">
        <v>984</v>
      </c>
      <c r="I90" s="637" t="s">
        <v>984</v>
      </c>
      <c r="J90" s="637" t="s">
        <v>984</v>
      </c>
      <c r="K90" s="637" t="s">
        <v>984</v>
      </c>
      <c r="L90" s="637" t="s">
        <v>970</v>
      </c>
      <c r="M90" s="637" t="s">
        <v>984</v>
      </c>
      <c r="N90" s="637" t="s">
        <v>984</v>
      </c>
      <c r="O90" s="639"/>
      <c r="P90" s="659"/>
      <c r="Q90" s="659"/>
      <c r="R90" s="659"/>
      <c r="S90" s="677"/>
    </row>
    <row r="91">
      <c r="B91" s="432" t="s">
        <v>1065</v>
      </c>
      <c r="C91" s="515" t="s">
        <v>12</v>
      </c>
      <c r="D91" s="411" t="str">
        <f>HYPERLINK("https://www.reddit.com/r/RMTK/comments/8uvbnj/kv0047_vragen_voor_de_minister_van_gezondheid/","KV0047: Vragen voor de Minister van Gezondheid, Werk en Inkomen over intimidatie van werkwilligen ten tijde van stakingsacties")</f>
        <v>KV0047: Vragen voor de Minister van Gezondheid, Werk en Inkomen over intimidatie van werkwilligen ten tijde van stakingsacties</v>
      </c>
      <c r="G91" s="637" t="s">
        <v>984</v>
      </c>
      <c r="H91" s="637" t="s">
        <v>984</v>
      </c>
      <c r="I91" s="637" t="s">
        <v>984</v>
      </c>
      <c r="J91" s="637" t="s">
        <v>984</v>
      </c>
      <c r="K91" s="637" t="s">
        <v>984</v>
      </c>
      <c r="L91" s="637" t="s">
        <v>984</v>
      </c>
      <c r="M91" s="637" t="s">
        <v>1066</v>
      </c>
      <c r="N91" s="637" t="s">
        <v>984</v>
      </c>
      <c r="P91" s="659"/>
      <c r="Q91" s="659"/>
      <c r="R91" s="659"/>
      <c r="S91" s="677"/>
    </row>
    <row r="92">
      <c r="B92" s="432" t="s">
        <v>1067</v>
      </c>
      <c r="C92" s="515" t="s">
        <v>12</v>
      </c>
      <c r="D92" s="411" t="str">
        <f>HYPERLINK("https://www.reddit.com/r/RMTK/comments/8vun3g/kv0048_kamervragen_voor_de_minister_van/","KV0048: Kamervragen voor de Minister van Gezondheid, Werk en Inkomen betreffende faillissement PPI")</f>
        <v>KV0048: Kamervragen voor de Minister van Gezondheid, Werk en Inkomen betreffende faillissement PPI</v>
      </c>
      <c r="G92" s="637" t="s">
        <v>984</v>
      </c>
      <c r="H92" s="637" t="s">
        <v>984</v>
      </c>
      <c r="I92" s="637" t="s">
        <v>984</v>
      </c>
      <c r="J92" s="637" t="s">
        <v>984</v>
      </c>
      <c r="K92" s="637" t="s">
        <v>984</v>
      </c>
      <c r="L92" s="637" t="s">
        <v>984</v>
      </c>
      <c r="M92" s="637" t="s">
        <v>1066</v>
      </c>
      <c r="N92" s="637" t="s">
        <v>984</v>
      </c>
      <c r="P92" s="659"/>
      <c r="Q92" s="659"/>
      <c r="R92" s="659"/>
      <c r="S92" s="677"/>
    </row>
    <row r="93">
      <c r="A93" s="670" t="s">
        <v>1068</v>
      </c>
      <c r="B93" s="401"/>
      <c r="C93" s="646"/>
      <c r="D93" s="646"/>
      <c r="E93" s="646"/>
      <c r="F93" s="646"/>
      <c r="G93" s="631" t="s">
        <v>928</v>
      </c>
      <c r="H93" s="631" t="s">
        <v>1058</v>
      </c>
      <c r="I93" s="631" t="s">
        <v>930</v>
      </c>
      <c r="J93" s="631" t="s">
        <v>981</v>
      </c>
      <c r="K93" s="631" t="s">
        <v>1059</v>
      </c>
      <c r="L93" s="631" t="s">
        <v>1060</v>
      </c>
      <c r="M93" s="631" t="s">
        <v>1055</v>
      </c>
      <c r="N93" s="631" t="s">
        <v>935</v>
      </c>
      <c r="O93" s="683"/>
      <c r="P93" s="683"/>
      <c r="Q93" s="683"/>
      <c r="R93" s="683"/>
      <c r="S93" s="683"/>
    </row>
    <row r="94">
      <c r="B94" s="671"/>
      <c r="P94" s="659"/>
      <c r="Q94" s="659"/>
      <c r="R94" s="659"/>
      <c r="S94" s="677"/>
    </row>
    <row r="95">
      <c r="A95" s="671"/>
      <c r="B95" s="671"/>
      <c r="P95" s="659"/>
      <c r="Q95" s="659"/>
      <c r="R95" s="659"/>
      <c r="S95" s="677"/>
    </row>
    <row r="96">
      <c r="A96" s="671"/>
      <c r="B96" s="671"/>
      <c r="P96" s="659"/>
      <c r="Q96" s="659"/>
      <c r="R96" s="659"/>
      <c r="S96" s="677"/>
    </row>
    <row r="97">
      <c r="A97" s="690"/>
      <c r="B97" s="374"/>
      <c r="C97" s="515"/>
      <c r="D97" s="692"/>
      <c r="G97" s="639"/>
      <c r="H97" s="639"/>
      <c r="I97" s="639"/>
      <c r="J97" s="639"/>
      <c r="K97" s="639"/>
      <c r="L97" s="639"/>
      <c r="M97" s="639"/>
      <c r="N97" s="639"/>
      <c r="O97" s="639"/>
      <c r="P97" s="659"/>
      <c r="Q97" s="659"/>
      <c r="R97" s="659"/>
      <c r="S97" s="677"/>
    </row>
    <row r="98">
      <c r="A98" s="690"/>
      <c r="B98" s="374"/>
      <c r="C98" s="515"/>
      <c r="D98" s="692"/>
      <c r="G98" s="639"/>
      <c r="H98" s="639"/>
      <c r="I98" s="639"/>
      <c r="J98" s="639"/>
      <c r="K98" s="639"/>
      <c r="L98" s="639"/>
      <c r="M98" s="639"/>
      <c r="N98" s="639"/>
      <c r="O98" s="639"/>
      <c r="P98" s="659"/>
      <c r="Q98" s="659"/>
      <c r="R98" s="659"/>
      <c r="S98" s="677"/>
    </row>
    <row r="99">
      <c r="A99" s="690"/>
      <c r="B99" s="374"/>
      <c r="C99" s="515"/>
      <c r="D99" s="692"/>
      <c r="G99" s="639"/>
      <c r="H99" s="639"/>
      <c r="I99" s="639"/>
      <c r="J99" s="639"/>
      <c r="K99" s="639"/>
      <c r="L99" s="639"/>
      <c r="M99" s="639"/>
      <c r="N99" s="639"/>
      <c r="O99" s="639"/>
      <c r="P99" s="659"/>
      <c r="Q99" s="659"/>
      <c r="R99" s="659"/>
      <c r="S99" s="677"/>
    </row>
    <row r="100">
      <c r="A100" s="690"/>
      <c r="B100" s="374"/>
      <c r="C100" s="515"/>
      <c r="D100" s="692"/>
      <c r="G100" s="639"/>
      <c r="H100" s="639"/>
      <c r="I100" s="639"/>
      <c r="J100" s="639"/>
      <c r="K100" s="639"/>
      <c r="L100" s="639"/>
      <c r="M100" s="639"/>
      <c r="N100" s="639"/>
      <c r="O100" s="639"/>
      <c r="P100" s="659"/>
      <c r="Q100" s="659"/>
      <c r="R100" s="659"/>
      <c r="S100" s="677"/>
    </row>
    <row r="101">
      <c r="A101" s="690"/>
      <c r="B101" s="374"/>
      <c r="C101" s="515"/>
      <c r="D101" s="692"/>
      <c r="G101" s="639"/>
      <c r="H101" s="639"/>
      <c r="I101" s="639"/>
      <c r="J101" s="639"/>
      <c r="K101" s="639"/>
      <c r="L101" s="639"/>
      <c r="M101" s="639"/>
      <c r="N101" s="639"/>
      <c r="O101" s="639"/>
      <c r="P101" s="659"/>
      <c r="Q101" s="659"/>
      <c r="R101" s="659"/>
      <c r="S101" s="677"/>
    </row>
    <row r="102">
      <c r="A102" s="690"/>
      <c r="B102" s="374"/>
      <c r="C102" s="515"/>
      <c r="D102" s="692"/>
      <c r="G102" s="639"/>
      <c r="H102" s="639"/>
      <c r="I102" s="639"/>
      <c r="J102" s="639"/>
      <c r="K102" s="639"/>
      <c r="L102" s="639"/>
      <c r="M102" s="639"/>
      <c r="N102" s="639"/>
      <c r="O102" s="639"/>
      <c r="P102" s="659"/>
      <c r="Q102" s="659"/>
      <c r="R102" s="659"/>
      <c r="S102" s="677"/>
    </row>
    <row r="103">
      <c r="A103" s="690"/>
      <c r="B103" s="374"/>
      <c r="C103" s="515"/>
      <c r="D103" s="692"/>
      <c r="G103" s="639"/>
      <c r="H103" s="639"/>
      <c r="I103" s="639"/>
      <c r="J103" s="639"/>
      <c r="K103" s="639"/>
      <c r="L103" s="639"/>
      <c r="M103" s="639"/>
      <c r="N103" s="639"/>
      <c r="O103" s="639"/>
      <c r="P103" s="659"/>
      <c r="Q103" s="659"/>
      <c r="R103" s="659"/>
      <c r="S103" s="677"/>
    </row>
    <row r="104">
      <c r="A104" s="690"/>
      <c r="B104" s="374"/>
      <c r="C104" s="515"/>
      <c r="D104" s="692"/>
      <c r="G104" s="639"/>
      <c r="H104" s="639"/>
      <c r="I104" s="639"/>
      <c r="J104" s="639"/>
      <c r="K104" s="639"/>
      <c r="L104" s="639"/>
      <c r="M104" s="639"/>
      <c r="N104" s="639"/>
      <c r="O104" s="639"/>
      <c r="P104" s="659"/>
      <c r="Q104" s="659"/>
      <c r="R104" s="659"/>
      <c r="S104" s="677"/>
    </row>
    <row r="105">
      <c r="A105" s="690"/>
      <c r="B105" s="374"/>
      <c r="C105" s="515"/>
      <c r="D105" s="692"/>
      <c r="G105" s="639"/>
      <c r="H105" s="639"/>
      <c r="I105" s="639"/>
      <c r="J105" s="639"/>
      <c r="K105" s="639"/>
      <c r="L105" s="639"/>
      <c r="M105" s="639"/>
      <c r="N105" s="639"/>
      <c r="O105" s="639"/>
      <c r="P105" s="659"/>
      <c r="Q105" s="659"/>
      <c r="R105" s="659"/>
      <c r="S105" s="677"/>
    </row>
    <row r="106">
      <c r="A106" s="690"/>
      <c r="B106" s="374"/>
      <c r="C106" s="515"/>
      <c r="D106" s="692"/>
      <c r="G106" s="639"/>
      <c r="H106" s="639"/>
      <c r="I106" s="639"/>
      <c r="J106" s="639"/>
      <c r="K106" s="639"/>
      <c r="L106" s="639"/>
      <c r="M106" s="639"/>
      <c r="N106" s="639"/>
      <c r="O106" s="639"/>
      <c r="P106" s="659"/>
      <c r="Q106" s="659"/>
      <c r="R106" s="659"/>
      <c r="S106" s="677"/>
    </row>
    <row r="107">
      <c r="A107" s="690"/>
      <c r="B107" s="374"/>
      <c r="C107" s="515"/>
      <c r="D107" s="692"/>
      <c r="G107" s="639"/>
      <c r="H107" s="639"/>
      <c r="I107" s="639"/>
      <c r="J107" s="639"/>
      <c r="K107" s="639"/>
      <c r="L107" s="639"/>
      <c r="M107" s="639"/>
      <c r="N107" s="639"/>
      <c r="O107" s="639"/>
      <c r="P107" s="659"/>
      <c r="Q107" s="659"/>
      <c r="R107" s="659"/>
      <c r="S107" s="677"/>
    </row>
    <row r="108">
      <c r="A108" s="690"/>
      <c r="B108" s="374"/>
      <c r="C108" s="515"/>
      <c r="D108" s="692"/>
      <c r="G108" s="639"/>
      <c r="H108" s="639"/>
      <c r="I108" s="639"/>
      <c r="J108" s="639"/>
      <c r="K108" s="639"/>
      <c r="L108" s="639"/>
      <c r="M108" s="639"/>
      <c r="N108" s="639"/>
      <c r="O108" s="639"/>
      <c r="P108" s="659"/>
      <c r="Q108" s="659"/>
      <c r="R108" s="659"/>
      <c r="S108" s="677"/>
    </row>
    <row r="109">
      <c r="A109" s="690"/>
      <c r="B109" s="374"/>
      <c r="C109" s="515"/>
      <c r="D109" s="692"/>
      <c r="G109" s="639"/>
      <c r="H109" s="639"/>
      <c r="I109" s="639"/>
      <c r="J109" s="639"/>
      <c r="K109" s="639"/>
      <c r="L109" s="639"/>
      <c r="M109" s="639"/>
      <c r="N109" s="639"/>
      <c r="O109" s="639"/>
      <c r="P109" s="659"/>
      <c r="Q109" s="659"/>
      <c r="R109" s="659"/>
      <c r="S109" s="677"/>
    </row>
    <row r="110">
      <c r="A110" s="690"/>
      <c r="B110" s="374"/>
      <c r="C110" s="515"/>
      <c r="D110" s="692"/>
      <c r="G110" s="639"/>
      <c r="H110" s="639"/>
      <c r="I110" s="639"/>
      <c r="J110" s="639"/>
      <c r="K110" s="639"/>
      <c r="L110" s="639"/>
      <c r="M110" s="639"/>
      <c r="N110" s="639"/>
      <c r="O110" s="639"/>
      <c r="P110" s="659"/>
      <c r="Q110" s="659"/>
      <c r="R110" s="659"/>
      <c r="S110" s="677"/>
    </row>
    <row r="111">
      <c r="A111" s="690"/>
      <c r="B111" s="374"/>
      <c r="C111" s="515"/>
      <c r="D111" s="692"/>
      <c r="G111" s="639"/>
      <c r="H111" s="639"/>
      <c r="I111" s="639"/>
      <c r="J111" s="639"/>
      <c r="K111" s="639"/>
      <c r="L111" s="639"/>
      <c r="M111" s="639"/>
      <c r="N111" s="639"/>
      <c r="O111" s="639"/>
      <c r="P111" s="659"/>
      <c r="Q111" s="659"/>
      <c r="R111" s="659"/>
      <c r="S111" s="677"/>
    </row>
    <row r="112">
      <c r="A112" s="690"/>
      <c r="B112" s="374"/>
      <c r="C112" s="515"/>
      <c r="D112" s="692"/>
      <c r="G112" s="639"/>
      <c r="H112" s="639"/>
      <c r="I112" s="639"/>
      <c r="J112" s="639"/>
      <c r="K112" s="639"/>
      <c r="L112" s="639"/>
      <c r="M112" s="639"/>
      <c r="N112" s="639"/>
      <c r="O112" s="639"/>
      <c r="P112" s="659"/>
      <c r="Q112" s="659"/>
      <c r="R112" s="659"/>
      <c r="S112" s="677"/>
    </row>
    <row r="113">
      <c r="A113" s="690"/>
      <c r="B113" s="374"/>
      <c r="C113" s="515"/>
      <c r="D113" s="692"/>
      <c r="G113" s="639"/>
      <c r="H113" s="639"/>
      <c r="I113" s="639"/>
      <c r="J113" s="639"/>
      <c r="K113" s="639"/>
      <c r="L113" s="639"/>
      <c r="M113" s="639"/>
      <c r="N113" s="639"/>
      <c r="O113" s="639"/>
      <c r="P113" s="659"/>
      <c r="Q113" s="659"/>
      <c r="R113" s="659"/>
      <c r="S113" s="677"/>
    </row>
    <row r="114">
      <c r="A114" s="690"/>
      <c r="B114" s="374"/>
      <c r="C114" s="515"/>
      <c r="D114" s="692"/>
      <c r="G114" s="639"/>
      <c r="H114" s="639"/>
      <c r="I114" s="639"/>
      <c r="J114" s="639"/>
      <c r="K114" s="639"/>
      <c r="L114" s="639"/>
      <c r="M114" s="639"/>
      <c r="N114" s="639"/>
      <c r="O114" s="639"/>
      <c r="P114" s="659"/>
      <c r="Q114" s="659"/>
      <c r="R114" s="659"/>
      <c r="S114" s="677"/>
    </row>
    <row r="115">
      <c r="A115" s="690"/>
      <c r="B115" s="374"/>
      <c r="C115" s="515"/>
      <c r="D115" s="692"/>
      <c r="G115" s="639"/>
      <c r="H115" s="639"/>
      <c r="I115" s="639"/>
      <c r="J115" s="639"/>
      <c r="K115" s="639"/>
      <c r="L115" s="639"/>
      <c r="M115" s="639"/>
      <c r="N115" s="639"/>
      <c r="O115" s="639"/>
      <c r="P115" s="659"/>
      <c r="Q115" s="659"/>
      <c r="R115" s="659"/>
      <c r="S115" s="677"/>
    </row>
    <row r="116">
      <c r="A116" s="690"/>
      <c r="B116" s="374"/>
      <c r="C116" s="515"/>
      <c r="D116" s="692"/>
      <c r="G116" s="639"/>
      <c r="H116" s="639"/>
      <c r="I116" s="639"/>
      <c r="J116" s="639"/>
      <c r="K116" s="639"/>
      <c r="L116" s="639"/>
      <c r="M116" s="639"/>
      <c r="N116" s="639"/>
      <c r="O116" s="639"/>
      <c r="P116" s="659"/>
      <c r="Q116" s="659"/>
      <c r="R116" s="659"/>
      <c r="S116" s="677"/>
    </row>
    <row r="117">
      <c r="A117" s="690"/>
      <c r="B117" s="374"/>
      <c r="C117" s="515"/>
      <c r="D117" s="692"/>
      <c r="E117" s="636"/>
      <c r="F117" s="672"/>
      <c r="G117" s="639"/>
      <c r="H117" s="639"/>
      <c r="I117" s="639"/>
      <c r="J117" s="639"/>
      <c r="K117" s="639"/>
      <c r="L117" s="639"/>
      <c r="M117" s="639"/>
      <c r="N117" s="639"/>
      <c r="O117" s="639"/>
      <c r="P117" s="659"/>
      <c r="Q117" s="659"/>
      <c r="R117" s="659"/>
      <c r="S117" s="677"/>
    </row>
    <row r="118">
      <c r="A118" s="690"/>
      <c r="B118" s="374"/>
      <c r="C118" s="515"/>
      <c r="D118" s="692"/>
      <c r="E118" s="636"/>
      <c r="F118" s="672"/>
      <c r="G118" s="639"/>
      <c r="H118" s="639"/>
      <c r="I118" s="639"/>
      <c r="J118" s="639"/>
      <c r="K118" s="639"/>
      <c r="L118" s="639"/>
      <c r="M118" s="639"/>
      <c r="N118" s="639"/>
      <c r="O118" s="639"/>
      <c r="P118" s="659"/>
      <c r="Q118" s="659"/>
      <c r="R118" s="659"/>
      <c r="S118" s="677"/>
    </row>
    <row r="119">
      <c r="A119" s="690"/>
      <c r="B119" s="374"/>
      <c r="C119" s="515"/>
      <c r="D119" s="692"/>
      <c r="E119" s="636"/>
      <c r="F119" s="672"/>
      <c r="G119" s="639"/>
      <c r="H119" s="639"/>
      <c r="I119" s="639"/>
      <c r="J119" s="639"/>
      <c r="K119" s="639"/>
      <c r="L119" s="639"/>
      <c r="M119" s="639"/>
      <c r="N119" s="639"/>
      <c r="O119" s="639"/>
      <c r="P119" s="659"/>
      <c r="Q119" s="659"/>
      <c r="R119" s="659"/>
      <c r="S119" s="677"/>
    </row>
    <row r="120">
      <c r="A120" s="690"/>
      <c r="B120" s="374"/>
      <c r="C120" s="515"/>
      <c r="D120" s="692"/>
      <c r="E120" s="636"/>
      <c r="F120" s="672"/>
      <c r="G120" s="639"/>
      <c r="H120" s="639"/>
      <c r="I120" s="639"/>
      <c r="J120" s="639"/>
      <c r="K120" s="639"/>
      <c r="L120" s="639"/>
      <c r="M120" s="639"/>
      <c r="N120" s="639"/>
      <c r="O120" s="639"/>
      <c r="P120" s="659"/>
      <c r="Q120" s="659"/>
      <c r="R120" s="659"/>
      <c r="S120" s="677"/>
    </row>
    <row r="121">
      <c r="A121" s="690"/>
      <c r="B121" s="374"/>
      <c r="C121" s="515"/>
      <c r="D121" s="692"/>
      <c r="E121" s="636"/>
      <c r="F121" s="672"/>
      <c r="G121" s="639"/>
      <c r="H121" s="639"/>
      <c r="I121" s="639"/>
      <c r="J121" s="639"/>
      <c r="K121" s="639"/>
      <c r="L121" s="639"/>
      <c r="M121" s="639"/>
      <c r="N121" s="639"/>
      <c r="O121" s="639"/>
      <c r="P121" s="659"/>
      <c r="Q121" s="659"/>
      <c r="R121" s="659"/>
      <c r="S121" s="677"/>
    </row>
    <row r="122">
      <c r="A122" s="690"/>
      <c r="B122" s="374"/>
      <c r="C122" s="515"/>
      <c r="D122" s="692"/>
      <c r="E122" s="636"/>
      <c r="F122" s="672"/>
      <c r="G122" s="639"/>
      <c r="H122" s="639"/>
      <c r="I122" s="639"/>
      <c r="J122" s="639"/>
      <c r="K122" s="639"/>
      <c r="L122" s="639"/>
      <c r="M122" s="639"/>
      <c r="N122" s="639"/>
      <c r="O122" s="639"/>
      <c r="P122" s="659"/>
      <c r="Q122" s="659"/>
      <c r="R122" s="659"/>
      <c r="S122" s="677"/>
    </row>
    <row r="123">
      <c r="A123" s="690"/>
      <c r="B123" s="374"/>
      <c r="C123" s="515"/>
      <c r="D123" s="692"/>
      <c r="E123" s="636"/>
      <c r="F123" s="672"/>
      <c r="G123" s="639"/>
      <c r="H123" s="639"/>
      <c r="I123" s="639"/>
      <c r="J123" s="639"/>
      <c r="K123" s="639"/>
      <c r="L123" s="639"/>
      <c r="M123" s="639"/>
      <c r="N123" s="639"/>
      <c r="O123" s="639"/>
      <c r="P123" s="659"/>
      <c r="Q123" s="659"/>
      <c r="R123" s="659"/>
      <c r="S123" s="677"/>
    </row>
    <row r="124">
      <c r="A124" s="690"/>
      <c r="B124" s="374"/>
      <c r="C124" s="515"/>
      <c r="D124" s="692"/>
      <c r="E124" s="636"/>
      <c r="F124" s="672"/>
      <c r="G124" s="639"/>
      <c r="H124" s="639"/>
      <c r="I124" s="639"/>
      <c r="J124" s="639"/>
      <c r="K124" s="639"/>
      <c r="L124" s="639"/>
      <c r="M124" s="639"/>
      <c r="N124" s="639"/>
      <c r="O124" s="639"/>
      <c r="P124" s="659"/>
      <c r="Q124" s="659"/>
      <c r="R124" s="659"/>
      <c r="S124" s="677"/>
    </row>
    <row r="125">
      <c r="A125" s="690"/>
      <c r="B125" s="374"/>
      <c r="C125" s="515"/>
      <c r="D125" s="692"/>
      <c r="E125" s="636"/>
      <c r="F125" s="672"/>
      <c r="G125" s="639"/>
      <c r="H125" s="639"/>
      <c r="I125" s="639"/>
      <c r="J125" s="639"/>
      <c r="K125" s="639"/>
      <c r="L125" s="639"/>
      <c r="M125" s="639"/>
      <c r="N125" s="639"/>
      <c r="O125" s="639"/>
      <c r="P125" s="659"/>
      <c r="Q125" s="659"/>
      <c r="R125" s="659"/>
      <c r="S125" s="677"/>
    </row>
    <row r="126">
      <c r="A126" s="690"/>
      <c r="B126" s="374"/>
      <c r="C126" s="515"/>
      <c r="D126" s="692"/>
      <c r="E126" s="636"/>
      <c r="F126" s="672"/>
      <c r="G126" s="639"/>
      <c r="H126" s="639"/>
      <c r="I126" s="639"/>
      <c r="J126" s="639"/>
      <c r="K126" s="639"/>
      <c r="L126" s="639"/>
      <c r="M126" s="639"/>
      <c r="N126" s="639"/>
      <c r="O126" s="639"/>
      <c r="P126" s="659"/>
      <c r="Q126" s="659"/>
      <c r="R126" s="659"/>
      <c r="S126" s="677"/>
    </row>
    <row r="127">
      <c r="A127" s="690"/>
      <c r="B127" s="374"/>
      <c r="C127" s="515"/>
      <c r="D127" s="692"/>
      <c r="E127" s="636"/>
      <c r="F127" s="672"/>
      <c r="G127" s="639"/>
      <c r="H127" s="639"/>
      <c r="I127" s="639"/>
      <c r="J127" s="639"/>
      <c r="K127" s="639"/>
      <c r="L127" s="639"/>
      <c r="M127" s="639"/>
      <c r="N127" s="639"/>
      <c r="O127" s="639"/>
      <c r="P127" s="659"/>
      <c r="Q127" s="659"/>
      <c r="R127" s="659"/>
      <c r="S127" s="677"/>
    </row>
    <row r="128">
      <c r="A128" s="690"/>
      <c r="B128" s="374"/>
      <c r="C128" s="515"/>
      <c r="D128" s="692"/>
      <c r="E128" s="636"/>
      <c r="F128" s="672"/>
      <c r="G128" s="639"/>
      <c r="H128" s="639"/>
      <c r="I128" s="639"/>
      <c r="J128" s="639"/>
      <c r="K128" s="639"/>
      <c r="L128" s="639"/>
      <c r="M128" s="639"/>
      <c r="N128" s="639"/>
      <c r="O128" s="639"/>
      <c r="P128" s="659"/>
      <c r="Q128" s="659"/>
      <c r="R128" s="659"/>
      <c r="S128" s="677"/>
    </row>
    <row r="129">
      <c r="A129" s="690"/>
      <c r="B129" s="374"/>
      <c r="C129" s="515"/>
      <c r="D129" s="692"/>
      <c r="E129" s="636"/>
      <c r="F129" s="672"/>
      <c r="G129" s="639"/>
      <c r="H129" s="639"/>
      <c r="I129" s="639"/>
      <c r="J129" s="639"/>
      <c r="K129" s="639"/>
      <c r="L129" s="639"/>
      <c r="M129" s="639"/>
      <c r="N129" s="639"/>
      <c r="O129" s="639"/>
      <c r="P129" s="659"/>
      <c r="Q129" s="659"/>
      <c r="R129" s="659"/>
      <c r="S129" s="677"/>
    </row>
    <row r="130">
      <c r="A130" s="690"/>
      <c r="B130" s="374"/>
      <c r="C130" s="515"/>
      <c r="D130" s="692"/>
      <c r="E130" s="636"/>
      <c r="F130" s="672"/>
      <c r="G130" s="639"/>
      <c r="H130" s="639"/>
      <c r="I130" s="639"/>
      <c r="J130" s="639"/>
      <c r="K130" s="639"/>
      <c r="L130" s="639"/>
      <c r="M130" s="639"/>
      <c r="N130" s="639"/>
      <c r="O130" s="639"/>
      <c r="P130" s="659"/>
      <c r="Q130" s="659"/>
      <c r="R130" s="659"/>
      <c r="S130" s="677"/>
    </row>
    <row r="131">
      <c r="A131" s="690"/>
      <c r="B131" s="374"/>
      <c r="C131" s="515"/>
      <c r="D131" s="692"/>
      <c r="E131" s="636"/>
      <c r="F131" s="672"/>
      <c r="G131" s="639"/>
      <c r="H131" s="639"/>
      <c r="I131" s="639"/>
      <c r="J131" s="639"/>
      <c r="K131" s="639"/>
      <c r="L131" s="639"/>
      <c r="M131" s="639"/>
      <c r="N131" s="639"/>
      <c r="O131" s="639"/>
      <c r="P131" s="659"/>
      <c r="Q131" s="659"/>
      <c r="R131" s="659"/>
      <c r="S131" s="677"/>
    </row>
    <row r="132">
      <c r="A132" s="690"/>
      <c r="B132" s="374"/>
      <c r="C132" s="515"/>
      <c r="D132" s="692"/>
      <c r="E132" s="636"/>
      <c r="F132" s="672"/>
      <c r="G132" s="639"/>
      <c r="H132" s="639"/>
      <c r="I132" s="639"/>
      <c r="J132" s="639"/>
      <c r="K132" s="639"/>
      <c r="L132" s="639"/>
      <c r="M132" s="639"/>
      <c r="N132" s="639"/>
      <c r="O132" s="639"/>
      <c r="P132" s="659"/>
      <c r="Q132" s="659"/>
      <c r="R132" s="659"/>
      <c r="S132" s="677"/>
    </row>
    <row r="133">
      <c r="A133" s="690"/>
      <c r="B133" s="374"/>
      <c r="C133" s="515"/>
      <c r="D133" s="692"/>
      <c r="E133" s="636"/>
      <c r="F133" s="672"/>
      <c r="G133" s="639"/>
      <c r="H133" s="639"/>
      <c r="I133" s="639"/>
      <c r="J133" s="639"/>
      <c r="K133" s="639"/>
      <c r="L133" s="639"/>
      <c r="M133" s="639"/>
      <c r="N133" s="639"/>
      <c r="O133" s="639"/>
      <c r="P133" s="659"/>
      <c r="Q133" s="659"/>
      <c r="R133" s="659"/>
      <c r="S133" s="677"/>
    </row>
    <row r="134">
      <c r="A134" s="690"/>
      <c r="B134" s="374"/>
      <c r="C134" s="515"/>
      <c r="D134" s="692"/>
      <c r="E134" s="636"/>
      <c r="F134" s="672"/>
      <c r="G134" s="639"/>
      <c r="H134" s="639"/>
      <c r="I134" s="639"/>
      <c r="J134" s="639"/>
      <c r="K134" s="639"/>
      <c r="L134" s="639"/>
      <c r="M134" s="639"/>
      <c r="N134" s="639"/>
      <c r="O134" s="639"/>
      <c r="P134" s="659"/>
      <c r="Q134" s="659"/>
      <c r="R134" s="659"/>
      <c r="S134" s="677"/>
    </row>
    <row r="135">
      <c r="A135" s="690"/>
      <c r="B135" s="374"/>
      <c r="C135" s="515"/>
      <c r="D135" s="692"/>
      <c r="E135" s="636"/>
      <c r="F135" s="672"/>
      <c r="G135" s="639"/>
      <c r="H135" s="639"/>
      <c r="I135" s="639"/>
      <c r="J135" s="639"/>
      <c r="K135" s="639"/>
      <c r="L135" s="639"/>
      <c r="M135" s="639"/>
      <c r="N135" s="639"/>
      <c r="O135" s="639"/>
      <c r="P135" s="659"/>
      <c r="Q135" s="659"/>
      <c r="R135" s="659"/>
      <c r="S135" s="677"/>
    </row>
    <row r="136">
      <c r="A136" s="690"/>
      <c r="B136" s="374"/>
      <c r="C136" s="515"/>
      <c r="D136" s="692"/>
      <c r="E136" s="636"/>
      <c r="F136" s="672"/>
      <c r="G136" s="639"/>
      <c r="H136" s="639"/>
      <c r="I136" s="639"/>
      <c r="J136" s="639"/>
      <c r="K136" s="639"/>
      <c r="L136" s="639"/>
      <c r="M136" s="639"/>
      <c r="N136" s="639"/>
      <c r="O136" s="639"/>
      <c r="P136" s="659"/>
      <c r="Q136" s="659"/>
      <c r="R136" s="659"/>
      <c r="S136" s="677"/>
    </row>
    <row r="137">
      <c r="A137" s="690"/>
      <c r="B137" s="374"/>
      <c r="C137" s="515"/>
      <c r="D137" s="692"/>
      <c r="E137" s="636"/>
      <c r="F137" s="672"/>
      <c r="G137" s="639"/>
      <c r="H137" s="639"/>
      <c r="I137" s="639"/>
      <c r="J137" s="639"/>
      <c r="K137" s="639"/>
      <c r="L137" s="639"/>
      <c r="M137" s="639"/>
      <c r="N137" s="639"/>
      <c r="O137" s="639"/>
      <c r="P137" s="659"/>
      <c r="Q137" s="659"/>
      <c r="R137" s="659"/>
      <c r="S137" s="677"/>
    </row>
    <row r="138">
      <c r="A138" s="690"/>
      <c r="B138" s="374"/>
      <c r="C138" s="515"/>
      <c r="D138" s="692"/>
      <c r="E138" s="636"/>
      <c r="F138" s="672"/>
      <c r="G138" s="639"/>
      <c r="H138" s="639"/>
      <c r="I138" s="639"/>
      <c r="J138" s="639"/>
      <c r="K138" s="639"/>
      <c r="L138" s="639"/>
      <c r="M138" s="639"/>
      <c r="N138" s="639"/>
      <c r="O138" s="639"/>
      <c r="P138" s="659"/>
      <c r="Q138" s="659"/>
      <c r="R138" s="659"/>
      <c r="S138" s="677"/>
    </row>
    <row r="139">
      <c r="A139" s="690"/>
      <c r="B139" s="374"/>
      <c r="C139" s="515"/>
      <c r="D139" s="692"/>
      <c r="E139" s="636"/>
      <c r="F139" s="672"/>
      <c r="G139" s="639"/>
      <c r="H139" s="639"/>
      <c r="I139" s="639"/>
      <c r="J139" s="639"/>
      <c r="K139" s="639"/>
      <c r="L139" s="639"/>
      <c r="M139" s="639"/>
      <c r="N139" s="639"/>
      <c r="O139" s="639"/>
      <c r="P139" s="659"/>
      <c r="Q139" s="659"/>
      <c r="R139" s="659"/>
      <c r="S139" s="677"/>
    </row>
    <row r="140">
      <c r="A140" s="690"/>
      <c r="B140" s="374"/>
      <c r="C140" s="515"/>
      <c r="D140" s="692"/>
      <c r="E140" s="636"/>
      <c r="F140" s="672"/>
      <c r="G140" s="639"/>
      <c r="H140" s="639"/>
      <c r="I140" s="639"/>
      <c r="J140" s="639"/>
      <c r="K140" s="639"/>
      <c r="L140" s="639"/>
      <c r="M140" s="639"/>
      <c r="N140" s="639"/>
      <c r="O140" s="639"/>
      <c r="P140" s="659"/>
      <c r="Q140" s="659"/>
      <c r="R140" s="659"/>
      <c r="S140" s="677"/>
    </row>
    <row r="141">
      <c r="A141" s="690"/>
      <c r="B141" s="374"/>
      <c r="C141" s="515"/>
      <c r="D141" s="692"/>
      <c r="E141" s="636"/>
      <c r="F141" s="672"/>
      <c r="G141" s="639"/>
      <c r="H141" s="639"/>
      <c r="I141" s="639"/>
      <c r="J141" s="639"/>
      <c r="K141" s="639"/>
      <c r="L141" s="639"/>
      <c r="M141" s="639"/>
      <c r="N141" s="639"/>
      <c r="O141" s="639"/>
      <c r="P141" s="659"/>
      <c r="Q141" s="659"/>
      <c r="R141" s="659"/>
      <c r="S141" s="677"/>
    </row>
    <row r="142">
      <c r="A142" s="690"/>
      <c r="B142" s="374"/>
      <c r="C142" s="515"/>
      <c r="D142" s="692"/>
      <c r="E142" s="636"/>
      <c r="F142" s="672"/>
      <c r="G142" s="639"/>
      <c r="H142" s="639"/>
      <c r="I142" s="639"/>
      <c r="J142" s="639"/>
      <c r="K142" s="639"/>
      <c r="L142" s="639"/>
      <c r="M142" s="639"/>
      <c r="N142" s="639"/>
      <c r="O142" s="639"/>
      <c r="P142" s="659"/>
      <c r="Q142" s="659"/>
      <c r="R142" s="659"/>
      <c r="S142" s="677"/>
    </row>
    <row r="143">
      <c r="A143" s="690"/>
      <c r="B143" s="374"/>
      <c r="C143" s="515"/>
      <c r="D143" s="692"/>
      <c r="E143" s="636"/>
      <c r="F143" s="672"/>
      <c r="G143" s="639"/>
      <c r="H143" s="639"/>
      <c r="I143" s="639"/>
      <c r="J143" s="639"/>
      <c r="K143" s="639"/>
      <c r="L143" s="639"/>
      <c r="M143" s="639"/>
      <c r="N143" s="639"/>
      <c r="O143" s="639"/>
      <c r="P143" s="659"/>
      <c r="Q143" s="659"/>
      <c r="R143" s="659"/>
      <c r="S143" s="677"/>
    </row>
    <row r="144">
      <c r="A144" s="690"/>
      <c r="B144" s="374"/>
      <c r="C144" s="515"/>
      <c r="D144" s="692"/>
      <c r="E144" s="636"/>
      <c r="F144" s="672"/>
      <c r="G144" s="639"/>
      <c r="H144" s="639"/>
      <c r="I144" s="639"/>
      <c r="J144" s="639"/>
      <c r="K144" s="639"/>
      <c r="L144" s="639"/>
      <c r="M144" s="639"/>
      <c r="N144" s="639"/>
      <c r="O144" s="639"/>
      <c r="P144" s="659"/>
      <c r="Q144" s="659"/>
      <c r="R144" s="659"/>
      <c r="S144" s="677"/>
    </row>
    <row r="145">
      <c r="A145" s="690"/>
      <c r="B145" s="374"/>
      <c r="C145" s="515"/>
      <c r="D145" s="692"/>
      <c r="E145" s="636"/>
      <c r="F145" s="672"/>
      <c r="G145" s="639"/>
      <c r="H145" s="639"/>
      <c r="I145" s="639"/>
      <c r="J145" s="639"/>
      <c r="K145" s="639"/>
      <c r="L145" s="639"/>
      <c r="M145" s="639"/>
      <c r="N145" s="639"/>
      <c r="O145" s="639"/>
      <c r="P145" s="659"/>
      <c r="Q145" s="659"/>
      <c r="R145" s="659"/>
      <c r="S145" s="677"/>
    </row>
    <row r="146">
      <c r="A146" s="690"/>
      <c r="B146" s="374"/>
      <c r="C146" s="515"/>
      <c r="D146" s="692"/>
      <c r="E146" s="636"/>
      <c r="F146" s="672"/>
      <c r="G146" s="639"/>
      <c r="H146" s="639"/>
      <c r="I146" s="639"/>
      <c r="J146" s="639"/>
      <c r="K146" s="639"/>
      <c r="L146" s="639"/>
      <c r="M146" s="639"/>
      <c r="N146" s="639"/>
      <c r="O146" s="639"/>
      <c r="P146" s="659"/>
      <c r="Q146" s="659"/>
      <c r="R146" s="659"/>
      <c r="S146" s="677"/>
    </row>
    <row r="147">
      <c r="A147" s="690"/>
      <c r="B147" s="374"/>
      <c r="C147" s="515"/>
      <c r="D147" s="692"/>
      <c r="E147" s="636"/>
      <c r="F147" s="672"/>
      <c r="G147" s="639"/>
      <c r="H147" s="639"/>
      <c r="I147" s="639"/>
      <c r="J147" s="639"/>
      <c r="K147" s="639"/>
      <c r="L147" s="639"/>
      <c r="M147" s="639"/>
      <c r="N147" s="639"/>
      <c r="O147" s="639"/>
      <c r="P147" s="659"/>
      <c r="Q147" s="659"/>
      <c r="R147" s="659"/>
      <c r="S147" s="677"/>
    </row>
    <row r="148">
      <c r="A148" s="690"/>
      <c r="B148" s="374"/>
      <c r="C148" s="515"/>
      <c r="D148" s="692"/>
      <c r="E148" s="636"/>
      <c r="F148" s="672"/>
      <c r="G148" s="639"/>
      <c r="H148" s="639"/>
      <c r="I148" s="639"/>
      <c r="J148" s="639"/>
      <c r="K148" s="639"/>
      <c r="L148" s="639"/>
      <c r="M148" s="639"/>
      <c r="N148" s="639"/>
      <c r="O148" s="639"/>
      <c r="P148" s="659"/>
      <c r="Q148" s="659"/>
      <c r="R148" s="659"/>
      <c r="S148" s="677"/>
    </row>
    <row r="149">
      <c r="A149" s="690"/>
      <c r="B149" s="374"/>
      <c r="C149" s="515"/>
      <c r="D149" s="692"/>
      <c r="E149" s="636"/>
      <c r="F149" s="672"/>
      <c r="G149" s="639"/>
      <c r="H149" s="639"/>
      <c r="I149" s="639"/>
      <c r="J149" s="639"/>
      <c r="K149" s="639"/>
      <c r="L149" s="639"/>
      <c r="M149" s="639"/>
      <c r="N149" s="639"/>
      <c r="O149" s="639"/>
      <c r="P149" s="659"/>
      <c r="Q149" s="659"/>
      <c r="R149" s="659"/>
      <c r="S149" s="677"/>
    </row>
    <row r="150">
      <c r="A150" s="690"/>
      <c r="B150" s="374"/>
      <c r="C150" s="515"/>
      <c r="D150" s="692"/>
      <c r="E150" s="636"/>
      <c r="F150" s="672"/>
      <c r="G150" s="639"/>
      <c r="H150" s="639"/>
      <c r="I150" s="639"/>
      <c r="J150" s="639"/>
      <c r="K150" s="639"/>
      <c r="L150" s="639"/>
      <c r="M150" s="639"/>
      <c r="N150" s="639"/>
      <c r="O150" s="639"/>
      <c r="P150" s="659"/>
      <c r="Q150" s="659"/>
      <c r="R150" s="659"/>
      <c r="S150" s="677"/>
    </row>
    <row r="151">
      <c r="A151" s="690"/>
      <c r="B151" s="374"/>
      <c r="C151" s="515"/>
      <c r="D151" s="692"/>
      <c r="E151" s="636"/>
      <c r="F151" s="672"/>
      <c r="G151" s="639"/>
      <c r="H151" s="639"/>
      <c r="I151" s="639"/>
      <c r="J151" s="639"/>
      <c r="K151" s="639"/>
      <c r="L151" s="639"/>
      <c r="M151" s="639"/>
      <c r="N151" s="639"/>
      <c r="O151" s="639"/>
      <c r="P151" s="659"/>
      <c r="Q151" s="659"/>
      <c r="R151" s="659"/>
      <c r="S151" s="677"/>
    </row>
    <row r="152">
      <c r="A152" s="690"/>
      <c r="B152" s="374"/>
      <c r="C152" s="515"/>
      <c r="D152" s="692"/>
      <c r="E152" s="636"/>
      <c r="F152" s="672"/>
      <c r="G152" s="639"/>
      <c r="H152" s="639"/>
      <c r="I152" s="639"/>
      <c r="J152" s="639"/>
      <c r="K152" s="639"/>
      <c r="L152" s="639"/>
      <c r="M152" s="639"/>
      <c r="N152" s="639"/>
      <c r="O152" s="639"/>
      <c r="P152" s="659"/>
      <c r="Q152" s="659"/>
      <c r="R152" s="659"/>
      <c r="S152" s="677"/>
    </row>
    <row r="153">
      <c r="A153" s="690"/>
      <c r="B153" s="374"/>
      <c r="C153" s="515"/>
      <c r="D153" s="692"/>
      <c r="E153" s="636"/>
      <c r="F153" s="672"/>
      <c r="G153" s="639"/>
      <c r="H153" s="639"/>
      <c r="I153" s="639"/>
      <c r="J153" s="639"/>
      <c r="K153" s="639"/>
      <c r="L153" s="639"/>
      <c r="M153" s="639"/>
      <c r="N153" s="639"/>
      <c r="O153" s="639"/>
      <c r="P153" s="659"/>
      <c r="Q153" s="659"/>
      <c r="R153" s="659"/>
      <c r="S153" s="677"/>
    </row>
    <row r="154">
      <c r="A154" s="690"/>
      <c r="B154" s="374"/>
      <c r="C154" s="515"/>
      <c r="D154" s="692"/>
      <c r="E154" s="636"/>
      <c r="F154" s="672"/>
      <c r="G154" s="639"/>
      <c r="H154" s="639"/>
      <c r="I154" s="639"/>
      <c r="J154" s="639"/>
      <c r="K154" s="639"/>
      <c r="L154" s="639"/>
      <c r="M154" s="639"/>
      <c r="N154" s="639"/>
      <c r="O154" s="639"/>
      <c r="P154" s="659"/>
      <c r="Q154" s="659"/>
      <c r="R154" s="659"/>
      <c r="S154" s="677"/>
    </row>
    <row r="155">
      <c r="A155" s="690"/>
      <c r="B155" s="374"/>
      <c r="C155" s="515"/>
      <c r="D155" s="692"/>
      <c r="E155" s="636"/>
      <c r="F155" s="672"/>
      <c r="G155" s="639"/>
      <c r="H155" s="639"/>
      <c r="I155" s="639"/>
      <c r="J155" s="639"/>
      <c r="K155" s="639"/>
      <c r="L155" s="639"/>
      <c r="M155" s="639"/>
      <c r="N155" s="639"/>
      <c r="O155" s="639"/>
      <c r="P155" s="659"/>
      <c r="Q155" s="659"/>
      <c r="R155" s="659"/>
      <c r="S155" s="677"/>
    </row>
    <row r="156">
      <c r="A156" s="690"/>
      <c r="B156" s="374"/>
      <c r="C156" s="515"/>
      <c r="D156" s="692"/>
      <c r="E156" s="636"/>
      <c r="F156" s="672"/>
      <c r="G156" s="639"/>
      <c r="H156" s="639"/>
      <c r="I156" s="639"/>
      <c r="J156" s="639"/>
      <c r="K156" s="639"/>
      <c r="L156" s="639"/>
      <c r="M156" s="639"/>
      <c r="N156" s="639"/>
      <c r="O156" s="639"/>
      <c r="P156" s="659"/>
      <c r="Q156" s="659"/>
      <c r="R156" s="659"/>
      <c r="S156" s="677"/>
    </row>
    <row r="157">
      <c r="A157" s="690"/>
      <c r="B157" s="374"/>
      <c r="C157" s="515"/>
      <c r="D157" s="692"/>
      <c r="E157" s="636"/>
      <c r="F157" s="672"/>
      <c r="G157" s="639"/>
      <c r="H157" s="639"/>
      <c r="I157" s="639"/>
      <c r="J157" s="639"/>
      <c r="K157" s="639"/>
      <c r="L157" s="639"/>
      <c r="M157" s="639"/>
      <c r="N157" s="639"/>
      <c r="O157" s="639"/>
      <c r="P157" s="659"/>
      <c r="Q157" s="659"/>
      <c r="R157" s="659"/>
      <c r="S157" s="677"/>
    </row>
    <row r="158">
      <c r="A158" s="690"/>
      <c r="B158" s="374"/>
      <c r="C158" s="515"/>
      <c r="D158" s="692"/>
      <c r="E158" s="636"/>
      <c r="F158" s="672"/>
      <c r="G158" s="639"/>
      <c r="H158" s="639"/>
      <c r="I158" s="639"/>
      <c r="J158" s="639"/>
      <c r="K158" s="639"/>
      <c r="L158" s="639"/>
      <c r="M158" s="639"/>
      <c r="N158" s="639"/>
      <c r="O158" s="639"/>
      <c r="P158" s="659"/>
      <c r="Q158" s="659"/>
      <c r="R158" s="659"/>
      <c r="S158" s="677"/>
    </row>
    <row r="159">
      <c r="A159" s="690"/>
      <c r="B159" s="374"/>
      <c r="C159" s="515"/>
      <c r="D159" s="692"/>
      <c r="E159" s="636"/>
      <c r="F159" s="672"/>
      <c r="G159" s="639"/>
      <c r="H159" s="639"/>
      <c r="I159" s="639"/>
      <c r="J159" s="639"/>
      <c r="K159" s="639"/>
      <c r="L159" s="639"/>
      <c r="M159" s="639"/>
      <c r="N159" s="639"/>
      <c r="O159" s="639"/>
      <c r="P159" s="659"/>
      <c r="Q159" s="659"/>
      <c r="R159" s="659"/>
      <c r="S159" s="677"/>
    </row>
    <row r="160">
      <c r="A160" s="690"/>
      <c r="B160" s="374"/>
      <c r="C160" s="515"/>
      <c r="D160" s="692"/>
      <c r="E160" s="636"/>
      <c r="F160" s="672"/>
      <c r="G160" s="639"/>
      <c r="H160" s="639"/>
      <c r="I160" s="639"/>
      <c r="J160" s="639"/>
      <c r="K160" s="639"/>
      <c r="L160" s="639"/>
      <c r="M160" s="639"/>
      <c r="N160" s="639"/>
      <c r="O160" s="639"/>
      <c r="P160" s="659"/>
      <c r="Q160" s="659"/>
      <c r="R160" s="659"/>
      <c r="S160" s="677"/>
    </row>
    <row r="161">
      <c r="A161" s="690"/>
      <c r="B161" s="374"/>
      <c r="C161" s="515"/>
      <c r="D161" s="692"/>
      <c r="E161" s="636"/>
      <c r="F161" s="672"/>
      <c r="G161" s="639"/>
      <c r="H161" s="639"/>
      <c r="I161" s="639"/>
      <c r="J161" s="639"/>
      <c r="K161" s="639"/>
      <c r="L161" s="639"/>
      <c r="M161" s="639"/>
      <c r="N161" s="639"/>
      <c r="O161" s="639"/>
      <c r="P161" s="659"/>
      <c r="Q161" s="659"/>
      <c r="R161" s="659"/>
      <c r="S161" s="677"/>
    </row>
    <row r="162">
      <c r="A162" s="690"/>
      <c r="B162" s="374"/>
      <c r="C162" s="515"/>
      <c r="D162" s="692"/>
      <c r="E162" s="636"/>
      <c r="F162" s="672"/>
      <c r="G162" s="639"/>
      <c r="H162" s="639"/>
      <c r="I162" s="639"/>
      <c r="J162" s="639"/>
      <c r="K162" s="639"/>
      <c r="L162" s="639"/>
      <c r="M162" s="639"/>
      <c r="N162" s="639"/>
      <c r="O162" s="639"/>
      <c r="P162" s="659"/>
      <c r="Q162" s="659"/>
      <c r="R162" s="659"/>
      <c r="S162" s="677"/>
    </row>
    <row r="163">
      <c r="A163" s="690"/>
      <c r="B163" s="374"/>
      <c r="C163" s="515"/>
      <c r="D163" s="692"/>
      <c r="E163" s="636"/>
      <c r="F163" s="672"/>
      <c r="G163" s="639"/>
      <c r="H163" s="639"/>
      <c r="I163" s="639"/>
      <c r="J163" s="639"/>
      <c r="K163" s="639"/>
      <c r="L163" s="639"/>
      <c r="M163" s="639"/>
      <c r="N163" s="639"/>
      <c r="O163" s="639"/>
      <c r="P163" s="659"/>
      <c r="Q163" s="659"/>
      <c r="R163" s="659"/>
      <c r="S163" s="677"/>
    </row>
  </sheetData>
  <mergeCells count="87">
    <mergeCell ref="D88:F88"/>
    <mergeCell ref="B89:F89"/>
    <mergeCell ref="A89:A92"/>
    <mergeCell ref="A86:A88"/>
    <mergeCell ref="D90:F90"/>
    <mergeCell ref="D87:F87"/>
    <mergeCell ref="D92:F92"/>
    <mergeCell ref="B93:F93"/>
    <mergeCell ref="B86:F86"/>
    <mergeCell ref="D91:F91"/>
    <mergeCell ref="G1:P2"/>
    <mergeCell ref="C3:D3"/>
    <mergeCell ref="O8:P8"/>
    <mergeCell ref="O9:P19"/>
    <mergeCell ref="A84:A85"/>
    <mergeCell ref="A80:A83"/>
    <mergeCell ref="O7:P7"/>
    <mergeCell ref="O6:P6"/>
    <mergeCell ref="S1:S2"/>
    <mergeCell ref="N22:P22"/>
    <mergeCell ref="N31:P31"/>
    <mergeCell ref="O21:P21"/>
    <mergeCell ref="E20:F20"/>
    <mergeCell ref="D81:F81"/>
    <mergeCell ref="D82:F82"/>
    <mergeCell ref="B84:F84"/>
    <mergeCell ref="B80:F80"/>
    <mergeCell ref="B74:F74"/>
    <mergeCell ref="C75:F75"/>
    <mergeCell ref="D78:F78"/>
    <mergeCell ref="B76:F76"/>
    <mergeCell ref="D77:F77"/>
    <mergeCell ref="C7:F7"/>
    <mergeCell ref="A6:B7"/>
    <mergeCell ref="C6:D6"/>
    <mergeCell ref="B1:B2"/>
    <mergeCell ref="D1:D2"/>
    <mergeCell ref="C1:C2"/>
    <mergeCell ref="D95:F95"/>
    <mergeCell ref="D94:F94"/>
    <mergeCell ref="D110:F110"/>
    <mergeCell ref="D112:F112"/>
    <mergeCell ref="D111:F111"/>
    <mergeCell ref="D114:F114"/>
    <mergeCell ref="D113:F113"/>
    <mergeCell ref="D115:F115"/>
    <mergeCell ref="D116:F116"/>
    <mergeCell ref="D109:F109"/>
    <mergeCell ref="D101:F101"/>
    <mergeCell ref="D102:F102"/>
    <mergeCell ref="D105:F105"/>
    <mergeCell ref="D106:F106"/>
    <mergeCell ref="D107:F107"/>
    <mergeCell ref="D108:F108"/>
    <mergeCell ref="D97:F97"/>
    <mergeCell ref="D98:F98"/>
    <mergeCell ref="D96:F96"/>
    <mergeCell ref="D104:F104"/>
    <mergeCell ref="D103:F103"/>
    <mergeCell ref="D99:F99"/>
    <mergeCell ref="D100:F100"/>
    <mergeCell ref="C20:D20"/>
    <mergeCell ref="A20:B21"/>
    <mergeCell ref="C21:F21"/>
    <mergeCell ref="C22:D22"/>
    <mergeCell ref="E22:F22"/>
    <mergeCell ref="E31:F31"/>
    <mergeCell ref="C31:D31"/>
    <mergeCell ref="A1:A2"/>
    <mergeCell ref="A3:A5"/>
    <mergeCell ref="E1:F1"/>
    <mergeCell ref="E3:F3"/>
    <mergeCell ref="C8:D8"/>
    <mergeCell ref="E6:F6"/>
    <mergeCell ref="E8:F8"/>
    <mergeCell ref="D79:F79"/>
    <mergeCell ref="D83:F83"/>
    <mergeCell ref="A59:A64"/>
    <mergeCell ref="A47:A58"/>
    <mergeCell ref="A93:A94"/>
    <mergeCell ref="A65:A73"/>
    <mergeCell ref="A74:A75"/>
    <mergeCell ref="A22:A30"/>
    <mergeCell ref="A8:A19"/>
    <mergeCell ref="A31:A37"/>
    <mergeCell ref="A76:A79"/>
    <mergeCell ref="A38:A46"/>
  </mergeCells>
  <conditionalFormatting sqref="C4">
    <cfRule type="containsText" dxfId="16" priority="1" operator="containsText" text="FVD">
      <formula>NOT(ISERROR(SEARCH(("FVD"),(C4))))</formula>
    </cfRule>
  </conditionalFormatting>
  <conditionalFormatting sqref="I46">
    <cfRule type="cellIs" dxfId="2" priority="2" operator="equal">
      <formula>"Aangenomen"</formula>
    </cfRule>
  </conditionalFormatting>
  <conditionalFormatting sqref="I46">
    <cfRule type="cellIs" dxfId="3" priority="3" operator="equal">
      <formula>"Verworpen"</formula>
    </cfRule>
  </conditionalFormatting>
  <conditionalFormatting sqref="I46">
    <cfRule type="containsText" dxfId="0" priority="4" operator="containsText" text="In stemming">
      <formula>NOT(ISERROR(SEARCH(("In stemming"),(I46))))</formula>
    </cfRule>
  </conditionalFormatting>
  <conditionalFormatting sqref="I46">
    <cfRule type="containsText" dxfId="0" priority="5" operator="containsText" text="stembus">
      <formula>NOT(ISERROR(SEARCH(("stembus"),(I46))))</formula>
    </cfRule>
  </conditionalFormatting>
  <conditionalFormatting sqref="I46">
    <cfRule type="cellIs" dxfId="11" priority="6" operator="equal">
      <formula>"ingetrokken"</formula>
    </cfRule>
  </conditionalFormatting>
  <conditionalFormatting sqref="I46">
    <cfRule type="containsText" dxfId="36" priority="7" operator="containsText" text="In afwachting">
      <formula>NOT(ISERROR(SEARCH(("In afwachting"),(I46))))</formula>
    </cfRule>
  </conditionalFormatting>
  <conditionalFormatting sqref="I46">
    <cfRule type="cellIs" dxfId="38" priority="8" operator="equal">
      <formula>"Ingediend"</formula>
    </cfRule>
  </conditionalFormatting>
  <conditionalFormatting sqref="I46">
    <cfRule type="containsText" dxfId="36" priority="9" operator="containsText" text="i.a.v. EK">
      <formula>NOT(ISERROR(SEARCH(("i.a.v. EK"),(I46))))</formula>
    </cfRule>
  </conditionalFormatting>
  <conditionalFormatting sqref="C1 C4 C7 C21 C23:C59 C61:C73 C75 C77:C79 C81:C83 C88 C90:C92 C97:C105 C107:C163">
    <cfRule type="cellIs" dxfId="15" priority="10" operator="equal">
      <formula>"SP"</formula>
    </cfRule>
  </conditionalFormatting>
  <conditionalFormatting sqref="C1 C4 C7 C21 C23:C59 C61:C73 C75 C77:C79 C81:C83 C88 C90:C92 C97:C105 C107:C163">
    <cfRule type="containsText" dxfId="24" priority="11" operator="containsText" text="DNL">
      <formula>NOT(ISERROR(SEARCH(("DNL"),(C1))))</formula>
    </cfRule>
  </conditionalFormatting>
  <conditionalFormatting sqref="C1 C4 C7 C21 C23:C59 C61:C73 C75 C77:C79 C81:C83 C88 C90:C92 C97:C163">
    <cfRule type="cellIs" dxfId="28" priority="12" operator="equal">
      <formula>"PSP"</formula>
    </cfRule>
  </conditionalFormatting>
  <conditionalFormatting sqref="C1 C4 C7 C21 C23:C59 C61:C73 C75 C77:C79 C81:C83 C88 C90:C92 C97:C163">
    <cfRule type="cellIs" dxfId="30" priority="13" operator="equal">
      <formula>"GPN"</formula>
    </cfRule>
  </conditionalFormatting>
  <conditionalFormatting sqref="C1:C59 C61:C73 C75 C77:C79 C81:C83 C88 C90:C92 C97:C163">
    <cfRule type="cellIs" dxfId="17" priority="14" operator="equal">
      <formula>"Regering"</formula>
    </cfRule>
  </conditionalFormatting>
  <conditionalFormatting sqref="C17:C19 C46">
    <cfRule type="cellIs" dxfId="18" priority="15" operator="equal">
      <formula>"LPF"</formula>
    </cfRule>
  </conditionalFormatting>
  <conditionalFormatting sqref="C1 C4 C7 C14:C19 C21 C23:C59 C61:C73 C75 C77:C79 C81:C83 C88 C90:C92 C97:C163">
    <cfRule type="cellIs" dxfId="15" priority="16" operator="equal">
      <formula>"MPN"</formula>
    </cfRule>
  </conditionalFormatting>
  <conditionalFormatting sqref="C1 C4 C7 C14:C16 C21 C23:C59 C61:C73 C75 C77:C79 C81:C83 C88 C90:C92 C97:C163">
    <cfRule type="cellIs" dxfId="20" priority="17" operator="equal">
      <formula>"S&amp;V"</formula>
    </cfRule>
  </conditionalFormatting>
  <conditionalFormatting sqref="C1 C4 C7 C14:C19 C21 C23:C59 C61:C73 C75 C77:C79 C81:C83 C88 C90:C92 C97:C163">
    <cfRule type="containsText" dxfId="22" priority="18" operator="containsText" text="GL">
      <formula>NOT(ISERROR(SEARCH(("GL"),(C1))))</formula>
    </cfRule>
  </conditionalFormatting>
  <conditionalFormatting sqref="C1 C4 C7 C14:C19 C21 C23:C59 C61:C73 C75 C77:C79 C81:C83 C88 C90:C92 C97:C163">
    <cfRule type="beginsWith" dxfId="26" priority="19" operator="beginsWith" text="Onafh">
      <formula>LEFT((C1),LEN("Onafh"))=("Onafh")</formula>
    </cfRule>
  </conditionalFormatting>
  <conditionalFormatting sqref="C1:C59 A2:B2 D2:F2 G3:R3 G6:R6 G8:R8 G20:R22 G31:R31 C61:C73 C75 C77:C79 C81:C83 C88 C90:C92 C97:C163">
    <cfRule type="containsText" dxfId="19" priority="20" operator="containsText" text="D66">
      <formula>NOT(ISERROR(SEARCH(("D66"),(C1))))</formula>
    </cfRule>
  </conditionalFormatting>
  <conditionalFormatting sqref="C1:C16 A2:B2 D2:F2 G3:R3 G6:R6 G8:R8 C20:C59 G20:R22 G31:R31 C61:C73 C75 C77:C79 C81:C83 C88 C90:C92 C97:C163">
    <cfRule type="containsText" dxfId="20" priority="21" operator="containsText" text="PvdA">
      <formula>NOT(ISERROR(SEARCH(("PvdA"),(C1))))</formula>
    </cfRule>
  </conditionalFormatting>
  <conditionalFormatting sqref="C1:C59 A2:B2 D2:F2 G3:R3 G6:R6 G8:R8 G20:R22 G31:R31 C61:C73 C75 C77:C79 C81:C83 C88 C90:C92 C97:C163">
    <cfRule type="containsText" dxfId="13" priority="22" operator="containsText" text="VVD">
      <formula>NOT(ISERROR(SEARCH(("VVD"),(C1))))</formula>
    </cfRule>
  </conditionalFormatting>
  <conditionalFormatting sqref="C1:C59 A2:B2 D2:F2 G3:R3 G6:R6 G8:R8 G20:R22 G31:R31 C61:C73 C75 C77:C79 C81:C83 C88 C90:C92 C97:C163">
    <cfRule type="containsText" dxfId="21" priority="23" operator="containsText" text="CPN">
      <formula>NOT(ISERROR(SEARCH(("CPN"),(C1))))</formula>
    </cfRule>
  </conditionalFormatting>
  <conditionalFormatting sqref="A2:B2 C2:C16 D2:F2 G3:R3 G6:R6 G8:R8 C20:C59 G20:R22 G31:R31 C61:C73 C75 C77:C79 C81:C83 C88 C90:C92 C97:C163">
    <cfRule type="cellIs" dxfId="22" priority="24" operator="equal">
      <formula>"GL"</formula>
    </cfRule>
  </conditionalFormatting>
  <conditionalFormatting sqref="C1:C16 A2:B2 D2:F2 G3:R3 G6:R6 G8:R8 C20:C59 G20:R22 G31:R31 C61:C73 C75 C77:C79 C81:C83 C88 C90:C92 C97:C163">
    <cfRule type="containsText" dxfId="39" priority="25" operator="containsText" text="PSP">
      <formula>NOT(ISERROR(SEARCH(("PSP"),(C1))))</formula>
    </cfRule>
  </conditionalFormatting>
  <conditionalFormatting sqref="C1:C59 A2:B2 D2:F2 G3:R3 G6:R6 G8:R8 G20:R22 G31:R31 C61:C73 C75 C77:C79 C81:C83 C88 C90:C92 C97:C163">
    <cfRule type="containsText" dxfId="23" priority="26" operator="containsText" text="PVV">
      <formula>NOT(ISERROR(SEARCH(("PVV"),(C1))))</formula>
    </cfRule>
  </conditionalFormatting>
  <conditionalFormatting sqref="C1:C59 A2:B2 D2:F2 G3:R3 G6:R6 G8:R8 G20:R22 G31:R31 C61:C73 C75 C77:C79 C81:C83 C88 C90:C92 C97:C163">
    <cfRule type="containsText" dxfId="16" priority="27" operator="containsText" text="PP">
      <formula>NOT(ISERROR(SEARCH(("PP"),(C1))))</formula>
    </cfRule>
  </conditionalFormatting>
  <conditionalFormatting sqref="C1:C59 A2:B2 D2:F2 G3:R3 G6:R6 G8:R8 G20:R22 G31:R31 C61:C73 C75 C77:C79 C81:C83 C88 C90:C92 C97:C163">
    <cfRule type="containsText" dxfId="25" priority="28" operator="containsText" text="CDA">
      <formula>NOT(ISERROR(SEARCH(("CDA"),(C1))))</formula>
    </cfRule>
  </conditionalFormatting>
  <conditionalFormatting sqref="I3:I93 J3:J19 L20 J21:J93 K23:L93 G26:H26 M26 M34:M93 N59:R60 N64:R65 N74:N93 O74:R74 G78 H78:H79 O80:O85 P80:R80 G81:H83 G85:H85 G87:H88 O87:O90 G90:H92 O93 I97:O163">
    <cfRule type="containsText" dxfId="2" priority="29" operator="containsText" text="Actief">
      <formula>NOT(ISERROR(SEARCH(("Actief"),(I3))))</formula>
    </cfRule>
  </conditionalFormatting>
  <conditionalFormatting sqref="I3:I93 J3:J19 L20 J21:J93 K23:L93 G26:H26 M26 M34:M93 N59:R60 N64:R65 N74:N93 O74:R74 G78 H78:H79 O80:O85 P80:R80 G81:H83 G85:H85 G87:H88 O87:O90 G90:H92 O93 I97:O163">
    <cfRule type="containsText" dxfId="3" priority="30" operator="containsText" text="Ingetrokken">
      <formula>NOT(ISERROR(SEARCH(("Ingetrokken"),(I3))))</formula>
    </cfRule>
  </conditionalFormatting>
  <conditionalFormatting sqref="A2:B2 C2:C16 D2:F2 G3:R3 G6:R6 G8:R8 C20:C59 G20:R22 G31:R31 C61:C73 C75 C77:C79 C81:C83 C88 C90:C92 C97:C163">
    <cfRule type="containsText" dxfId="26" priority="31" operator="containsText" text="Onafhankelijk">
      <formula>NOT(ISERROR(SEARCH(("Onafhankelijk"),(A2))))</formula>
    </cfRule>
  </conditionalFormatting>
  <conditionalFormatting sqref="G1:N93 O1:R85 O87:O90 P87:R163 O93 G97:O163">
    <cfRule type="containsText" dxfId="40" priority="32" operator="containsText" text="Ja">
      <formula>NOT(ISERROR(SEARCH(("Ja"),(G1))))</formula>
    </cfRule>
  </conditionalFormatting>
  <conditionalFormatting sqref="G1:N93 O1:R85 O87:O90 P87:R163 O93 G97:O163">
    <cfRule type="containsText" dxfId="41" priority="33" operator="containsText" text="Nee">
      <formula>NOT(ISERROR(SEARCH(("Nee"),(G1))))</formula>
    </cfRule>
  </conditionalFormatting>
  <conditionalFormatting sqref="O9 N23 P23:R23">
    <cfRule type="containsText" dxfId="15" priority="34" operator="containsText" text="MPN">
      <formula>NOT(ISERROR(SEARCH(("MPN"),(O9))))</formula>
    </cfRule>
  </conditionalFormatting>
  <conditionalFormatting sqref="O9 N23 P23:R23">
    <cfRule type="cellIs" dxfId="42" priority="35" operator="equal">
      <formula>"S&amp;V"</formula>
    </cfRule>
  </conditionalFormatting>
  <conditionalFormatting sqref="C1:C16 A2:B2 D2:F2 G3:R3 G6:R6 G8:R8 C20:C59 G20:R22 G31:R31 C61:C73 C75 C77:C79 C81:C83 C88 C90:C92 C97:C163">
    <cfRule type="cellIs" dxfId="29" priority="36" operator="equal">
      <formula>"LPF"</formula>
    </cfRule>
  </conditionalFormatting>
  <conditionalFormatting sqref="C1:C73 C75 C77:C79 C81:C83 C88 C90:C92 C97:C163">
    <cfRule type="containsText" dxfId="31" priority="37" operator="containsText" text="SVN">
      <formula>NOT(ISERROR(SEARCH(("SVN"),(C1))))</formula>
    </cfRule>
  </conditionalFormatting>
  <conditionalFormatting sqref="C1:C73 C75 C77:C79 C81:C83 C88 C90:C92 C97:C163">
    <cfRule type="cellIs" dxfId="32" priority="38" operator="equal">
      <formula>"GROEN"</formula>
    </cfRule>
  </conditionalFormatting>
  <conditionalFormatting sqref="C15">
    <cfRule type="notContainsBlanks" dxfId="2" priority="39">
      <formula>LEN(TRIM(C15))&gt;0</formula>
    </cfRule>
  </conditionalFormatting>
  <conditionalFormatting sqref="C1:C73 C75 C77:C79 C81:C83 C88 C90:C92 C97:C163">
    <cfRule type="containsText" dxfId="33" priority="40" operator="containsText" text="LPU">
      <formula>NOT(ISERROR(SEARCH(("LPU"),(C1))))</formula>
    </cfRule>
  </conditionalFormatting>
  <conditionalFormatting sqref="C1:C73 C75 C77:C79 C81:C83 C88 C90:C92 C97:C163">
    <cfRule type="containsText" dxfId="43" priority="41" operator="containsText" text="FVD">
      <formula>NOT(ISERROR(SEARCH(("FVD"),(C1))))</formula>
    </cfRule>
  </conditionalFormatting>
  <hyperlinks>
    <hyperlink r:id="rId2" ref="D67"/>
    <hyperlink r:id="rId3" ref="D68"/>
    <hyperlink r:id="rId4" ref="D69"/>
    <hyperlink r:id="rId5" ref="D70"/>
    <hyperlink r:id="rId6" ref="D71"/>
    <hyperlink r:id="rId7" ref="D72"/>
    <hyperlink r:id="rId8" ref="D73"/>
    <hyperlink r:id="rId9" ref="D77"/>
    <hyperlink r:id="rId10" ref="D78"/>
    <hyperlink r:id="rId11" ref="D79"/>
  </hyperlinks>
  <drawing r:id="rId12"/>
  <legacy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1.29"/>
    <col customWidth="1" min="2" max="2" width="10.71"/>
    <col customWidth="1" min="3" max="3" width="9.0"/>
    <col customWidth="1" min="4" max="4" width="69.0"/>
    <col customWidth="1" hidden="1" min="5" max="5" width="10.14"/>
    <col customWidth="1" min="6" max="6" width="92.43"/>
    <col customWidth="1" min="7" max="7" width="125.86"/>
  </cols>
  <sheetData>
    <row r="1">
      <c r="A1" s="366" t="s">
        <v>152</v>
      </c>
      <c r="B1" s="367" t="s">
        <v>1069</v>
      </c>
      <c r="C1" s="370" t="s">
        <v>7</v>
      </c>
      <c r="D1" s="370" t="s">
        <v>826</v>
      </c>
      <c r="E1" s="370" t="s">
        <v>827</v>
      </c>
      <c r="F1" s="370" t="s">
        <v>828</v>
      </c>
      <c r="G1" s="370" t="s">
        <v>158</v>
      </c>
    </row>
    <row r="2" ht="15.0" customHeight="1"/>
    <row r="3">
      <c r="A3" s="366" t="s">
        <v>927</v>
      </c>
      <c r="B3" s="432" t="s">
        <v>1070</v>
      </c>
      <c r="C3" s="515" t="s">
        <v>152</v>
      </c>
      <c r="D3" s="411" t="str">
        <f>HYPERLINK("https://www.reddit.com/r/RMPers/comments/3ei5bl/ctivd_toezichtsrapport_nr_43_inzake_vermeende/","CTIVD Rapport 43 inzake vermeende bedrijfsspionage door de AIVD")</f>
        <v>CTIVD Rapport 43 inzake vermeende bedrijfsspionage door de AIVD</v>
      </c>
      <c r="E3" s="711">
        <v>42210.0</v>
      </c>
      <c r="F3" s="406" t="s">
        <v>1071</v>
      </c>
      <c r="G3" s="411" t="str">
        <f>HYPERLINK("https://www.reddit.com/r/RMPers/comments/3d8iij/aivd_spioneert_bij_nederlandse_bedrijven/","N.a.v. geruchten over de AIVD na een publicatie van WikiLeaks.")</f>
        <v>N.a.v. geruchten over de AIVD na een publicatie van WikiLeaks.</v>
      </c>
    </row>
    <row r="4">
      <c r="B4" s="432" t="s">
        <v>1072</v>
      </c>
      <c r="C4" s="512" t="s">
        <v>152</v>
      </c>
      <c r="D4" s="411" t="str">
        <f>HYPERLINK("https://www.reddit.com/r/RMTK/comments/3o5h3j/ks0002_verdrag_migrantencrisis/","Verdrag Migrantencrisis")</f>
        <v>Verdrag Migrantencrisis</v>
      </c>
      <c r="E4" s="613">
        <v>42286.0</v>
      </c>
      <c r="F4" s="527" t="s">
        <v>1073</v>
      </c>
      <c r="G4" s="527" t="s">
        <v>1074</v>
      </c>
    </row>
    <row r="5">
      <c r="A5" s="712" t="s">
        <v>197</v>
      </c>
      <c r="B5" s="518" t="s">
        <v>1075</v>
      </c>
      <c r="C5" s="515" t="s">
        <v>152</v>
      </c>
      <c r="D5" s="520" t="str">
        <f>HYPERLINK("https://www.reddit.com/r/RMTK/comments/3pdli1/kamerbrief_omtrent_gewelddadig_protest_bij_azc/","Omtrent gewelddadig protest bij AZC")</f>
        <v>Omtrent gewelddadig protest bij AZC</v>
      </c>
      <c r="E5" s="602">
        <v>42296.0</v>
      </c>
      <c r="F5" s="406" t="s">
        <v>1071</v>
      </c>
      <c r="G5" s="397" t="str">
        <f>HYPERLINK("https://www.reddit.com/r/RMTKMedia/comments/3p1rhx/tientallen_gewonden_na_demonstraties_in_ter_apel/","N.a.v. uit de hand gelopen demonstraties bij AZC Ter Apel")</f>
        <v>N.a.v. uit de hand gelopen demonstraties bij AZC Ter Apel</v>
      </c>
    </row>
    <row r="6">
      <c r="B6" s="432" t="s">
        <v>1076</v>
      </c>
      <c r="C6" s="512" t="s">
        <v>152</v>
      </c>
      <c r="D6" s="411" t="str">
        <f>HYPERLINK("https://www.reddit.com/r/RMTK/comments/3pylqo/ks0004_vertraging_borssele_ii/","Vertraging Borssele II")</f>
        <v>Vertraging Borssele II</v>
      </c>
      <c r="E6" s="602">
        <v>42301.0</v>
      </c>
      <c r="F6" s="406" t="s">
        <v>857</v>
      </c>
      <c r="G6" s="411" t="str">
        <f>HYPERLINK("https://www.reddit.com/r/RMTKMedia/comments/3pi27d/vertraging_bouw_kerncentrale_borssele_2/","N.a.v. de vertraging van de bouw van kerncentrale Borssele II door milieuproblemen als gevolg van gebruikte chemicaliën")</f>
        <v>N.a.v. de vertraging van de bouw van kerncentrale Borssele II door milieuproblemen als gevolg van gebruikte chemicaliën</v>
      </c>
    </row>
    <row r="7">
      <c r="A7" s="559" t="s">
        <v>202</v>
      </c>
      <c r="B7" s="518" t="s">
        <v>1077</v>
      </c>
      <c r="C7" s="515" t="s">
        <v>152</v>
      </c>
      <c r="D7" s="713" t="str">
        <f>HYPERLINK("https://www.reddit.com/r/RMTK/comments/3zn0pk/ks0005_aanpassingen_plannen_voorgaande_kabinet/","Aanpassingen plannen voorgaande kabinet voor defensie")</f>
        <v>Aanpassingen plannen voorgaande kabinet voor defensie</v>
      </c>
      <c r="E7" s="610">
        <v>42010.0</v>
      </c>
      <c r="F7" s="608" t="s">
        <v>843</v>
      </c>
      <c r="G7" s="535" t="str">
        <f>HYPERLINK("https://www.reddit.com/r/RMTK/comments/3n90l0/kamerbrief_0004_uitbreiding_defensie/","N.a.v. de eerste uitbreiding van Defensie, kondigt verdere wijzigingen aan in de nabije toekomst")</f>
        <v>N.a.v. de eerste uitbreiding van Defensie, kondigt verdere wijzigingen aan in de nabije toekomst</v>
      </c>
    </row>
    <row r="8">
      <c r="B8" s="432" t="s">
        <v>1078</v>
      </c>
      <c r="C8" s="515" t="s">
        <v>152</v>
      </c>
      <c r="D8" s="397" t="str">
        <f>hyperlink("https://www.reddit.com/r/RMTK/comments/4a9mqd/ks0006_informatie_koninklijke_besluiten_0009_0010/","Informatie Koninklijke Besluiten 0009, 0010 en 0011")</f>
        <v>Informatie Koninklijke Besluiten 0009, 0010 en 0011</v>
      </c>
      <c r="E8" s="602">
        <v>42015.0</v>
      </c>
      <c r="F8" s="406" t="s">
        <v>849</v>
      </c>
      <c r="G8" s="406" t="s">
        <v>1079</v>
      </c>
    </row>
    <row r="9">
      <c r="A9" s="436" t="s">
        <v>240</v>
      </c>
      <c r="B9" s="714"/>
      <c r="C9" s="512" t="s">
        <v>152</v>
      </c>
      <c r="D9" s="535" t="str">
        <f>HYPERLINK("https://www.reddit.com/r/RMTK/comments/4feqgk/kamerbrief_betreffende_ontslag_van_minister_van/","Kamerbrief betreffende ontslag van Minister van Justitie /u/sabasNL")</f>
        <v>Kamerbrief betreffende ontslag van Minister van Justitie /u/sabasNL</v>
      </c>
      <c r="E9" s="610">
        <v>42479.0</v>
      </c>
      <c r="F9" s="608" t="s">
        <v>1080</v>
      </c>
      <c r="G9" s="204"/>
    </row>
    <row r="10">
      <c r="A10" s="591" t="s">
        <v>243</v>
      </c>
      <c r="B10" s="715"/>
      <c r="C10" s="716"/>
      <c r="D10" s="717" t="s">
        <v>1081</v>
      </c>
      <c r="E10" s="204"/>
      <c r="F10" s="204"/>
      <c r="G10" s="204"/>
    </row>
    <row r="11">
      <c r="A11" s="718" t="s">
        <v>288</v>
      </c>
      <c r="B11" s="432" t="s">
        <v>1082</v>
      </c>
      <c r="C11" s="719" t="s">
        <v>152</v>
      </c>
      <c r="D11" s="535" t="str">
        <f>HYPERLINK("https://www.reddit.com/r/RMTK/comments/4t4il8/reactie_van_de_regering_op_tkstemming_m0075_tm/","Reactie van de Regering op TK-stemming M0075 t/m M0077, M0081 t/m M0085, M0087 t/m M0093")</f>
        <v>Reactie van de Regering op TK-stemming M0075 t/m M0077, M0081 t/m M0085, M0087 t/m M0093</v>
      </c>
      <c r="E11" s="610">
        <v>42567.0</v>
      </c>
      <c r="F11" s="608" t="s">
        <v>152</v>
      </c>
      <c r="G11" s="535" t="str">
        <f>HYPERLINK("https://www.reddit.com/r/RMTK/comments/4t0iq4/kv0012_kamervragen_aan_het_voltallige_kabinet/","Als reactie op KV0012.")</f>
        <v>Als reactie op KV0012.</v>
      </c>
    </row>
    <row r="12">
      <c r="B12" s="432" t="s">
        <v>1083</v>
      </c>
      <c r="C12" s="515" t="s">
        <v>1084</v>
      </c>
      <c r="D12" s="411" t="str">
        <f>HYPERLINK("https://www.reddit.com/r/RMTK/comments/4taj4h/brief_van_het_presidium_betreffende_het/","Brief van het Presidium betreffende het zomerreces en de activiteiten van de Staten-Generaal alvorens de ingang van dit zomerreces")</f>
        <v>Brief van het Presidium betreffende het zomerreces en de activiteiten van de Staten-Generaal alvorens de ingang van dit zomerreces</v>
      </c>
      <c r="E12" s="602">
        <v>42568.0</v>
      </c>
      <c r="F12" s="406" t="s">
        <v>1084</v>
      </c>
    </row>
    <row r="13">
      <c r="B13" s="432" t="s">
        <v>1085</v>
      </c>
      <c r="C13" s="515" t="s">
        <v>1084</v>
      </c>
      <c r="D13" s="411" t="str">
        <f>HYPERLINK("https://www.reddit.com/r/RMTK/comments/4tfol8/brief_van_de_nieuwe_voorzitter_ook_betreffende_de/","Brief van de nieuwe Voorzitter, ook betreffende de Ondervoorzitters")</f>
        <v>Brief van de nieuwe Voorzitter, ook betreffende de Ondervoorzitters</v>
      </c>
      <c r="E13" s="602">
        <v>42569.0</v>
      </c>
      <c r="F13" s="406" t="s">
        <v>1084</v>
      </c>
    </row>
    <row r="14">
      <c r="B14" s="432" t="s">
        <v>1086</v>
      </c>
      <c r="C14" s="515" t="s">
        <v>1084</v>
      </c>
      <c r="D14" s="411" t="str">
        <f>HYPERLINK("https://www.reddit.com/r/RMTK/comments/4tg9ox/de_nieuwe_ondervoorzitters/","De nieuwe Ondervoorzitters")</f>
        <v>De nieuwe Ondervoorzitters</v>
      </c>
      <c r="E14" s="602">
        <v>42569.0</v>
      </c>
      <c r="F14" s="406" t="s">
        <v>1084</v>
      </c>
    </row>
    <row r="15">
      <c r="B15" s="432" t="s">
        <v>1087</v>
      </c>
      <c r="C15" s="515" t="s">
        <v>152</v>
      </c>
      <c r="D15" s="411" t="str">
        <f>HYPERLINK("https://www.reddit.com/r/RMTK/comments/4vrhog/kamerbrief_betreffende_onderzoek_naar_w0018/","Kamerbrief betreffende onderzoek naar W0018")</f>
        <v>Kamerbrief betreffende onderzoek naar W0018</v>
      </c>
      <c r="E15" s="602">
        <v>42590.0</v>
      </c>
      <c r="F15" s="406" t="s">
        <v>152</v>
      </c>
      <c r="G15" s="406" t="s">
        <v>1088</v>
      </c>
    </row>
    <row r="16">
      <c r="B16" s="432" t="s">
        <v>1089</v>
      </c>
      <c r="C16" s="515" t="s">
        <v>152</v>
      </c>
      <c r="D16" s="411" t="str">
        <f>HYPERLINK("https://www.reddit.com/r/RMTK/comments/4zdv59/ks0012_gasnota_2017/","Gasnota 2017")</f>
        <v>Gasnota 2017</v>
      </c>
      <c r="E16" s="602">
        <v>42606.0</v>
      </c>
      <c r="F16" s="406" t="s">
        <v>152</v>
      </c>
      <c r="G16" s="406" t="s">
        <v>1090</v>
      </c>
    </row>
    <row r="17">
      <c r="B17" s="432" t="s">
        <v>1091</v>
      </c>
      <c r="C17" s="515" t="s">
        <v>1084</v>
      </c>
      <c r="D17" s="411" t="str">
        <f>HYPERLINK("https://www.reddit.com/r/RMTK/comments/51m6m4/kamerbrief_betreffende_de_deadlines_mbt_de/","Kamerbrief betreffende de deadlines m.b.t. de aankomende verkiezingen")</f>
        <v>Kamerbrief betreffende de deadlines m.b.t. de aankomende verkiezingen</v>
      </c>
      <c r="E17" s="602">
        <v>42620.0</v>
      </c>
      <c r="F17" s="406" t="s">
        <v>1084</v>
      </c>
      <c r="G17" s="411" t="str">
        <f>HYPERLINK("http://vignette2.wikia.nocookie.net/rmtk/images/1/1a/Brief_betreffende_deadlines_mbt_verkiezingen.pdf/revision/latest?cb=20160907140116&amp;path-prefix=nl","PDF-versie")</f>
        <v>PDF-versie</v>
      </c>
    </row>
    <row r="18">
      <c r="B18" s="432" t="s">
        <v>1092</v>
      </c>
      <c r="C18" s="515" t="s">
        <v>1084</v>
      </c>
      <c r="D18" s="411" t="str">
        <f>HYPERLINK("https://www.reddit.com/r/RMTK/comments/53v61p/informatie_betreffende_de_laatste_stemming_en_de/","Informatie betreffende de laatste stemming en de ontbinding van de Staten-Generaal")</f>
        <v>Informatie betreffende de laatste stemming en de ontbinding van de Staten-Generaal</v>
      </c>
      <c r="E18" s="602">
        <v>42634.0</v>
      </c>
      <c r="F18" s="406" t="s">
        <v>1084</v>
      </c>
    </row>
    <row r="19">
      <c r="B19" s="432" t="s">
        <v>1093</v>
      </c>
      <c r="C19" s="515" t="s">
        <v>1084</v>
      </c>
      <c r="D19" s="624" t="str">
        <f>HYPERLINK("https://www.reddit.com/r/RMTK/comments/54ga8p/brief_van_het_presidium_betreffende_de_ontbinding/","Brief van het Presidium betreffende de ontbinding van de Staten-Generaal, de aankomende verkiezingen, en procedurele veranderingen in de Eerste Kamer volgend op de verkiezingen")</f>
        <v>Brief van het Presidium betreffende de ontbinding van de Staten-Generaal, de aankomende verkiezingen, en procedurele veranderingen in de Eerste Kamer volgend op de verkiezingen</v>
      </c>
      <c r="E19" s="602">
        <v>42638.0</v>
      </c>
      <c r="F19" s="406" t="s">
        <v>1084</v>
      </c>
    </row>
    <row r="20">
      <c r="A20" s="720" t="s">
        <v>327</v>
      </c>
      <c r="B20" s="518" t="s">
        <v>1094</v>
      </c>
      <c r="C20" s="515" t="s">
        <v>1084</v>
      </c>
      <c r="D20" s="721" t="str">
        <f>HYPERLINK("https://www.reddit.com/r/RMTK/comments/57rydx/brief_van_het_presidium_betreffende_de_nieuwe/","Brief van het Presidium betreffende de nieuwe parlementszittingsperiode en de Voorzittersverkiezingen, alsmede de procedurele veranderingen in de Eerste Kamer en de algemene administratie")</f>
        <v>Brief van het Presidium betreffende de nieuwe parlementszittingsperiode en de Voorzittersverkiezingen, alsmede de procedurele veranderingen in de Eerste Kamer en de algemene administratie</v>
      </c>
      <c r="E20" s="610">
        <v>42659.0</v>
      </c>
      <c r="F20" s="608" t="s">
        <v>1084</v>
      </c>
      <c r="G20" s="608" t="s">
        <v>1095</v>
      </c>
    </row>
    <row r="21">
      <c r="B21" s="432" t="s">
        <v>1096</v>
      </c>
      <c r="C21" s="515" t="s">
        <v>152</v>
      </c>
      <c r="D21" s="624" t="str">
        <f>HYPERLINK("https://www.reddit.com/r/RMTK/comments/59p366/ks0017_kamerbrief_naar_aanleiding_van_keuze/","Kamerbrief naar aanleiding van keuze regeringstoestel ")</f>
        <v>Kamerbrief naar aanleiding van keuze regeringstoestel </v>
      </c>
      <c r="E21" s="602">
        <v>42670.0</v>
      </c>
      <c r="F21" s="406" t="s">
        <v>1097</v>
      </c>
    </row>
    <row r="22">
      <c r="B22" s="432" t="s">
        <v>1098</v>
      </c>
      <c r="C22" s="515" t="s">
        <v>152</v>
      </c>
      <c r="D22" s="624" t="str">
        <f>HYPERLINK("https://www.reddit.com/r/RMTK/comments/5aygtn/ks0018_kamerbrief_betreffende/","Kamerbrief betreffende Nederlands-Amerikaanse militaire samenwerking")</f>
        <v>Kamerbrief betreffende Nederlands-Amerikaanse militaire samenwerking</v>
      </c>
      <c r="E22" s="602">
        <v>42677.0</v>
      </c>
      <c r="F22" s="406" t="s">
        <v>831</v>
      </c>
    </row>
    <row r="23">
      <c r="A23" s="390"/>
      <c r="B23" s="427" t="s">
        <v>1099</v>
      </c>
      <c r="C23" s="512" t="s">
        <v>152</v>
      </c>
      <c r="D23" s="612" t="str">
        <f>HYPERLINK("https://www.reddit.com/r/RMTK/comments/5d3wd2/ks0019_kamerbrief_betreffende_reactie_regering_op/" , "Kamerbrief reactie regering op moties M0119&amp;125-127")</f>
        <v>Kamerbrief reactie regering op moties M0119&amp;125-127</v>
      </c>
      <c r="E23" s="613">
        <v>42689.0</v>
      </c>
      <c r="F23" s="527" t="s">
        <v>1100</v>
      </c>
      <c r="G23" s="65"/>
    </row>
    <row r="24">
      <c r="A24" s="718" t="s">
        <v>359</v>
      </c>
      <c r="B24" s="432" t="s">
        <v>1101</v>
      </c>
      <c r="C24" s="515" t="s">
        <v>152</v>
      </c>
      <c r="D24" s="615" t="str">
        <f>HYPERLINK("https://www.reddit.com/r/RMTK/comments/5guqkf/ks0020_kamerbrief_aangaande_de_model_un/","Kamerbrief naar aanleiding van de charter van het nieuwe Model UN")</f>
        <v>Kamerbrief naar aanleiding van de charter van het nieuwe Model UN</v>
      </c>
      <c r="E24" s="602">
        <v>42710.0</v>
      </c>
      <c r="F24" s="406" t="s">
        <v>831</v>
      </c>
    </row>
    <row r="25">
      <c r="B25" s="432" t="s">
        <v>1102</v>
      </c>
      <c r="C25" s="515" t="s">
        <v>152</v>
      </c>
      <c r="D25" s="615" t="str">
        <f>HYPERLINK("https://www.reddit.com/r/RMTK/comments/5hczk7/ks0021_beleidsnota_inzake_spoor_december_2016/","Beleidsnota inzake spoor december 2016")</f>
        <v>Beleidsnota inzake spoor december 2016</v>
      </c>
      <c r="E25" s="602">
        <v>42713.0</v>
      </c>
      <c r="F25" s="406" t="s">
        <v>1097</v>
      </c>
    </row>
    <row r="26">
      <c r="B26" s="432" t="s">
        <v>1103</v>
      </c>
      <c r="C26" s="515" t="s">
        <v>152</v>
      </c>
      <c r="D26" s="615" t="str">
        <f>HYPERLINK("https://www.reddit.com/r/RMTK/comments/5ij9wk/ks0022_jaarverslag_van_de_hoge_raad_van_adel/","Jaarverslag van de Hoge Raad van Adel")</f>
        <v>Jaarverslag van de Hoge Raad van Adel</v>
      </c>
      <c r="E26" s="602">
        <v>42719.0</v>
      </c>
      <c r="F26" s="406" t="s">
        <v>1104</v>
      </c>
    </row>
    <row r="27">
      <c r="B27" s="432" t="s">
        <v>1105</v>
      </c>
      <c r="C27" s="515" t="s">
        <v>152</v>
      </c>
      <c r="D27" s="615" t="str">
        <f>HYPERLINK("https://www.reddit.com/r/RMTK/comments/5ija6b/ks0023_kamerbrief_betreffende_het_instellen_van/","Kamerbrief betreffende het instellen van een netwerk aan Integratiecoaches")</f>
        <v>Kamerbrief betreffende het instellen van een netwerk aan Integratiecoaches</v>
      </c>
      <c r="E27" s="602">
        <v>42719.0</v>
      </c>
      <c r="F27" s="406" t="s">
        <v>863</v>
      </c>
    </row>
    <row r="28">
      <c r="B28" s="432" t="s">
        <v>1106</v>
      </c>
      <c r="C28" s="515" t="s">
        <v>21</v>
      </c>
      <c r="D28" s="615" t="str">
        <f>HYPERLINK("https://www.reddit.com/r/RMTK/comments/5jfdel/ks0024_kamervragen_betreffende_nepnieuws/","Kamervragen betreffende nep-nieuws")</f>
        <v>Kamervragen betreffende nep-nieuws</v>
      </c>
      <c r="E28" s="602">
        <v>42724.0</v>
      </c>
      <c r="F28" s="406" t="s">
        <v>1107</v>
      </c>
    </row>
    <row r="29">
      <c r="B29" s="432" t="s">
        <v>1108</v>
      </c>
      <c r="C29" s="515" t="s">
        <v>152</v>
      </c>
      <c r="D29" s="615" t="str">
        <f>HYPERLINK("https://www.reddit.com/r/RMTK/comments/5n6hcx/ks0025_kamerbrief_staatsbezoek_riksdagen/","Kamerbrief Staatsbezoek Iksdagen")</f>
        <v>Kamerbrief Staatsbezoek Iksdagen</v>
      </c>
      <c r="E29" s="602">
        <v>42745.0</v>
      </c>
      <c r="F29" s="406" t="s">
        <v>831</v>
      </c>
    </row>
    <row r="30">
      <c r="B30" s="432" t="s">
        <v>1109</v>
      </c>
      <c r="C30" s="515" t="s">
        <v>152</v>
      </c>
      <c r="D30" s="615" t="str">
        <f>HYPERLINK("https://www.reddit.com/r/RMTK/comments/5okap8/ks0026_rapport_commissie_kuijpers_inzake/","Rapport Commissie Kuijpers inzake vervanging regeringstoestel")</f>
        <v>Rapport Commissie Kuijpers inzake vervanging regeringstoestel</v>
      </c>
      <c r="E30" s="602">
        <v>42752.0</v>
      </c>
      <c r="F30" s="406" t="s">
        <v>1110</v>
      </c>
    </row>
    <row r="31">
      <c r="B31" s="432" t="s">
        <v>1111</v>
      </c>
      <c r="C31" s="512" t="s">
        <v>152</v>
      </c>
      <c r="D31" s="615" t="str">
        <f>HYPERLINK("https://www.reddit.com/r/RMTK/comments/5t2row/ks0027_troonrede_vylanderi/","Troonrede Vylander-I")</f>
        <v>Troonrede Vylander-I</v>
      </c>
      <c r="E31" s="602">
        <v>42775.0</v>
      </c>
      <c r="F31" s="406" t="s">
        <v>845</v>
      </c>
    </row>
    <row r="32">
      <c r="A32" s="720" t="s">
        <v>389</v>
      </c>
      <c r="B32" s="518" t="s">
        <v>1112</v>
      </c>
      <c r="C32" s="515" t="s">
        <v>1084</v>
      </c>
      <c r="D32" s="520" t="str">
        <f>hyperlink("https://www.reddit.com/r/RMTK/comments/62ub7m/ks0028_regeling_van_werkzaamheden_en_aanverwante/","Regeling van werkzaamheden en aanverwante zaken")</f>
        <v>Regeling van werkzaamheden en aanverwante zaken</v>
      </c>
      <c r="E32" s="610">
        <v>42826.0</v>
      </c>
      <c r="F32" s="608" t="s">
        <v>1084</v>
      </c>
      <c r="G32" s="204"/>
    </row>
    <row r="33">
      <c r="B33" s="432" t="s">
        <v>1113</v>
      </c>
      <c r="C33" s="515" t="s">
        <v>152</v>
      </c>
      <c r="D33" s="411" t="str">
        <f>HYPERLINK("https://www.reddit.com/r/RMTK/comments/63wcfp/ks0029_kamerbrief_nav_het_homogeweld_van/","Kamerbrief n.a.v. het homo-geweld van afgelopen week")</f>
        <v>Kamerbrief n.a.v. het homo-geweld van afgelopen week</v>
      </c>
      <c r="E33" s="602">
        <v>42832.0</v>
      </c>
      <c r="F33" s="406" t="s">
        <v>1080</v>
      </c>
    </row>
    <row r="34">
      <c r="B34" s="432" t="s">
        <v>1114</v>
      </c>
      <c r="C34" s="515" t="s">
        <v>152</v>
      </c>
      <c r="D34" s="615" t="str">
        <f>hyperlink("https://www.reddit.com/r/RMTK/comments/64mry1/ks0030_afhandeling_hanzeschandaal/","Afhandeling Hanzeschanaal")</f>
        <v>Afhandeling Hanzeschanaal</v>
      </c>
      <c r="E34" s="602">
        <v>42835.0</v>
      </c>
      <c r="F34" s="406" t="s">
        <v>1097</v>
      </c>
    </row>
    <row r="35">
      <c r="B35" s="432" t="s">
        <v>1115</v>
      </c>
      <c r="C35" s="515" t="s">
        <v>152</v>
      </c>
      <c r="D35" s="411" t="str">
        <f>HYPERLINK("https://www.reddit.com/r/RMTK/comments/650h5j/ks0031_kamerbrief_nav_motie_175_van_de_pvv/","Kamerbrief n.a.v. motie 175 van de PVV")</f>
        <v>Kamerbrief n.a.v. motie 175 van de PVV</v>
      </c>
      <c r="E35" s="602"/>
      <c r="F35" s="406" t="s">
        <v>1080</v>
      </c>
    </row>
    <row r="36">
      <c r="B36" s="432" t="s">
        <v>1116</v>
      </c>
      <c r="C36" s="515" t="s">
        <v>152</v>
      </c>
      <c r="D36" s="411" t="str">
        <f>HYPERLINK("https://www.reddit.com/r/RMTK/comments/690bk8/ks0032_reactie_van_de_regering_op_m0185/","Reactie van de regering op M0185 ")</f>
        <v>Reactie van de regering op M0185 </v>
      </c>
      <c r="E36" s="602"/>
      <c r="F36" s="406" t="s">
        <v>1117</v>
      </c>
    </row>
    <row r="37">
      <c r="B37" s="432" t="s">
        <v>1118</v>
      </c>
      <c r="C37" s="515" t="s">
        <v>152</v>
      </c>
      <c r="D37" s="411" t="str">
        <f>HYPERLINK("https://www.reddit.com/r/RMTK/comments/69kglr/ks0033_reactie_regering_op_motie_m0184/","Reactie van de regering op M0184 ")</f>
        <v>Reactie van de regering op M0184 </v>
      </c>
      <c r="E37" s="602"/>
      <c r="F37" s="406" t="s">
        <v>1119</v>
      </c>
    </row>
    <row r="38">
      <c r="B38" s="432" t="s">
        <v>1120</v>
      </c>
      <c r="C38" s="515" t="s">
        <v>152</v>
      </c>
      <c r="D38" s="411" t="str">
        <f>HYPERLINK("https://www.reddit.com/r/RMTK/comments/6amepy/ks0034_rapport_van_de_commissie_luchtvaartverbond/","Rapport van de commissie Luchtvaartverbond mei")</f>
        <v>Rapport van de commissie Luchtvaartverbond mei</v>
      </c>
      <c r="E38" s="602"/>
      <c r="F38" s="406" t="s">
        <v>1097</v>
      </c>
    </row>
    <row r="39">
      <c r="B39" s="432" t="s">
        <v>1121</v>
      </c>
      <c r="C39" s="515" t="s">
        <v>152</v>
      </c>
      <c r="D39" s="411" t="str">
        <f>HYPERLINK("https://www.reddit.com/r/RMTK/comments/6cisy8/ks0035_kamerbrief_staatsbezoek_canada/","Kamerbrief Staatsbezoek Canada")</f>
        <v>Kamerbrief Staatsbezoek Canada</v>
      </c>
      <c r="E39" s="602"/>
      <c r="F39" s="406" t="s">
        <v>831</v>
      </c>
    </row>
    <row r="40">
      <c r="B40" s="432" t="s">
        <v>1122</v>
      </c>
      <c r="C40" s="515" t="s">
        <v>1084</v>
      </c>
      <c r="D40" s="411" t="str">
        <f>HYPERLINK("https://www.reddit.com/r/RMTK/comments/6cmmdi/ks0036_verslag_van_de_informateur/","Verslag van de Informateur")</f>
        <v>Verslag van de Informateur</v>
      </c>
      <c r="E40" s="602"/>
      <c r="F40" s="406" t="s">
        <v>1084</v>
      </c>
    </row>
    <row r="41">
      <c r="A41" s="390"/>
      <c r="B41" s="722" t="s">
        <v>1123</v>
      </c>
      <c r="C41" s="512" t="s">
        <v>152</v>
      </c>
      <c r="D41" s="525" t="str">
        <f>HYPERLINK("https://www.reddit.com/r/RMTK/comments/6dc3dx/ks0037_kamerbrief_over_het_tulpenfonds/","Kamerbrief over het Tulpenfonds")</f>
        <v>Kamerbrief over het Tulpenfonds</v>
      </c>
      <c r="E41" s="613"/>
      <c r="F41" s="527" t="s">
        <v>849</v>
      </c>
      <c r="G41" s="65"/>
    </row>
    <row r="42">
      <c r="A42" s="718" t="s">
        <v>432</v>
      </c>
      <c r="B42" s="432" t="s">
        <v>1124</v>
      </c>
      <c r="C42" s="515" t="s">
        <v>152</v>
      </c>
      <c r="D42" s="411" t="str">
        <f>HYPERLINK("https://www.reddit.com/r/RMTK/comments/6fvatc/ks0037_brief_van_het_ministerie_van_buitenlandse/","Kamerbrief Zweden")</f>
        <v>Kamerbrief Zweden</v>
      </c>
      <c r="E42" s="602"/>
      <c r="F42" s="406" t="s">
        <v>831</v>
      </c>
      <c r="G42" s="406" t="s">
        <v>1125</v>
      </c>
    </row>
    <row r="43">
      <c r="B43" s="432" t="s">
        <v>1126</v>
      </c>
      <c r="C43" s="515" t="s">
        <v>1084</v>
      </c>
      <c r="D43" s="411" t="str">
        <f>HYPERLINK("https://www.reddit.com/r/RMTK/comments/6gub6t/ks0038_instelling_parlementaire_enqu%C3%AAtecommissie/","Formatie parlementaire enquete commissie")</f>
        <v>Formatie parlementaire enquete commissie</v>
      </c>
      <c r="E43" s="602"/>
      <c r="F43" s="406" t="s">
        <v>1084</v>
      </c>
    </row>
    <row r="44">
      <c r="B44" s="432" t="s">
        <v>1127</v>
      </c>
      <c r="C44" s="515" t="s">
        <v>152</v>
      </c>
      <c r="D44" s="411" t="s">
        <v>1128</v>
      </c>
      <c r="E44" s="602"/>
      <c r="F44" s="406" t="s">
        <v>1129</v>
      </c>
    </row>
    <row r="45">
      <c r="B45" s="432" t="s">
        <v>1130</v>
      </c>
      <c r="C45" s="515" t="s">
        <v>1084</v>
      </c>
      <c r="D45" s="411" t="s">
        <v>1131</v>
      </c>
      <c r="E45" s="602"/>
      <c r="F45" s="406" t="s">
        <v>1084</v>
      </c>
    </row>
    <row r="46">
      <c r="B46" s="432" t="s">
        <v>1132</v>
      </c>
      <c r="C46" s="515" t="s">
        <v>152</v>
      </c>
      <c r="D46" s="411" t="s">
        <v>1133</v>
      </c>
      <c r="E46" s="602"/>
      <c r="F46" s="406" t="s">
        <v>1097</v>
      </c>
    </row>
    <row r="47">
      <c r="B47" s="432" t="s">
        <v>1134</v>
      </c>
      <c r="C47" s="515" t="s">
        <v>152</v>
      </c>
      <c r="D47" s="411" t="s">
        <v>1135</v>
      </c>
      <c r="E47" s="602"/>
      <c r="F47" s="406" t="s">
        <v>1129</v>
      </c>
    </row>
    <row r="48">
      <c r="A48" s="390"/>
      <c r="B48" s="427" t="s">
        <v>1136</v>
      </c>
      <c r="C48" s="512" t="s">
        <v>152</v>
      </c>
      <c r="D48" s="525" t="s">
        <v>1137</v>
      </c>
      <c r="E48" s="613"/>
      <c r="F48" s="527" t="s">
        <v>831</v>
      </c>
      <c r="G48" s="65"/>
    </row>
    <row r="49">
      <c r="A49" s="718" t="s">
        <v>481</v>
      </c>
      <c r="B49" s="432" t="s">
        <v>1138</v>
      </c>
      <c r="C49" s="678" t="s">
        <v>152</v>
      </c>
      <c r="D49" s="397" t="s">
        <v>1139</v>
      </c>
      <c r="E49" s="602"/>
      <c r="F49" s="406" t="s">
        <v>885</v>
      </c>
      <c r="G49" s="406" t="s">
        <v>1140</v>
      </c>
    </row>
    <row r="50">
      <c r="B50" s="432" t="s">
        <v>1141</v>
      </c>
      <c r="C50" s="515" t="s">
        <v>152</v>
      </c>
      <c r="D50" s="397" t="s">
        <v>1142</v>
      </c>
      <c r="E50" s="602"/>
      <c r="F50" s="406" t="s">
        <v>1143</v>
      </c>
      <c r="G50" s="406" t="s">
        <v>1144</v>
      </c>
    </row>
    <row r="51">
      <c r="A51" s="723" t="s">
        <v>507</v>
      </c>
      <c r="B51" s="518" t="s">
        <v>1145</v>
      </c>
      <c r="C51" s="519" t="s">
        <v>152</v>
      </c>
      <c r="D51" s="520" t="s">
        <v>1146</v>
      </c>
      <c r="E51" s="610"/>
      <c r="F51" s="608" t="s">
        <v>1071</v>
      </c>
      <c r="G51" s="621" t="s">
        <v>1147</v>
      </c>
    </row>
    <row r="52">
      <c r="A52" s="627"/>
      <c r="B52" s="427" t="s">
        <v>1148</v>
      </c>
      <c r="C52" s="512" t="s">
        <v>437</v>
      </c>
      <c r="D52" s="429" t="s">
        <v>1048</v>
      </c>
      <c r="E52" s="613"/>
      <c r="F52" s="406" t="s">
        <v>1149</v>
      </c>
      <c r="G52" s="626" t="s">
        <v>1150</v>
      </c>
    </row>
    <row r="53">
      <c r="A53" s="724" t="s">
        <v>554</v>
      </c>
      <c r="B53" s="432" t="s">
        <v>1151</v>
      </c>
      <c r="C53" s="515" t="s">
        <v>152</v>
      </c>
      <c r="D53" s="417" t="str">
        <f>HYPERLINK("https://www.reddit.com/r/RMTK/comments/7ks85n/ks0046_kamerbrief_inzake_engels_in_het/","KS0046: Kamerbrief inzake Engels in het Basisonderwijs")</f>
        <v>KS0046: Kamerbrief inzake Engels in het Basisonderwijs</v>
      </c>
      <c r="E53" s="602"/>
      <c r="F53" s="608" t="s">
        <v>849</v>
      </c>
    </row>
    <row r="54">
      <c r="B54" s="374" t="s">
        <v>1152</v>
      </c>
      <c r="C54" s="515" t="s">
        <v>152</v>
      </c>
      <c r="D54" s="417" t="str">
        <f>HYPERLINK("https://www.reddit.com/r/RMTK/comments/7nlqfb/ks0047_kamerbrief_aangaande_aangewezen_overlever/","KS0047: Kamerbrief aangaande 'aangewezen overlever'")</f>
        <v>KS0047: Kamerbrief aangaande 'aangewezen overlever'</v>
      </c>
      <c r="E54" s="602"/>
      <c r="F54" s="406" t="s">
        <v>845</v>
      </c>
    </row>
    <row r="55">
      <c r="B55" s="374" t="s">
        <v>1153</v>
      </c>
      <c r="C55" s="515" t="s">
        <v>152</v>
      </c>
      <c r="D55" s="417" t="str">
        <f>HYPERLINK("https://www.reddit.com/r/RMTK/comments/7o3xjs/ks0048_beleidsnota_aangaande_tia_noordzee/","KS0048: Beleidsnota aangaande TIA noordzee")</f>
        <v>KS0048: Beleidsnota aangaande TIA noordzee</v>
      </c>
      <c r="E55" s="602"/>
      <c r="F55" s="406" t="s">
        <v>1097</v>
      </c>
    </row>
    <row r="56">
      <c r="B56" s="374" t="s">
        <v>1154</v>
      </c>
      <c r="C56" s="515" t="s">
        <v>152</v>
      </c>
      <c r="D56" s="417" t="str">
        <f>HYPERLINK("https://www.reddit.com/r/RMTK/comments/7pgxcq/ks0049_tweede_kamerbrief_aangaande_het_tulpenfonds/","KS0049: Tweede kamerbrief aangaande het Tulpenfonds")</f>
        <v>KS0049: Tweede kamerbrief aangaande het Tulpenfonds</v>
      </c>
      <c r="E56" s="602"/>
      <c r="F56" s="406" t="s">
        <v>849</v>
      </c>
    </row>
    <row r="57">
      <c r="B57" s="374" t="s">
        <v>1155</v>
      </c>
      <c r="C57" s="515" t="s">
        <v>152</v>
      </c>
      <c r="D57" s="417" t="str">
        <f>HYPERLINK("https://www.reddit.com/r/RMTK/comments/7pgy54/ks0050_kamerbrief_aangaande_ontslag/","KS0050: Kamerbrief aangaande ontslag Minister-President")</f>
        <v>KS0050: Kamerbrief aangaande ontslag Minister-President</v>
      </c>
      <c r="E57" s="602"/>
      <c r="F57" s="406" t="s">
        <v>845</v>
      </c>
    </row>
    <row r="58">
      <c r="A58" s="390"/>
      <c r="B58" s="391" t="s">
        <v>1156</v>
      </c>
      <c r="C58" s="512" t="s">
        <v>152</v>
      </c>
      <c r="D58" s="725" t="str">
        <f>HYPERLINK("https://www.reddit.com/r/RMTK/comments/7pq7di/ks0051_kamerbrief_aangaande_veranderingen_omtrent/","KS0051: Kamerbrief aangaande veranderingen omtrent de brugklas van het voortgezet onderwijs")</f>
        <v>KS0051: Kamerbrief aangaande veranderingen omtrent de brugklas van het voortgezet onderwijs</v>
      </c>
      <c r="E58" s="613"/>
      <c r="F58" s="527" t="s">
        <v>849</v>
      </c>
      <c r="G58" s="65"/>
    </row>
    <row r="59">
      <c r="A59" s="718" t="s">
        <v>575</v>
      </c>
      <c r="B59" s="432" t="s">
        <v>1157</v>
      </c>
      <c r="C59" s="515" t="s">
        <v>1084</v>
      </c>
      <c r="D59" s="397" t="s">
        <v>1158</v>
      </c>
      <c r="E59" s="602"/>
      <c r="F59" s="608" t="s">
        <v>1084</v>
      </c>
    </row>
    <row r="60">
      <c r="B60" s="374" t="s">
        <v>1056</v>
      </c>
      <c r="C60" s="515"/>
      <c r="D60" s="726" t="s">
        <v>1159</v>
      </c>
      <c r="E60" s="602"/>
      <c r="F60" s="406" t="s">
        <v>29</v>
      </c>
    </row>
    <row r="61">
      <c r="B61" s="374" t="s">
        <v>1160</v>
      </c>
      <c r="C61" s="515" t="s">
        <v>152</v>
      </c>
      <c r="D61" s="411" t="str">
        <f>HYPERLINK("https://www.reddit.com/r/RMTK/comments/85sy2i/ks0054_kamerbrief_over_motie_m0290_onderzoek/","KS0054: Kamerbrief over motie M0290 (onderzoek felle autoverlichting)")</f>
        <v>KS0054: Kamerbrief over motie M0290 (onderzoek felle autoverlichting)</v>
      </c>
      <c r="E61" s="602"/>
      <c r="F61" s="406" t="s">
        <v>1097</v>
      </c>
    </row>
    <row r="62">
      <c r="B62" s="432" t="s">
        <v>1161</v>
      </c>
      <c r="C62" s="515" t="s">
        <v>152</v>
      </c>
      <c r="D62" s="411" t="str">
        <f>HYPERLINK("https://www.reddit.com/r/RMTK/comments/89g18a/ks055_kamerbrief_betreffende_gedeeltelijke/","KS055: Kamerbrief betreffende gedeeltelijke sluiting Hemwegcentrale in verband met de energietransitie")</f>
        <v>KS055: Kamerbrief betreffende gedeeltelijke sluiting Hemwegcentrale in verband met de energietransitie</v>
      </c>
      <c r="E62" s="602"/>
      <c r="F62" s="406" t="s">
        <v>1097</v>
      </c>
    </row>
    <row r="63">
      <c r="A63" s="390"/>
      <c r="B63" s="427" t="s">
        <v>1162</v>
      </c>
      <c r="C63" s="512" t="s">
        <v>152</v>
      </c>
      <c r="D63" s="525" t="str">
        <f>HYPERLINK("https://www.reddit.com/r/RMTK/comments/89g1uk/ks0056_kamerbrief_aangaande_model_verenigde_naties/","KS0056: Kamerbrief aangaande Model Verenigde Naties")</f>
        <v>KS0056: Kamerbrief aangaande Model Verenigde Naties</v>
      </c>
      <c r="E63" s="613"/>
      <c r="F63" s="527" t="s">
        <v>831</v>
      </c>
    </row>
    <row r="64">
      <c r="A64" s="431" t="s">
        <v>588</v>
      </c>
      <c r="B64" s="432" t="s">
        <v>1163</v>
      </c>
      <c r="C64" s="515" t="s">
        <v>1084</v>
      </c>
      <c r="D64" s="411" t="str">
        <f>HYPERLINK("https://www.reddit.com/r/RMTK/comments/8mao35/toespraak_van_de_koning_ter_eren_van_het/","Toespraak van de Koning ter eren van het driejarig jublieum van RMTK ")</f>
        <v>Toespraak van de Koning ter eren van het driejarig jublieum van RMTK </v>
      </c>
      <c r="E64" s="602"/>
      <c r="F64" s="608" t="s">
        <v>1084</v>
      </c>
      <c r="G64" s="204"/>
    </row>
    <row r="65">
      <c r="B65" s="432" t="s">
        <v>1164</v>
      </c>
      <c r="C65" s="515" t="s">
        <v>1084</v>
      </c>
      <c r="D65" s="411" t="str">
        <f>HYPERLINK("https://www.reddit.com/r/RMTK/comments/8marhf/onderscheiding_van_leden_tot_de_orde_der/","Onderscheiding van leden tot de Orde der Nederlandsche Staten-Generaal ter eren van het driejarig jubileum")</f>
        <v>Onderscheiding van leden tot de Orde der Nederlandsche Staten-Generaal ter eren van het driejarig jubileum</v>
      </c>
      <c r="E65" s="602"/>
      <c r="F65" s="406" t="s">
        <v>1084</v>
      </c>
    </row>
    <row r="66">
      <c r="A66" s="528" t="s">
        <v>591</v>
      </c>
      <c r="B66" s="518"/>
      <c r="C66" s="727" t="s">
        <v>1165</v>
      </c>
      <c r="D66" s="204"/>
      <c r="E66" s="204"/>
      <c r="F66" s="204"/>
      <c r="G66" s="204"/>
    </row>
    <row r="67">
      <c r="A67" s="390"/>
      <c r="B67" s="427"/>
      <c r="C67" s="65"/>
      <c r="D67" s="65"/>
      <c r="E67" s="65"/>
      <c r="F67" s="65"/>
      <c r="G67" s="65"/>
    </row>
    <row r="68">
      <c r="A68" s="431" t="s">
        <v>805</v>
      </c>
      <c r="B68" s="518" t="s">
        <v>1166</v>
      </c>
      <c r="C68" s="515" t="s">
        <v>152</v>
      </c>
      <c r="D68" s="411" t="str">
        <f>HYPERLINK("https://www.reddit.com/r/RMTK/comments/9bmgfd/ks0059_kamerbrief_over_gaswinning_groningen/","KS0059: Kamerbrief over gaswinning Groningen ")</f>
        <v>KS0059: Kamerbrief over gaswinning Groningen </v>
      </c>
      <c r="E68" s="602"/>
      <c r="F68" s="406" t="s">
        <v>1167</v>
      </c>
    </row>
    <row r="69">
      <c r="A69" s="431"/>
      <c r="B69" s="432" t="s">
        <v>1168</v>
      </c>
      <c r="C69" s="515"/>
      <c r="D69" s="728"/>
      <c r="E69" s="602"/>
    </row>
    <row r="70">
      <c r="A70" s="431"/>
      <c r="B70" s="432" t="s">
        <v>1169</v>
      </c>
      <c r="C70" s="515"/>
      <c r="D70" s="728"/>
      <c r="E70" s="602"/>
    </row>
    <row r="71">
      <c r="A71" s="431"/>
      <c r="B71" s="432"/>
      <c r="C71" s="515"/>
      <c r="D71" s="728"/>
      <c r="E71" s="602"/>
    </row>
    <row r="72">
      <c r="A72" s="718"/>
      <c r="B72" s="432"/>
      <c r="C72" s="515"/>
      <c r="D72" s="728"/>
      <c r="E72" s="602"/>
    </row>
    <row r="73">
      <c r="A73" s="718"/>
      <c r="B73" s="432"/>
      <c r="C73" s="515"/>
      <c r="D73" s="728"/>
      <c r="E73" s="602"/>
    </row>
  </sheetData>
  <mergeCells count="23">
    <mergeCell ref="F1:F2"/>
    <mergeCell ref="G1:G2"/>
    <mergeCell ref="D10:G10"/>
    <mergeCell ref="B1:B2"/>
    <mergeCell ref="A1:A2"/>
    <mergeCell ref="D1:D2"/>
    <mergeCell ref="E1:E2"/>
    <mergeCell ref="C1:C2"/>
    <mergeCell ref="A32:A41"/>
    <mergeCell ref="A24:A31"/>
    <mergeCell ref="A53:A58"/>
    <mergeCell ref="A51:A52"/>
    <mergeCell ref="C66:F67"/>
    <mergeCell ref="A64:A65"/>
    <mergeCell ref="A59:A63"/>
    <mergeCell ref="A66:A67"/>
    <mergeCell ref="A5:A6"/>
    <mergeCell ref="A3:A4"/>
    <mergeCell ref="A11:A19"/>
    <mergeCell ref="A7:A8"/>
    <mergeCell ref="A20:A23"/>
    <mergeCell ref="A42:A48"/>
    <mergeCell ref="A49:A50"/>
  </mergeCells>
  <conditionalFormatting sqref="C51:C52 C54:C58 C61:C63">
    <cfRule type="cellIs" dxfId="15" priority="1" operator="equal">
      <formula>"SP"</formula>
    </cfRule>
  </conditionalFormatting>
  <conditionalFormatting sqref="C51:C52 C54:C58 C61:C63">
    <cfRule type="containsText" dxfId="24" priority="2" operator="containsText" text="DNL">
      <formula>NOT(ISERROR(SEARCH(("DNL"),(C51))))</formula>
    </cfRule>
  </conditionalFormatting>
  <conditionalFormatting sqref="C51:C52 C54:C58 C61:C63">
    <cfRule type="cellIs" dxfId="28" priority="3" operator="equal">
      <formula>"PSP"</formula>
    </cfRule>
  </conditionalFormatting>
  <conditionalFormatting sqref="C51:C52 C54:C58 C61:C63">
    <cfRule type="cellIs" dxfId="30" priority="4" operator="equal">
      <formula>"GPN"</formula>
    </cfRule>
  </conditionalFormatting>
  <conditionalFormatting sqref="C51:C52 C54:C58 C61:C63">
    <cfRule type="cellIs" dxfId="15" priority="5" operator="equal">
      <formula>"MPN"</formula>
    </cfRule>
  </conditionalFormatting>
  <conditionalFormatting sqref="C51:C52 C54:C58 C61:C63">
    <cfRule type="cellIs" dxfId="20" priority="6" operator="equal">
      <formula>"S&amp;V"</formula>
    </cfRule>
  </conditionalFormatting>
  <conditionalFormatting sqref="C51:C52 C54:C58 C61:C63">
    <cfRule type="beginsWith" dxfId="26" priority="7" operator="beginsWith" text="Onafh">
      <formula>LEFT((C51),LEN("Onafh"))=("Onafh")</formula>
    </cfRule>
  </conditionalFormatting>
  <conditionalFormatting sqref="C51:C52 C54:C58 C61:C63">
    <cfRule type="cellIs" dxfId="22" priority="8" operator="equal">
      <formula>"GL"</formula>
    </cfRule>
  </conditionalFormatting>
  <conditionalFormatting sqref="C51:C52 C54:C58 C61:C63">
    <cfRule type="containsText" dxfId="39" priority="9" operator="containsText" text="PSP">
      <formula>NOT(ISERROR(SEARCH(("PSP"),(C51))))</formula>
    </cfRule>
  </conditionalFormatting>
  <conditionalFormatting sqref="C51:C52 C54:C58 C61:C63">
    <cfRule type="containsText" dxfId="31" priority="10" operator="containsText" text="SVN">
      <formula>NOT(ISERROR(SEARCH(("SVN"),(C51))))</formula>
    </cfRule>
  </conditionalFormatting>
  <conditionalFormatting sqref="C51:C52 C54:C58 C61:C63">
    <cfRule type="cellIs" dxfId="32" priority="11" operator="equal">
      <formula>"GROEN"</formula>
    </cfRule>
  </conditionalFormatting>
  <conditionalFormatting sqref="C51:C52 C54:C58 C61:C63">
    <cfRule type="containsText" dxfId="33" priority="12" operator="containsText" text="LPU">
      <formula>NOT(ISERROR(SEARCH(("LPU"),(C51))))</formula>
    </cfRule>
  </conditionalFormatting>
  <conditionalFormatting sqref="C51:C52 C54:C58 C61:C63">
    <cfRule type="containsText" dxfId="43" priority="13" operator="containsText" text="FVD">
      <formula>NOT(ISERROR(SEARCH(("FVD"),(C51))))</formula>
    </cfRule>
  </conditionalFormatting>
  <conditionalFormatting sqref="C3:C73 D10">
    <cfRule type="containsText" dxfId="19" priority="14" operator="containsText" text="D66">
      <formula>NOT(ISERROR(SEARCH(("D66"),(C3))))</formula>
    </cfRule>
  </conditionalFormatting>
  <conditionalFormatting sqref="C3:C73 D10">
    <cfRule type="containsText" dxfId="20" priority="15" operator="containsText" text="PvdA">
      <formula>NOT(ISERROR(SEARCH(("PvdA"),(C3))))</formula>
    </cfRule>
  </conditionalFormatting>
  <conditionalFormatting sqref="C3:C73 D10">
    <cfRule type="containsText" dxfId="13" priority="16" operator="containsText" text="VVD">
      <formula>NOT(ISERROR(SEARCH(("VVD"),(C3))))</formula>
    </cfRule>
  </conditionalFormatting>
  <conditionalFormatting sqref="C3:C73 D10">
    <cfRule type="containsText" dxfId="21" priority="17" operator="containsText" text="CPN">
      <formula>NOT(ISERROR(SEARCH(("CPN"),(C3))))</formula>
    </cfRule>
  </conditionalFormatting>
  <conditionalFormatting sqref="C3:C73 D10">
    <cfRule type="containsText" dxfId="22" priority="18" operator="containsText" text="GL">
      <formula>NOT(ISERROR(SEARCH(("GL"),(C3))))</formula>
    </cfRule>
  </conditionalFormatting>
  <conditionalFormatting sqref="C3:C73 D10">
    <cfRule type="containsText" dxfId="15" priority="19" operator="containsText" text="SP">
      <formula>NOT(ISERROR(SEARCH(("SP"),(C3))))</formula>
    </cfRule>
  </conditionalFormatting>
  <conditionalFormatting sqref="C3:C73 D10">
    <cfRule type="containsText" dxfId="23" priority="20" operator="containsText" text="PVV">
      <formula>NOT(ISERROR(SEARCH(("PVV"),(C3))))</formula>
    </cfRule>
  </conditionalFormatting>
  <conditionalFormatting sqref="C3:C73 D10">
    <cfRule type="containsText" dxfId="16" priority="21" operator="containsText" text="PP">
      <formula>NOT(ISERROR(SEARCH(("PP"),(C3))))</formula>
    </cfRule>
  </conditionalFormatting>
  <conditionalFormatting sqref="C3:C73 D10">
    <cfRule type="containsText" dxfId="25" priority="22" operator="containsText" text="CDA">
      <formula>NOT(ISERROR(SEARCH(("CDA"),(C3))))</formula>
    </cfRule>
  </conditionalFormatting>
  <conditionalFormatting sqref="C3:C73 D10">
    <cfRule type="containsText" dxfId="26" priority="23" operator="containsText" text="Onafhankelijk">
      <formula>NOT(ISERROR(SEARCH(("Onafhankelijk"),(C3))))</formula>
    </cfRule>
  </conditionalFormatting>
  <conditionalFormatting sqref="C:C D10">
    <cfRule type="cellIs" dxfId="17" priority="24" operator="equal">
      <formula>"Regering"</formula>
    </cfRule>
  </conditionalFormatting>
  <conditionalFormatting sqref="C:C D10">
    <cfRule type="cellIs" dxfId="29" priority="25" operator="equal">
      <formula>"LPF"</formula>
    </cfRule>
  </conditionalFormatting>
  <conditionalFormatting sqref="C3:C73 D10">
    <cfRule type="containsText" dxfId="44" priority="26" operator="containsText" text="Presidium">
      <formula>NOT(ISERROR(SEARCH(("Presidium"),(C3))))</formula>
    </cfRule>
  </conditionalFormatting>
  <hyperlinks>
    <hyperlink r:id="rId2" ref="D44"/>
    <hyperlink r:id="rId3" ref="D45"/>
    <hyperlink r:id="rId4" ref="D46"/>
    <hyperlink r:id="rId5" ref="D47"/>
    <hyperlink r:id="rId6" ref="D48"/>
    <hyperlink r:id="rId7" ref="D49"/>
    <hyperlink r:id="rId8" ref="D50"/>
    <hyperlink r:id="rId9" ref="D51"/>
    <hyperlink r:id="rId10" ref="D52"/>
    <hyperlink r:id="rId11" ref="D59"/>
  </hyperlinks>
  <drawing r:id="rId12"/>
  <legacyDrawing r:id="rId13"/>
</worksheet>
</file>